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mc:AlternateContent xmlns:mc="http://schemas.openxmlformats.org/markup-compatibility/2006">
    <mc:Choice Requires="x15">
      <x15ac:absPath xmlns:x15ac="http://schemas.microsoft.com/office/spreadsheetml/2010/11/ac" url="N:\JPG\Investor Reporting\Paragon Finance\PM8\"/>
    </mc:Choice>
  </mc:AlternateContent>
  <bookViews>
    <workbookView xWindow="360" yWindow="300" windowWidth="12120" windowHeight="9000" firstSheet="43" activeTab="51"/>
  </bookViews>
  <sheets>
    <sheet name="March 05" sheetId="1" r:id="rId1"/>
    <sheet name="June 05" sheetId="2" r:id="rId2"/>
    <sheet name="Sept 05" sheetId="3" r:id="rId3"/>
    <sheet name="Dec 05" sheetId="4" r:id="rId4"/>
    <sheet name="March 06" sheetId="5" r:id="rId5"/>
    <sheet name="June 06" sheetId="6" r:id="rId6"/>
    <sheet name="Sept 06" sheetId="7" r:id="rId7"/>
    <sheet name="Dec 06" sheetId="8" r:id="rId8"/>
    <sheet name="March 07" sheetId="9" r:id="rId9"/>
    <sheet name="June 07" sheetId="10" r:id="rId10"/>
    <sheet name="Sept 07" sheetId="11" r:id="rId11"/>
    <sheet name="Dec 07" sheetId="12" r:id="rId12"/>
    <sheet name="March 08" sheetId="13" r:id="rId13"/>
    <sheet name="June 08" sheetId="14" r:id="rId14"/>
    <sheet name="Sept 08" sheetId="15" r:id="rId15"/>
    <sheet name="Dec 08" sheetId="16" r:id="rId16"/>
    <sheet name="March 09" sheetId="17" r:id="rId17"/>
    <sheet name="June 09" sheetId="18" r:id="rId18"/>
    <sheet name="Sept 09" sheetId="19" r:id="rId19"/>
    <sheet name="Dec 09" sheetId="20" r:id="rId20"/>
    <sheet name="March 10" sheetId="21" r:id="rId21"/>
    <sheet name="June 10" sheetId="22" r:id="rId22"/>
    <sheet name="Sept 10" sheetId="23" r:id="rId23"/>
    <sheet name="Dec 10" sheetId="24" r:id="rId24"/>
    <sheet name="March 11" sheetId="25" r:id="rId25"/>
    <sheet name="June 11" sheetId="26" r:id="rId26"/>
    <sheet name="Sept 11" sheetId="27" r:id="rId27"/>
    <sheet name="Dec 11" sheetId="28" r:id="rId28"/>
    <sheet name="March 12" sheetId="29" r:id="rId29"/>
    <sheet name="June 12" sheetId="30" r:id="rId30"/>
    <sheet name="Sept 12" sheetId="31" r:id="rId31"/>
    <sheet name="Dec 12" sheetId="32" r:id="rId32"/>
    <sheet name="March 13" sheetId="33" r:id="rId33"/>
    <sheet name="June 13" sheetId="34" r:id="rId34"/>
    <sheet name="Sept 13" sheetId="35" r:id="rId35"/>
    <sheet name="Dec 13" sheetId="36" r:id="rId36"/>
    <sheet name="March 14" sheetId="37" r:id="rId37"/>
    <sheet name="June 14" sheetId="38" r:id="rId38"/>
    <sheet name="Sept 14" sheetId="39" r:id="rId39"/>
    <sheet name="Dec 14" sheetId="40" r:id="rId40"/>
    <sheet name="March 15" sheetId="41" r:id="rId41"/>
    <sheet name="June 15" sheetId="42" r:id="rId42"/>
    <sheet name="Sept 15" sheetId="43" r:id="rId43"/>
    <sheet name="Dec 15" sheetId="44" r:id="rId44"/>
    <sheet name="March 16" sheetId="45" r:id="rId45"/>
    <sheet name="June 16" sheetId="46" r:id="rId46"/>
    <sheet name="Sept 16" sheetId="47" r:id="rId47"/>
    <sheet name="Dec 16" sheetId="48" r:id="rId48"/>
    <sheet name="Mar 17" sheetId="49" r:id="rId49"/>
    <sheet name="June 17" sheetId="50" r:id="rId50"/>
    <sheet name="Sept 17" sheetId="51" r:id="rId51"/>
    <sheet name="Dec 17" sheetId="52" r:id="rId52"/>
  </sheets>
  <definedNames>
    <definedName name="_100PAGE_3" localSheetId="6">'Sept 06'!$A$131:$S$186</definedName>
    <definedName name="_101PAGE_3" localSheetId="10">'Sept 07'!$A$132:$S$187</definedName>
    <definedName name="_102PAGE_3" localSheetId="14">'Sept 08'!$A$133:$S$188</definedName>
    <definedName name="_103PAGE_3" localSheetId="18">'Sept 09'!$A$133:$S$188</definedName>
    <definedName name="_104PAGE_3" localSheetId="22">'Sept 10'!$A$132:$S$188</definedName>
    <definedName name="_105PAGE_3" localSheetId="26">'Sept 11'!$A$132:$S$188</definedName>
    <definedName name="_106PAGE_3" localSheetId="30">'Sept 12'!$A$132:$S$188</definedName>
    <definedName name="_107PAGE_3" localSheetId="34">'Sept 13'!$A$133:$S$189</definedName>
    <definedName name="_108PAGE_3">'March 05'!$A$129:$S$184</definedName>
    <definedName name="_109PAGE_4" localSheetId="3">'Dec 05'!$A$187:$S$266</definedName>
    <definedName name="_10PAGE_1" localSheetId="1">'June 05'!$A$1:$S$62</definedName>
    <definedName name="_110PAGE_4" localSheetId="7">'Dec 06'!$A$187:$S$266</definedName>
    <definedName name="_111PAGE_4" localSheetId="11">'Dec 07'!$A$189:$S$267</definedName>
    <definedName name="_112PAGE_4" localSheetId="15">'Dec 08'!$A$189:$S$267</definedName>
    <definedName name="_113PAGE_4" localSheetId="19">'Dec 09'!$A$190:$S$268</definedName>
    <definedName name="_114PAGE_4" localSheetId="23">'Dec 10'!$A$189:$S$279</definedName>
    <definedName name="_115PAGE_4" localSheetId="27">'Dec 11'!$A$189:$S$279</definedName>
    <definedName name="_116PAGE_4" localSheetId="31">'Dec 12'!$A$189:$S$279</definedName>
    <definedName name="_117PAGE_4" localSheetId="35">'Dec 13'!$A$190:$S$280</definedName>
    <definedName name="_117PAGE_4" localSheetId="39">'Dec 14'!$A$190:$S$280</definedName>
    <definedName name="_117PAGE_4" localSheetId="43">'Dec 15'!$A$190:$S$280</definedName>
    <definedName name="_117PAGE_4" localSheetId="47">'Dec 16'!$A$190:$S$280</definedName>
    <definedName name="_117PAGE_4" localSheetId="51">'Dec 17'!$A$191:$S$280</definedName>
    <definedName name="_117PAGE_4" localSheetId="37">'June 14'!$A$190:$S$280</definedName>
    <definedName name="_117PAGE_4" localSheetId="41">'June 15'!$A$190:$S$280</definedName>
    <definedName name="_117PAGE_4" localSheetId="45">'June 16'!$A$190:$S$280</definedName>
    <definedName name="_117PAGE_4" localSheetId="49">'June 17'!$A$190:$S$279</definedName>
    <definedName name="_117PAGE_4" localSheetId="48">'Mar 17'!$A$190:$S$279</definedName>
    <definedName name="_117PAGE_4" localSheetId="36">'March 14'!$A$190:$S$280</definedName>
    <definedName name="_117PAGE_4" localSheetId="40">'March 15'!$A$190:$S$280</definedName>
    <definedName name="_117PAGE_4" localSheetId="44">'March 16'!$A$190:$S$280</definedName>
    <definedName name="_117PAGE_4" localSheetId="38">'Sept 14'!$A$190:$S$280</definedName>
    <definedName name="_117PAGE_4" localSheetId="42">'Sept 15'!$A$190:$S$280</definedName>
    <definedName name="_117PAGE_4" localSheetId="46">'Sept 16'!$A$190:$S$280</definedName>
    <definedName name="_117PAGE_4" localSheetId="50">'Sept 17'!$A$190:$S$279</definedName>
    <definedName name="_118PAGE_4" localSheetId="1">'June 05'!$A$185:$S$262</definedName>
    <definedName name="_119PAGE_4" localSheetId="5">'June 06'!$A$187:$S$266</definedName>
    <definedName name="_11PAGE_1" localSheetId="5">'June 06'!$A$1:$S$62</definedName>
    <definedName name="_120PAGE_4" localSheetId="9">'June 07'!$A$188:$S$266</definedName>
    <definedName name="_121PAGE_4" localSheetId="13">'June 08'!$A$189:$S$267</definedName>
    <definedName name="_122PAGE_4" localSheetId="17">'June 09'!$A$189:$S$267</definedName>
    <definedName name="_123PAGE_4" localSheetId="21">'June 10'!$A$189:$S$279</definedName>
    <definedName name="_124PAGE_4" localSheetId="25">'June 11'!$A$189:$S$279</definedName>
    <definedName name="_125PAGE_4" localSheetId="29">'June 12'!$A$189:$S$279</definedName>
    <definedName name="_126PAGE_4" localSheetId="33">'June 13'!$A$190:$S$280</definedName>
    <definedName name="_127PAGE_4" localSheetId="4">'March 06'!$A$187:$S$266</definedName>
    <definedName name="_128PAGE_4" localSheetId="8">'March 07'!$A$188:$S$267</definedName>
    <definedName name="_129PAGE_4" localSheetId="12">'March 08'!$A$189:$S$267</definedName>
    <definedName name="_12PAGE_1" localSheetId="9">'June 07'!$A$1:$S$62</definedName>
    <definedName name="_130PAGE_4" localSheetId="16">'March 09'!$A$189:$S$267</definedName>
    <definedName name="_131PAGE_4" localSheetId="20">'March 10'!$A$190:$S$268</definedName>
    <definedName name="_132PAGE_4" localSheetId="24">'March 11'!$A$189:$S$279</definedName>
    <definedName name="_133PAGE_4" localSheetId="28">'March 12'!$A$189:$S$279</definedName>
    <definedName name="_134PAGE_4" localSheetId="32">'March 13'!$A$190:$S$280</definedName>
    <definedName name="_135PAGE_4" localSheetId="2">'Sept 05'!$A$185:$S$262</definedName>
    <definedName name="_136PAGE_4" localSheetId="6">'Sept 06'!$A$187:$S$266</definedName>
    <definedName name="_137PAGE_4" localSheetId="10">'Sept 07'!$A$188:$S$266</definedName>
    <definedName name="_138PAGE_4" localSheetId="14">'Sept 08'!$A$189:$S$267</definedName>
    <definedName name="_139PAGE_4" localSheetId="18">'Sept 09'!$A$189:$S$267</definedName>
    <definedName name="_13PAGE_1" localSheetId="13">'June 08'!$A$1:$S$62</definedName>
    <definedName name="_140PAGE_4" localSheetId="22">'Sept 10'!$A$189:$S$279</definedName>
    <definedName name="_141PAGE_4" localSheetId="26">'Sept 11'!$A$189:$S$279</definedName>
    <definedName name="_142PAGE_4" localSheetId="30">'Sept 12'!$A$189:$S$279</definedName>
    <definedName name="_143PAGE_4" localSheetId="34">'Sept 13'!$A$190:$S$280</definedName>
    <definedName name="_144PAGE_4">'March 05'!$A$185:$S$247</definedName>
    <definedName name="_14PAGE_1" localSheetId="17">'June 09'!$A$1:$S$62</definedName>
    <definedName name="_15PAGE_1" localSheetId="21">'June 10'!$A$1:$S$62</definedName>
    <definedName name="_16PAGE_1" localSheetId="25">'June 11'!$A$1:$S$62</definedName>
    <definedName name="_17PAGE_1" localSheetId="29">'June 12'!$A$1:$S$62</definedName>
    <definedName name="_18PAGE_1" localSheetId="33">'June 13'!$A$1:$S$62</definedName>
    <definedName name="_19PAGE_1" localSheetId="4">'March 06'!$A$1:$S$62</definedName>
    <definedName name="_1PAGE_1" localSheetId="3">'Dec 05'!$A$1:$S$62</definedName>
    <definedName name="_20PAGE_1" localSheetId="8">'March 07'!$A$1:$S$62</definedName>
    <definedName name="_21PAGE_1" localSheetId="12">'March 08'!$A$1:$S$62</definedName>
    <definedName name="_22PAGE_1" localSheetId="16">'March 09'!$A$1:$S$62</definedName>
    <definedName name="_23PAGE_1" localSheetId="20">'March 10'!$A$1:$S$62</definedName>
    <definedName name="_24PAGE_1" localSheetId="24">'March 11'!$A$1:$S$62</definedName>
    <definedName name="_25PAGE_1" localSheetId="28">'March 12'!$A$1:$S$62</definedName>
    <definedName name="_26PAGE_1" localSheetId="32">'March 13'!$A$1:$S$62</definedName>
    <definedName name="_27PAGE_1" localSheetId="2">'Sept 05'!$A$1:$S$62</definedName>
    <definedName name="_28PAGE_1" localSheetId="6">'Sept 06'!$A$1:$S$62</definedName>
    <definedName name="_29PAGE_1" localSheetId="10">'Sept 07'!$A$1:$S$62</definedName>
    <definedName name="_2PAGE_1" localSheetId="7">'Dec 06'!$A$1:$S$62</definedName>
    <definedName name="_30PAGE_1" localSheetId="14">'Sept 08'!$A$1:$S$62</definedName>
    <definedName name="_31PAGE_1" localSheetId="18">'Sept 09'!$A$1:$S$62</definedName>
    <definedName name="_32PAGE_1" localSheetId="22">'Sept 10'!$A$1:$S$62</definedName>
    <definedName name="_33PAGE_1" localSheetId="26">'Sept 11'!$A$1:$S$62</definedName>
    <definedName name="_34PAGE_1" localSheetId="30">'Sept 12'!$A$1:$S$62</definedName>
    <definedName name="_35PAGE_1" localSheetId="34">'Sept 13'!$A$1:$S$62</definedName>
    <definedName name="_36PAGE_1">'March 05'!$A$1:$S$62</definedName>
    <definedName name="_37PAGE_2" localSheetId="3">'Dec 05'!$A$63:$S$130</definedName>
    <definedName name="_38PAGE_2" localSheetId="7">'Dec 06'!$A$63:$S$130</definedName>
    <definedName name="_39PAGE_2" localSheetId="11">'Dec 07'!$A$63:$S$132</definedName>
    <definedName name="_3PAGE_1" localSheetId="11">'Dec 07'!$A$1:$S$62</definedName>
    <definedName name="_40PAGE_2" localSheetId="15">'Dec 08'!$A$63:$S$132</definedName>
    <definedName name="_41PAGE_2" localSheetId="19">'Dec 09'!$A$63:$S$132</definedName>
    <definedName name="_42PAGE_2" localSheetId="23">'Dec 10'!$A$63:$S$131</definedName>
    <definedName name="_43PAGE_2" localSheetId="27">'Dec 11'!$A$63:$S$131</definedName>
    <definedName name="_44PAGE_2" localSheetId="31">'Dec 12'!$A$63:$S$131</definedName>
    <definedName name="_45PAGE_2" localSheetId="35">'Dec 13'!$A$63:$S$132</definedName>
    <definedName name="_45PAGE_2" localSheetId="39">'Dec 14'!$A$63:$S$132</definedName>
    <definedName name="_45PAGE_2" localSheetId="43">'Dec 15'!$A$63:$S$132</definedName>
    <definedName name="_45PAGE_2" localSheetId="47">'Dec 16'!$A$63:$S$132</definedName>
    <definedName name="_45PAGE_2" localSheetId="51">'Dec 17'!$A$63:$S$133</definedName>
    <definedName name="_45PAGE_2" localSheetId="37">'June 14'!$A$63:$S$132</definedName>
    <definedName name="_45PAGE_2" localSheetId="41">'June 15'!$A$63:$S$132</definedName>
    <definedName name="_45PAGE_2" localSheetId="45">'June 16'!$A$63:$S$132</definedName>
    <definedName name="_45PAGE_2" localSheetId="49">'June 17'!$A$63:$S$132</definedName>
    <definedName name="_45PAGE_2" localSheetId="48">'Mar 17'!$A$63:$S$132</definedName>
    <definedName name="_45PAGE_2" localSheetId="36">'March 14'!$A$63:$S$132</definedName>
    <definedName name="_45PAGE_2" localSheetId="40">'March 15'!$A$63:$S$132</definedName>
    <definedName name="_45PAGE_2" localSheetId="44">'March 16'!$A$63:$S$132</definedName>
    <definedName name="_45PAGE_2" localSheetId="38">'Sept 14'!$A$63:$S$132</definedName>
    <definedName name="_45PAGE_2" localSheetId="42">'Sept 15'!$A$63:$S$132</definedName>
    <definedName name="_45PAGE_2" localSheetId="46">'Sept 16'!$A$63:$S$132</definedName>
    <definedName name="_45PAGE_2" localSheetId="50">'Sept 17'!$A$63:$S$132</definedName>
    <definedName name="_46PAGE_2" localSheetId="1">'June 05'!$A$63:$S$128</definedName>
    <definedName name="_47PAGE_2" localSheetId="5">'June 06'!$A$63:$S$130</definedName>
    <definedName name="_48PAGE_2" localSheetId="9">'June 07'!$A$63:$S$131</definedName>
    <definedName name="_49PAGE_2" localSheetId="13">'June 08'!$A$63:$S$132</definedName>
    <definedName name="_4PAGE_1" localSheetId="15">'Dec 08'!$A$1:$S$62</definedName>
    <definedName name="_50PAGE_2" localSheetId="17">'June 09'!$A$63:$S$132</definedName>
    <definedName name="_51PAGE_2" localSheetId="21">'June 10'!$A$63:$S$131</definedName>
    <definedName name="_52PAGE_2" localSheetId="25">'June 11'!$A$63:$S$131</definedName>
    <definedName name="_53PAGE_2" localSheetId="29">'June 12'!$A$63:$S$131</definedName>
    <definedName name="_54PAGE_2" localSheetId="33">'June 13'!$A$63:$S$132</definedName>
    <definedName name="_55PAGE_2" localSheetId="4">'March 06'!$A$63:$S$130</definedName>
    <definedName name="_56PAGE_2" localSheetId="8">'March 07'!$A$63:$S$131</definedName>
    <definedName name="_57PAGE_2" localSheetId="12">'March 08'!$A$63:$S$132</definedName>
    <definedName name="_58PAGE_2" localSheetId="16">'March 09'!$A$63:$S$132</definedName>
    <definedName name="_59PAGE_2" localSheetId="20">'March 10'!$A$64:$S$132</definedName>
    <definedName name="_5PAGE_1" localSheetId="19">'Dec 09'!$A$1:$S$62</definedName>
    <definedName name="_60PAGE_2" localSheetId="24">'March 11'!$A$63:$S$131</definedName>
    <definedName name="_61PAGE_2" localSheetId="28">'March 12'!$A$63:$S$131</definedName>
    <definedName name="_62PAGE_2" localSheetId="32">'March 13'!$A$63:$S$132</definedName>
    <definedName name="_63PAGE_2" localSheetId="2">'Sept 05'!$A$63:$S$128</definedName>
    <definedName name="_64PAGE_2" localSheetId="6">'Sept 06'!$A$63:$S$130</definedName>
    <definedName name="_65PAGE_2" localSheetId="10">'Sept 07'!$A$63:$S$131</definedName>
    <definedName name="_66PAGE_2" localSheetId="14">'Sept 08'!$A$63:$S$132</definedName>
    <definedName name="_67PAGE_2" localSheetId="18">'Sept 09'!$A$63:$S$132</definedName>
    <definedName name="_68PAGE_2" localSheetId="22">'Sept 10'!$A$63:$S$131</definedName>
    <definedName name="_69PAGE_2" localSheetId="26">'Sept 11'!$A$63:$S$131</definedName>
    <definedName name="_6PAGE_1" localSheetId="23">'Dec 10'!$A$1:$S$62</definedName>
    <definedName name="_70PAGE_2" localSheetId="30">'Sept 12'!$A$63:$S$131</definedName>
    <definedName name="_71PAGE_2" localSheetId="34">'Sept 13'!$A$63:$S$132</definedName>
    <definedName name="_72PAGE_2">'March 05'!$A$63:$S$128</definedName>
    <definedName name="_73PAGE_3" localSheetId="3">'Dec 05'!$A$131:$S$186</definedName>
    <definedName name="_74PAGE_3" localSheetId="7">'Dec 06'!$A$131:$S$186</definedName>
    <definedName name="_75PAGE_3" localSheetId="11">'Dec 07'!$A$133:$S$188</definedName>
    <definedName name="_76PAGE_3" localSheetId="15">'Dec 08'!$A$133:$S$188</definedName>
    <definedName name="_77PAGE_3" localSheetId="19">'Dec 09'!$A$133:$S$189</definedName>
    <definedName name="_78PAGE_3" localSheetId="23">'Dec 10'!$A$132:$S$188</definedName>
    <definedName name="_79PAGE_3" localSheetId="27">'Dec 11'!$A$132:$S$188</definedName>
    <definedName name="_7PAGE_1" localSheetId="27">'Dec 11'!$A$1:$S$62</definedName>
    <definedName name="_80PAGE_3" localSheetId="31">'Dec 12'!$A$132:$S$188</definedName>
    <definedName name="_81PAGE_3" localSheetId="35">'Dec 13'!$A$133:$S$189</definedName>
    <definedName name="_81PAGE_3" localSheetId="39">'Dec 14'!$A$133:$S$189</definedName>
    <definedName name="_81PAGE_3" localSheetId="43">'Dec 15'!$A$133:$S$189</definedName>
    <definedName name="_81PAGE_3" localSheetId="47">'Dec 16'!$A$133:$S$189</definedName>
    <definedName name="_81PAGE_3" localSheetId="51">'Dec 17'!$A$134:$S$190</definedName>
    <definedName name="_81PAGE_3" localSheetId="37">'June 14'!$A$133:$S$189</definedName>
    <definedName name="_81PAGE_3" localSheetId="41">'June 15'!$A$133:$S$189</definedName>
    <definedName name="_81PAGE_3" localSheetId="45">'June 16'!$A$133:$S$189</definedName>
    <definedName name="_81PAGE_3" localSheetId="49">'June 17'!$A$133:$S$189</definedName>
    <definedName name="_81PAGE_3" localSheetId="48">'Mar 17'!$A$133:$S$189</definedName>
    <definedName name="_81PAGE_3" localSheetId="36">'March 14'!$A$133:$S$189</definedName>
    <definedName name="_81PAGE_3" localSheetId="40">'March 15'!$A$133:$S$189</definedName>
    <definedName name="_81PAGE_3" localSheetId="44">'March 16'!$A$133:$S$189</definedName>
    <definedName name="_81PAGE_3" localSheetId="38">'Sept 14'!$A$133:$S$189</definedName>
    <definedName name="_81PAGE_3" localSheetId="42">'Sept 15'!$A$133:$S$189</definedName>
    <definedName name="_81PAGE_3" localSheetId="46">'Sept 16'!$A$133:$S$189</definedName>
    <definedName name="_81PAGE_3" localSheetId="50">'Sept 17'!$A$133:$S$189</definedName>
    <definedName name="_82PAGE_3" localSheetId="1">'June 05'!$A$129:$S$184</definedName>
    <definedName name="_83PAGE_3" localSheetId="5">'June 06'!$A$131:$S$186</definedName>
    <definedName name="_84PAGE_3" localSheetId="9">'June 07'!$A$132:$S$187</definedName>
    <definedName name="_85PAGE_3" localSheetId="13">'June 08'!$A$133:$S$188</definedName>
    <definedName name="_86PAGE_3" localSheetId="17">'June 09'!$A$133:$S$188</definedName>
    <definedName name="_87PAGE_3" localSheetId="21">'June 10'!$A$132:$S$188</definedName>
    <definedName name="_88PAGE_3" localSheetId="25">'June 11'!$A$132:$S$188</definedName>
    <definedName name="_89PAGE_3" localSheetId="29">'June 12'!$A$132:$S$188</definedName>
    <definedName name="_8PAGE_1" localSheetId="31">'Dec 12'!$A$1:$S$62</definedName>
    <definedName name="_90PAGE_3" localSheetId="33">'June 13'!$A$133:$S$189</definedName>
    <definedName name="_91PAGE_3" localSheetId="4">'March 06'!$A$131:$S$186</definedName>
    <definedName name="_92PAGE_3" localSheetId="8">'March 07'!$A$132:$S$187</definedName>
    <definedName name="_93PAGE_3" localSheetId="12">'March 08'!$A$133:$S$188</definedName>
    <definedName name="_94PAGE_3" localSheetId="16">'March 09'!$A$133:$S$188</definedName>
    <definedName name="_95PAGE_3" localSheetId="20">'March 10'!$A$133:$S$189</definedName>
    <definedName name="_96PAGE_3" localSheetId="24">'March 11'!$A$132:$S$188</definedName>
    <definedName name="_97PAGE_3" localSheetId="28">'March 12'!$A$132:$S$188</definedName>
    <definedName name="_98PAGE_3" localSheetId="32">'March 13'!$A$133:$S$189</definedName>
    <definedName name="_99PAGE_3" localSheetId="2">'Sept 05'!$A$129:$S$184</definedName>
    <definedName name="_9PAGE_1" localSheetId="35">'Dec 13'!$A$1:$S$62</definedName>
    <definedName name="_9PAGE_1" localSheetId="39">'Dec 14'!$A$1:$S$62</definedName>
    <definedName name="_9PAGE_1" localSheetId="43">'Dec 15'!$A$1:$S$62</definedName>
    <definedName name="_9PAGE_1" localSheetId="47">'Dec 16'!$A$1:$S$62</definedName>
    <definedName name="_9PAGE_1" localSheetId="51">'Dec 17'!$A$1:$S$62</definedName>
    <definedName name="_9PAGE_1" localSheetId="37">'June 14'!$A$1:$S$62</definedName>
    <definedName name="_9PAGE_1" localSheetId="41">'June 15'!$A$1:$S$62</definedName>
    <definedName name="_9PAGE_1" localSheetId="45">'June 16'!$A$1:$S$62</definedName>
    <definedName name="_9PAGE_1" localSheetId="49">'June 17'!$A$1:$S$62</definedName>
    <definedName name="_9PAGE_1" localSheetId="48">'Mar 17'!$A$1:$S$62</definedName>
    <definedName name="_9PAGE_1" localSheetId="36">'March 14'!$A$1:$S$62</definedName>
    <definedName name="_9PAGE_1" localSheetId="40">'March 15'!$A$1:$S$62</definedName>
    <definedName name="_9PAGE_1" localSheetId="44">'March 16'!$A$1:$S$62</definedName>
    <definedName name="_9PAGE_1" localSheetId="38">'Sept 14'!$A$1:$S$62</definedName>
    <definedName name="_9PAGE_1" localSheetId="42">'Sept 15'!$A$1:$S$62</definedName>
    <definedName name="_9PAGE_1" localSheetId="46">'Sept 16'!$A$1:$S$62</definedName>
    <definedName name="_9PAGE_1" localSheetId="50">'Sept 17'!$A$1:$S$62</definedName>
    <definedName name="_xlnm.Print_Area" localSheetId="3">'Dec 05'!$A$1:$T$267</definedName>
    <definedName name="_xlnm.Print_Area" localSheetId="7">'Dec 06'!$A$1:$T$267</definedName>
    <definedName name="_xlnm.Print_Area" localSheetId="11">'Dec 07'!$A$1:$T$268</definedName>
    <definedName name="_xlnm.Print_Area" localSheetId="15">'Dec 08'!$A$1:$T$268</definedName>
    <definedName name="_xlnm.Print_Area" localSheetId="19">'Dec 09'!$A$1:$T$269</definedName>
    <definedName name="_xlnm.Print_Area" localSheetId="23">'Dec 10'!$A$1:$T$280</definedName>
    <definedName name="_xlnm.Print_Area" localSheetId="27">'Dec 11'!$A$1:$T$280</definedName>
    <definedName name="_xlnm.Print_Area" localSheetId="31">'Dec 12'!$A$1:$T$280</definedName>
    <definedName name="_xlnm.Print_Area" localSheetId="35">'Dec 13'!$A$1:$S$281</definedName>
    <definedName name="_xlnm.Print_Area" localSheetId="39">'Dec 14'!$A$1:$S$281</definedName>
    <definedName name="_xlnm.Print_Area" localSheetId="43">'Dec 15'!$A$1:$S$281</definedName>
    <definedName name="_xlnm.Print_Area" localSheetId="47">'Dec 16'!$A$1:$S$281</definedName>
    <definedName name="_xlnm.Print_Area" localSheetId="51">'Dec 17'!$A$1:$S$281</definedName>
    <definedName name="_xlnm.Print_Area" localSheetId="1">'June 05'!$A$1:$T$263</definedName>
    <definedName name="_xlnm.Print_Area" localSheetId="5">'June 06'!$A$1:$T$267</definedName>
    <definedName name="_xlnm.Print_Area" localSheetId="9">'June 07'!$A$1:$T$267</definedName>
    <definedName name="_xlnm.Print_Area" localSheetId="13">'June 08'!$A$1:$T$268</definedName>
    <definedName name="_xlnm.Print_Area" localSheetId="17">'June 09'!$A$1:$T$268</definedName>
    <definedName name="_xlnm.Print_Area" localSheetId="21">'June 10'!$A$1:$T$280</definedName>
    <definedName name="_xlnm.Print_Area" localSheetId="25">'June 11'!$A$1:$T$280</definedName>
    <definedName name="_xlnm.Print_Area" localSheetId="29">'June 12'!$A$1:$T$280</definedName>
    <definedName name="_xlnm.Print_Area" localSheetId="33">'June 13'!$A$1:$S$281</definedName>
    <definedName name="_xlnm.Print_Area" localSheetId="37">'June 14'!$A$1:$S$281</definedName>
    <definedName name="_xlnm.Print_Area" localSheetId="41">'June 15'!$A$1:$S$281</definedName>
    <definedName name="_xlnm.Print_Area" localSheetId="45">'June 16'!$A$1:$S$281</definedName>
    <definedName name="_xlnm.Print_Area" localSheetId="49">'June 17'!$A$1:$S$280</definedName>
    <definedName name="_xlnm.Print_Area" localSheetId="48">'Mar 17'!$A$1:$S$280</definedName>
    <definedName name="_xlnm.Print_Area" localSheetId="0">'March 05'!$A$1:$T$248</definedName>
    <definedName name="_xlnm.Print_Area" localSheetId="4">'March 06'!$A$1:$T$267</definedName>
    <definedName name="_xlnm.Print_Area" localSheetId="8">'March 07'!$A$1:$T$268</definedName>
    <definedName name="_xlnm.Print_Area" localSheetId="12">'March 08'!$A$1:$T$268</definedName>
    <definedName name="_xlnm.Print_Area" localSheetId="16">'March 09'!$A$1:$T$268</definedName>
    <definedName name="_xlnm.Print_Area" localSheetId="20">'March 10'!$A$1:$T$269</definedName>
    <definedName name="_xlnm.Print_Area" localSheetId="24">'March 11'!$A$1:$T$280</definedName>
    <definedName name="_xlnm.Print_Area" localSheetId="28">'March 12'!$A$1:$T$280</definedName>
    <definedName name="_xlnm.Print_Area" localSheetId="32">'March 13'!$A$1:$S$281</definedName>
    <definedName name="_xlnm.Print_Area" localSheetId="36">'March 14'!$A$1:$S$281</definedName>
    <definedName name="_xlnm.Print_Area" localSheetId="40">'March 15'!$A$1:$S$281</definedName>
    <definedName name="_xlnm.Print_Area" localSheetId="44">'March 16'!$A$1:$S$281</definedName>
    <definedName name="_xlnm.Print_Area" localSheetId="2">'Sept 05'!$A$1:$T$263</definedName>
    <definedName name="_xlnm.Print_Area" localSheetId="6">'Sept 06'!$A$1:$T$267</definedName>
    <definedName name="_xlnm.Print_Area" localSheetId="10">'Sept 07'!$A$1:$T$267</definedName>
    <definedName name="_xlnm.Print_Area" localSheetId="14">'Sept 08'!$A$1:$T$268</definedName>
    <definedName name="_xlnm.Print_Area" localSheetId="18">'Sept 09'!$A$1:$T$268</definedName>
    <definedName name="_xlnm.Print_Area" localSheetId="22">'Sept 10'!$A$1:$T$280</definedName>
    <definedName name="_xlnm.Print_Area" localSheetId="26">'Sept 11'!$A$1:$T$280</definedName>
    <definedName name="_xlnm.Print_Area" localSheetId="30">'Sept 12'!$A$1:$T$280</definedName>
    <definedName name="_xlnm.Print_Area" localSheetId="34">'Sept 13'!$A$1:$S$281</definedName>
    <definedName name="_xlnm.Print_Area" localSheetId="38">'Sept 14'!$A$1:$S$281</definedName>
    <definedName name="_xlnm.Print_Area" localSheetId="42">'Sept 15'!$A$1:$S$281</definedName>
    <definedName name="_xlnm.Print_Area" localSheetId="46">'Sept 16'!$A$1:$S$281</definedName>
    <definedName name="_xlnm.Print_Area" localSheetId="50">'Sept 17'!$A$1:$S$280</definedName>
    <definedName name="_xlnm.Print_Area">'March 05'!$A$1:$S$62</definedName>
  </definedNames>
  <calcPr calcId="171027"/>
</workbook>
</file>

<file path=xl/calcChain.xml><?xml version="1.0" encoding="utf-8"?>
<calcChain xmlns="http://schemas.openxmlformats.org/spreadsheetml/2006/main">
  <c r="P130" i="52" l="1"/>
  <c r="P129" i="52"/>
  <c r="P129" i="51"/>
  <c r="R66" i="52" l="1"/>
  <c r="R94" i="52" l="1"/>
  <c r="R95" i="52" l="1"/>
  <c r="R103" i="52"/>
  <c r="R89" i="52"/>
  <c r="R88" i="52"/>
  <c r="P87" i="52"/>
  <c r="N66" i="52"/>
  <c r="L43" i="52" l="1"/>
  <c r="H43" i="52"/>
  <c r="P176" i="52" l="1"/>
  <c r="O176" i="52"/>
  <c r="O178" i="52" s="1"/>
  <c r="Q271" i="52"/>
  <c r="P271" i="52"/>
  <c r="P210" i="52" s="1"/>
  <c r="O271" i="52"/>
  <c r="N271" i="52"/>
  <c r="P259" i="52"/>
  <c r="N259" i="52"/>
  <c r="P247" i="52"/>
  <c r="N247" i="52"/>
  <c r="P233" i="52"/>
  <c r="N233" i="52"/>
  <c r="P232" i="52"/>
  <c r="N232" i="52"/>
  <c r="P231" i="52"/>
  <c r="N231" i="52"/>
  <c r="P230" i="52"/>
  <c r="N230" i="52"/>
  <c r="P229" i="52"/>
  <c r="N229" i="52"/>
  <c r="P228" i="52"/>
  <c r="N228" i="52"/>
  <c r="P227" i="52"/>
  <c r="N227" i="52"/>
  <c r="P226" i="52"/>
  <c r="N226" i="52"/>
  <c r="O210" i="52"/>
  <c r="P195" i="52"/>
  <c r="P177" i="52"/>
  <c r="P178" i="52" s="1"/>
  <c r="R163" i="52"/>
  <c r="R145" i="52"/>
  <c r="B133" i="52"/>
  <c r="B190" i="52" s="1"/>
  <c r="B280" i="52" s="1"/>
  <c r="P122" i="52"/>
  <c r="P114" i="52"/>
  <c r="R161" i="52" s="1"/>
  <c r="A113" i="52"/>
  <c r="A114" i="52" s="1"/>
  <c r="A115" i="52" s="1"/>
  <c r="A116" i="52" s="1"/>
  <c r="A117" i="52" s="1"/>
  <c r="A118" i="52" s="1"/>
  <c r="A119" i="52" s="1"/>
  <c r="A103" i="52"/>
  <c r="A102" i="52"/>
  <c r="P97" i="52"/>
  <c r="R96" i="52"/>
  <c r="P95" i="52"/>
  <c r="P99" i="52" s="1"/>
  <c r="J85" i="52"/>
  <c r="R79" i="52"/>
  <c r="P69" i="52"/>
  <c r="N69" i="52"/>
  <c r="J69" i="52"/>
  <c r="J82" i="52" s="1"/>
  <c r="H69" i="52"/>
  <c r="H82" i="52" s="1"/>
  <c r="R67" i="52"/>
  <c r="L69" i="52"/>
  <c r="N56" i="52"/>
  <c r="N55" i="52"/>
  <c r="R49" i="52"/>
  <c r="D43" i="52"/>
  <c r="L42" i="52"/>
  <c r="H42" i="52"/>
  <c r="D42" i="52"/>
  <c r="N35" i="52"/>
  <c r="L35" i="52"/>
  <c r="J35" i="52"/>
  <c r="H35" i="52"/>
  <c r="F35" i="52"/>
  <c r="D35" i="52"/>
  <c r="N34" i="52"/>
  <c r="L34" i="52"/>
  <c r="J34" i="52"/>
  <c r="H34" i="52"/>
  <c r="R33" i="52"/>
  <c r="R148" i="52" s="1"/>
  <c r="N32" i="52"/>
  <c r="L32" i="52"/>
  <c r="J32" i="52"/>
  <c r="H32" i="52"/>
  <c r="F32" i="52"/>
  <c r="D32" i="52"/>
  <c r="N31" i="52"/>
  <c r="L31" i="52"/>
  <c r="J31" i="52"/>
  <c r="H31" i="52"/>
  <c r="F31" i="52"/>
  <c r="F34" i="52" s="1"/>
  <c r="D31" i="52"/>
  <c r="D34" i="52" s="1"/>
  <c r="R99" i="52" l="1"/>
  <c r="R35" i="52"/>
  <c r="R34" i="52"/>
  <c r="R42" i="52" s="1"/>
  <c r="P198" i="52" s="1"/>
  <c r="P209" i="52"/>
  <c r="P235" i="52"/>
  <c r="Q259" i="52"/>
  <c r="P273" i="52"/>
  <c r="N235" i="52"/>
  <c r="O209" i="52"/>
  <c r="N273" i="52"/>
  <c r="P214" i="52"/>
  <c r="P215" i="52" s="1"/>
  <c r="R162" i="52"/>
  <c r="R164" i="52" s="1"/>
  <c r="R178" i="52"/>
  <c r="O179" i="52"/>
  <c r="R176" i="52"/>
  <c r="R177" i="52"/>
  <c r="R51" i="52"/>
  <c r="R69" i="52"/>
  <c r="R137" i="52"/>
  <c r="P87" i="51"/>
  <c r="L66" i="51"/>
  <c r="R119" i="52" l="1"/>
  <c r="R129" i="52" s="1"/>
  <c r="R130" i="52" s="1"/>
  <c r="Q247" i="52"/>
  <c r="Q235" i="52"/>
  <c r="O247" i="52"/>
  <c r="O235" i="52"/>
  <c r="O259" i="52"/>
  <c r="R170" i="52"/>
  <c r="R82" i="52"/>
  <c r="R171" i="52" s="1"/>
  <c r="R102" i="51"/>
  <c r="R89" i="51"/>
  <c r="R88" i="51"/>
  <c r="L43" i="51" l="1"/>
  <c r="H43" i="51"/>
  <c r="P175" i="51" l="1"/>
  <c r="O175" i="51"/>
  <c r="Q270" i="51"/>
  <c r="P270" i="51"/>
  <c r="O270" i="51"/>
  <c r="N270" i="51"/>
  <c r="P258" i="51"/>
  <c r="N258" i="51"/>
  <c r="Q256" i="51"/>
  <c r="O256" i="51"/>
  <c r="Q255" i="51"/>
  <c r="O255" i="51"/>
  <c r="Q254" i="51"/>
  <c r="O254" i="51"/>
  <c r="Q253" i="51"/>
  <c r="O253" i="51"/>
  <c r="Q252" i="51"/>
  <c r="O252" i="51"/>
  <c r="Q251" i="51"/>
  <c r="O251" i="51"/>
  <c r="Q250" i="51"/>
  <c r="O250" i="51"/>
  <c r="Q249" i="51"/>
  <c r="O249" i="51"/>
  <c r="O258" i="51" s="1"/>
  <c r="P246" i="51"/>
  <c r="Q244" i="51" s="1"/>
  <c r="N246" i="51"/>
  <c r="N272" i="51" s="1"/>
  <c r="O242" i="51"/>
  <c r="O241" i="51"/>
  <c r="O240" i="51"/>
  <c r="O239" i="51"/>
  <c r="Q238" i="51"/>
  <c r="O238" i="51"/>
  <c r="Q237" i="51"/>
  <c r="O237" i="51"/>
  <c r="P232" i="51"/>
  <c r="N232" i="51"/>
  <c r="P231" i="51"/>
  <c r="N231" i="51"/>
  <c r="P230" i="51"/>
  <c r="N230" i="51"/>
  <c r="P229" i="51"/>
  <c r="N229" i="51"/>
  <c r="P228" i="51"/>
  <c r="N228" i="51"/>
  <c r="P227" i="51"/>
  <c r="N227" i="51"/>
  <c r="P226" i="51"/>
  <c r="N226" i="51"/>
  <c r="P225" i="51"/>
  <c r="N225" i="51"/>
  <c r="P209" i="51"/>
  <c r="O209" i="51"/>
  <c r="P208" i="51"/>
  <c r="O208" i="51"/>
  <c r="P194" i="51"/>
  <c r="P176" i="51"/>
  <c r="P177" i="51" s="1"/>
  <c r="O177" i="51"/>
  <c r="R162" i="51"/>
  <c r="R144" i="51"/>
  <c r="B132" i="51"/>
  <c r="B189" i="51" s="1"/>
  <c r="B279" i="51" s="1"/>
  <c r="P128" i="51"/>
  <c r="P121" i="51"/>
  <c r="P113" i="51"/>
  <c r="R160" i="51" s="1"/>
  <c r="A112" i="51"/>
  <c r="A113" i="51" s="1"/>
  <c r="A114" i="51" s="1"/>
  <c r="A115" i="51" s="1"/>
  <c r="A116" i="51" s="1"/>
  <c r="A117" i="51" s="1"/>
  <c r="A118" i="51" s="1"/>
  <c r="A102" i="51"/>
  <c r="A101" i="51"/>
  <c r="P96" i="51"/>
  <c r="R95" i="51"/>
  <c r="R94" i="51"/>
  <c r="R98" i="51" s="1"/>
  <c r="P94" i="51"/>
  <c r="P98" i="51" s="1"/>
  <c r="J85" i="51"/>
  <c r="R79" i="51"/>
  <c r="P69" i="51"/>
  <c r="N69" i="51"/>
  <c r="J69" i="51"/>
  <c r="J82" i="51" s="1"/>
  <c r="H69" i="51"/>
  <c r="H82" i="51" s="1"/>
  <c r="R67" i="51"/>
  <c r="L69" i="51"/>
  <c r="N56" i="51"/>
  <c r="N55" i="51"/>
  <c r="R49" i="51"/>
  <c r="D43" i="51"/>
  <c r="L42" i="51"/>
  <c r="H42" i="51"/>
  <c r="D42" i="51"/>
  <c r="N35" i="51"/>
  <c r="L35" i="51"/>
  <c r="J35" i="51"/>
  <c r="H35" i="51"/>
  <c r="F35" i="51"/>
  <c r="D35" i="51"/>
  <c r="N34" i="51"/>
  <c r="L34" i="51"/>
  <c r="J34" i="51"/>
  <c r="H34" i="51"/>
  <c r="F34" i="51"/>
  <c r="R33" i="51"/>
  <c r="R147" i="51" s="1"/>
  <c r="N32" i="51"/>
  <c r="L32" i="51"/>
  <c r="J32" i="51"/>
  <c r="H32" i="51"/>
  <c r="F32" i="51"/>
  <c r="D32" i="51"/>
  <c r="N31" i="51"/>
  <c r="L31" i="51"/>
  <c r="J31" i="51"/>
  <c r="H31" i="51"/>
  <c r="F31" i="51"/>
  <c r="D31" i="51"/>
  <c r="D34" i="51" s="1"/>
  <c r="R50" i="51" l="1"/>
  <c r="R35" i="51"/>
  <c r="R34" i="51"/>
  <c r="R42" i="51" s="1"/>
  <c r="P196" i="51" s="1"/>
  <c r="P197" i="51" s="1"/>
  <c r="Q258" i="51"/>
  <c r="P234" i="51"/>
  <c r="Q227" i="51" s="1"/>
  <c r="Q239" i="51"/>
  <c r="Q240" i="51"/>
  <c r="Q241" i="51"/>
  <c r="P272" i="51"/>
  <c r="N234" i="51"/>
  <c r="O226" i="51" s="1"/>
  <c r="O243" i="51"/>
  <c r="O246" i="51" s="1"/>
  <c r="O244" i="51"/>
  <c r="P198" i="51"/>
  <c r="R182" i="51"/>
  <c r="R184" i="51"/>
  <c r="R118" i="51"/>
  <c r="R128" i="51" s="1"/>
  <c r="R129" i="51" s="1"/>
  <c r="Q226" i="51"/>
  <c r="Q228" i="51"/>
  <c r="Q229" i="51"/>
  <c r="Q230" i="51"/>
  <c r="Q231" i="51"/>
  <c r="Q232" i="51"/>
  <c r="P213" i="51"/>
  <c r="P214" i="51" s="1"/>
  <c r="R161" i="51"/>
  <c r="R163" i="51" s="1"/>
  <c r="R177" i="51"/>
  <c r="O178" i="51"/>
  <c r="O230" i="51"/>
  <c r="O231" i="51"/>
  <c r="O232" i="51"/>
  <c r="R175" i="51"/>
  <c r="R176" i="51"/>
  <c r="P203" i="51"/>
  <c r="O225" i="51"/>
  <c r="Q225" i="51"/>
  <c r="Q242" i="51"/>
  <c r="Q243" i="51"/>
  <c r="R51" i="51"/>
  <c r="R66" i="51"/>
  <c r="R69" i="51" s="1"/>
  <c r="R136" i="51"/>
  <c r="R128" i="50"/>
  <c r="P128" i="50"/>
  <c r="O229" i="51" l="1"/>
  <c r="O228" i="51"/>
  <c r="O227" i="51"/>
  <c r="Q246" i="51"/>
  <c r="Q234" i="51"/>
  <c r="R169" i="51"/>
  <c r="R82" i="51"/>
  <c r="R170" i="51" s="1"/>
  <c r="R102" i="50"/>
  <c r="R89" i="50"/>
  <c r="R88" i="50"/>
  <c r="P87" i="50"/>
  <c r="L66" i="50"/>
  <c r="L43" i="50"/>
  <c r="H43" i="50"/>
  <c r="O234" i="51" l="1"/>
  <c r="P175" i="50"/>
  <c r="O175" i="50"/>
  <c r="Q270" i="50"/>
  <c r="P270" i="50"/>
  <c r="O270" i="50"/>
  <c r="N270" i="50"/>
  <c r="P258" i="50"/>
  <c r="Q256" i="50" s="1"/>
  <c r="N258" i="50"/>
  <c r="O256" i="50"/>
  <c r="O255" i="50"/>
  <c r="O254" i="50"/>
  <c r="O253" i="50"/>
  <c r="O252" i="50"/>
  <c r="O251" i="50"/>
  <c r="O250" i="50"/>
  <c r="Q249" i="50"/>
  <c r="O249" i="50"/>
  <c r="O258" i="50" s="1"/>
  <c r="P246" i="50"/>
  <c r="Q243" i="50" s="1"/>
  <c r="N246" i="50"/>
  <c r="N272" i="50" s="1"/>
  <c r="O241" i="50"/>
  <c r="O240" i="50"/>
  <c r="O239" i="50"/>
  <c r="O238" i="50"/>
  <c r="O237" i="50"/>
  <c r="P232" i="50"/>
  <c r="N232" i="50"/>
  <c r="P231" i="50"/>
  <c r="N231" i="50"/>
  <c r="P230" i="50"/>
  <c r="N230" i="50"/>
  <c r="P229" i="50"/>
  <c r="N229" i="50"/>
  <c r="P228" i="50"/>
  <c r="N228" i="50"/>
  <c r="P227" i="50"/>
  <c r="N227" i="50"/>
  <c r="P226" i="50"/>
  <c r="N226" i="50"/>
  <c r="P225" i="50"/>
  <c r="N225" i="50"/>
  <c r="P209" i="50"/>
  <c r="O209" i="50"/>
  <c r="P208" i="50"/>
  <c r="O208" i="50"/>
  <c r="P203" i="50"/>
  <c r="P194" i="50"/>
  <c r="P177" i="50"/>
  <c r="R176" i="50"/>
  <c r="P176" i="50"/>
  <c r="O177" i="50"/>
  <c r="R162" i="50"/>
  <c r="R144" i="50"/>
  <c r="B132" i="50"/>
  <c r="B189" i="50" s="1"/>
  <c r="B279" i="50" s="1"/>
  <c r="P121" i="50"/>
  <c r="P113" i="50"/>
  <c r="R160" i="50" s="1"/>
  <c r="A113" i="50"/>
  <c r="A114" i="50" s="1"/>
  <c r="A115" i="50" s="1"/>
  <c r="A116" i="50" s="1"/>
  <c r="A117" i="50" s="1"/>
  <c r="A118" i="50" s="1"/>
  <c r="A112" i="50"/>
  <c r="A101" i="50"/>
  <c r="A102" i="50" s="1"/>
  <c r="P96" i="50"/>
  <c r="R95" i="50"/>
  <c r="P94" i="50"/>
  <c r="P98" i="50" s="1"/>
  <c r="R94" i="50"/>
  <c r="R98" i="50" s="1"/>
  <c r="J85" i="50"/>
  <c r="R79" i="50"/>
  <c r="P69" i="50"/>
  <c r="N69" i="50"/>
  <c r="L69" i="50"/>
  <c r="J69" i="50"/>
  <c r="J82" i="50" s="1"/>
  <c r="H69" i="50"/>
  <c r="H82" i="50" s="1"/>
  <c r="R67" i="50"/>
  <c r="R66" i="50"/>
  <c r="R69" i="50" s="1"/>
  <c r="N56" i="50"/>
  <c r="N55" i="50"/>
  <c r="R49" i="50"/>
  <c r="D43" i="50"/>
  <c r="L42" i="50"/>
  <c r="H42" i="50"/>
  <c r="D42" i="50"/>
  <c r="N35" i="50"/>
  <c r="L35" i="50"/>
  <c r="J35" i="50"/>
  <c r="H35" i="50"/>
  <c r="F35" i="50"/>
  <c r="D35" i="50"/>
  <c r="N34" i="50"/>
  <c r="L34" i="50"/>
  <c r="J34" i="50"/>
  <c r="H34" i="50"/>
  <c r="F34" i="50"/>
  <c r="R33" i="50"/>
  <c r="R147" i="50" s="1"/>
  <c r="N32" i="50"/>
  <c r="L32" i="50"/>
  <c r="J32" i="50"/>
  <c r="H32" i="50"/>
  <c r="F32" i="50"/>
  <c r="D32" i="50"/>
  <c r="N31" i="50"/>
  <c r="L31" i="50"/>
  <c r="J31" i="50"/>
  <c r="H31" i="50"/>
  <c r="F31" i="50"/>
  <c r="D31" i="50"/>
  <c r="D34" i="50" s="1"/>
  <c r="R34" i="50" s="1"/>
  <c r="R42" i="50" s="1"/>
  <c r="P196" i="50" s="1"/>
  <c r="P197" i="50" s="1"/>
  <c r="Q251" i="50" l="1"/>
  <c r="Q255" i="50"/>
  <c r="Q253" i="50"/>
  <c r="Q250" i="50"/>
  <c r="Q258" i="50" s="1"/>
  <c r="Q252" i="50"/>
  <c r="Q254" i="50"/>
  <c r="P129" i="50"/>
  <c r="R50" i="50"/>
  <c r="R35" i="50"/>
  <c r="Q244" i="50"/>
  <c r="P234" i="50"/>
  <c r="Q232" i="50" s="1"/>
  <c r="Q242" i="50"/>
  <c r="P272" i="50"/>
  <c r="Q237" i="50"/>
  <c r="Q238" i="50"/>
  <c r="Q239" i="50"/>
  <c r="Q240" i="50"/>
  <c r="Q241" i="50"/>
  <c r="O242" i="50"/>
  <c r="O243" i="50"/>
  <c r="O244" i="50"/>
  <c r="N234" i="50"/>
  <c r="O232" i="50" s="1"/>
  <c r="O246" i="50"/>
  <c r="R82" i="50"/>
  <c r="R170" i="50" s="1"/>
  <c r="R169" i="50"/>
  <c r="P213" i="50"/>
  <c r="P214" i="50" s="1"/>
  <c r="R161" i="50"/>
  <c r="R163" i="50" s="1"/>
  <c r="R177" i="50"/>
  <c r="O178" i="50"/>
  <c r="P198" i="50"/>
  <c r="R182" i="50"/>
  <c r="R118" i="50"/>
  <c r="R129" i="50" s="1"/>
  <c r="R184" i="50"/>
  <c r="O228" i="50"/>
  <c r="O227" i="50"/>
  <c r="O226" i="50"/>
  <c r="O225" i="50"/>
  <c r="R51" i="50"/>
  <c r="R136" i="50"/>
  <c r="R175" i="50"/>
  <c r="R102" i="49"/>
  <c r="R89" i="49"/>
  <c r="R88" i="49"/>
  <c r="P87" i="49"/>
  <c r="L66" i="49"/>
  <c r="L43" i="49"/>
  <c r="H43" i="49"/>
  <c r="Q225" i="50" l="1"/>
  <c r="Q227" i="50"/>
  <c r="Q229" i="50"/>
  <c r="Q231" i="50"/>
  <c r="O229" i="50"/>
  <c r="O230" i="50"/>
  <c r="O231" i="50"/>
  <c r="O234" i="50" s="1"/>
  <c r="Q226" i="50"/>
  <c r="Q228" i="50"/>
  <c r="Q230" i="50"/>
  <c r="Q246" i="50"/>
  <c r="P175" i="49"/>
  <c r="O175" i="49"/>
  <c r="Q270" i="49"/>
  <c r="P270" i="49"/>
  <c r="P209" i="49" s="1"/>
  <c r="O270" i="49"/>
  <c r="N270" i="49"/>
  <c r="P258" i="49"/>
  <c r="N258" i="49"/>
  <c r="Q256" i="49"/>
  <c r="O256" i="49"/>
  <c r="Q255" i="49"/>
  <c r="O255" i="49"/>
  <c r="Q254" i="49"/>
  <c r="O254" i="49"/>
  <c r="Q253" i="49"/>
  <c r="O253" i="49"/>
  <c r="Q252" i="49"/>
  <c r="O252" i="49"/>
  <c r="Q251" i="49"/>
  <c r="O251" i="49"/>
  <c r="Q250" i="49"/>
  <c r="O250" i="49"/>
  <c r="Q249" i="49"/>
  <c r="Q258" i="49" s="1"/>
  <c r="O249" i="49"/>
  <c r="O258" i="49" s="1"/>
  <c r="P246" i="49"/>
  <c r="Q244" i="49" s="1"/>
  <c r="N246" i="49"/>
  <c r="N272" i="49" s="1"/>
  <c r="O240" i="49"/>
  <c r="P232" i="49"/>
  <c r="N232" i="49"/>
  <c r="P231" i="49"/>
  <c r="N231" i="49"/>
  <c r="P230" i="49"/>
  <c r="N230" i="49"/>
  <c r="P229" i="49"/>
  <c r="N229" i="49"/>
  <c r="P228" i="49"/>
  <c r="N228" i="49"/>
  <c r="P227" i="49"/>
  <c r="N227" i="49"/>
  <c r="P226" i="49"/>
  <c r="N226" i="49"/>
  <c r="P225" i="49"/>
  <c r="P234" i="49" s="1"/>
  <c r="N225" i="49"/>
  <c r="N234" i="49" s="1"/>
  <c r="O209" i="49"/>
  <c r="P208" i="49"/>
  <c r="O208" i="49"/>
  <c r="P194" i="49"/>
  <c r="R176" i="49"/>
  <c r="P176" i="49"/>
  <c r="P177" i="49" s="1"/>
  <c r="O177" i="49"/>
  <c r="R164" i="49"/>
  <c r="R162" i="49"/>
  <c r="R144" i="49"/>
  <c r="B132" i="49"/>
  <c r="B189" i="49" s="1"/>
  <c r="B279" i="49" s="1"/>
  <c r="P121" i="49"/>
  <c r="P128" i="49" s="1"/>
  <c r="P113" i="49"/>
  <c r="R160" i="49" s="1"/>
  <c r="A112" i="49"/>
  <c r="A113" i="49" s="1"/>
  <c r="A114" i="49" s="1"/>
  <c r="A115" i="49" s="1"/>
  <c r="A116" i="49" s="1"/>
  <c r="A117" i="49" s="1"/>
  <c r="A118" i="49" s="1"/>
  <c r="A101" i="49"/>
  <c r="A102" i="49" s="1"/>
  <c r="P96" i="49"/>
  <c r="R95" i="49"/>
  <c r="P94" i="49"/>
  <c r="P98" i="49" s="1"/>
  <c r="J85" i="49"/>
  <c r="R79" i="49"/>
  <c r="P69" i="49"/>
  <c r="N69" i="49"/>
  <c r="L69" i="49"/>
  <c r="J69" i="49"/>
  <c r="J82" i="49" s="1"/>
  <c r="H69" i="49"/>
  <c r="H82" i="49" s="1"/>
  <c r="R67" i="49"/>
  <c r="R66" i="49"/>
  <c r="R69" i="49" s="1"/>
  <c r="P203" i="49"/>
  <c r="N56" i="49"/>
  <c r="N55" i="49"/>
  <c r="R49" i="49"/>
  <c r="D43" i="49"/>
  <c r="L42" i="49"/>
  <c r="H42" i="49"/>
  <c r="D42" i="49"/>
  <c r="N35" i="49"/>
  <c r="L35" i="49"/>
  <c r="J35" i="49"/>
  <c r="H35" i="49"/>
  <c r="F35" i="49"/>
  <c r="D35" i="49"/>
  <c r="N34" i="49"/>
  <c r="L34" i="49"/>
  <c r="J34" i="49"/>
  <c r="H34" i="49"/>
  <c r="R33" i="49"/>
  <c r="R147" i="49" s="1"/>
  <c r="N32" i="49"/>
  <c r="L32" i="49"/>
  <c r="J32" i="49"/>
  <c r="H32" i="49"/>
  <c r="F32" i="49"/>
  <c r="D32" i="49"/>
  <c r="N31" i="49"/>
  <c r="L31" i="49"/>
  <c r="J31" i="49"/>
  <c r="H31" i="49"/>
  <c r="F31" i="49"/>
  <c r="F34" i="49" s="1"/>
  <c r="D31" i="49"/>
  <c r="D34" i="49" s="1"/>
  <c r="Q234" i="50" l="1"/>
  <c r="P129" i="49"/>
  <c r="R35" i="49"/>
  <c r="O238" i="49"/>
  <c r="O242" i="49"/>
  <c r="O237" i="49"/>
  <c r="O239" i="49"/>
  <c r="O241" i="49"/>
  <c r="O243" i="49"/>
  <c r="O244" i="49"/>
  <c r="R34" i="49"/>
  <c r="R42" i="49" s="1"/>
  <c r="P196" i="49" s="1"/>
  <c r="P197" i="49" s="1"/>
  <c r="R50" i="49"/>
  <c r="P272" i="49"/>
  <c r="R94" i="49"/>
  <c r="R98" i="49" s="1"/>
  <c r="R182" i="49" s="1"/>
  <c r="Q237" i="49"/>
  <c r="Q238" i="49"/>
  <c r="Q239" i="49"/>
  <c r="Q240" i="49"/>
  <c r="Q241" i="49"/>
  <c r="Q242" i="49"/>
  <c r="Q243" i="49"/>
  <c r="R82" i="49"/>
  <c r="R170" i="49" s="1"/>
  <c r="R169" i="49"/>
  <c r="P213" i="49"/>
  <c r="P214" i="49" s="1"/>
  <c r="R161" i="49"/>
  <c r="R163" i="49" s="1"/>
  <c r="R177" i="49"/>
  <c r="O178" i="49"/>
  <c r="Q232" i="49"/>
  <c r="Q231" i="49"/>
  <c r="Q230" i="49"/>
  <c r="Q229" i="49"/>
  <c r="Q228" i="49"/>
  <c r="Q227" i="49"/>
  <c r="Q226" i="49"/>
  <c r="Q225" i="49"/>
  <c r="O232" i="49"/>
  <c r="O231" i="49"/>
  <c r="O230" i="49"/>
  <c r="O229" i="49"/>
  <c r="O228" i="49"/>
  <c r="O227" i="49"/>
  <c r="O226" i="49"/>
  <c r="O225" i="49"/>
  <c r="R51" i="49"/>
  <c r="R136" i="49"/>
  <c r="R175" i="49"/>
  <c r="R42" i="48"/>
  <c r="R118" i="49" l="1"/>
  <c r="R128" i="49" s="1"/>
  <c r="R129" i="49" s="1"/>
  <c r="P198" i="49"/>
  <c r="O246" i="49"/>
  <c r="O234" i="49"/>
  <c r="R184" i="49"/>
  <c r="Q246" i="49"/>
  <c r="Q234" i="49"/>
  <c r="R102" i="48"/>
  <c r="R89" i="48"/>
  <c r="R88" i="48"/>
  <c r="P87" i="48"/>
  <c r="L66" i="48"/>
  <c r="L43" i="48"/>
  <c r="H43" i="48"/>
  <c r="R164" i="48" l="1"/>
  <c r="P175" i="48" l="1"/>
  <c r="O175" i="48"/>
  <c r="O177" i="48" s="1"/>
  <c r="Q270" i="48"/>
  <c r="P270" i="48"/>
  <c r="O270" i="48"/>
  <c r="N270" i="48"/>
  <c r="P258" i="48"/>
  <c r="N258" i="48"/>
  <c r="Q256" i="48"/>
  <c r="O256" i="48"/>
  <c r="Q255" i="48"/>
  <c r="O255" i="48"/>
  <c r="Q254" i="48"/>
  <c r="O254" i="48"/>
  <c r="Q253" i="48"/>
  <c r="O253" i="48"/>
  <c r="Q252" i="48"/>
  <c r="O252" i="48"/>
  <c r="Q251" i="48"/>
  <c r="O251" i="48"/>
  <c r="Q250" i="48"/>
  <c r="O250" i="48"/>
  <c r="Q249" i="48"/>
  <c r="Q258" i="48" s="1"/>
  <c r="O249" i="48"/>
  <c r="O258" i="48" s="1"/>
  <c r="P246" i="48"/>
  <c r="Q244" i="48" s="1"/>
  <c r="N246" i="48"/>
  <c r="N272" i="48" s="1"/>
  <c r="O244" i="48"/>
  <c r="O243" i="48"/>
  <c r="Q242" i="48"/>
  <c r="O242" i="48"/>
  <c r="Q241" i="48"/>
  <c r="O241" i="48"/>
  <c r="Q240" i="48"/>
  <c r="O240" i="48"/>
  <c r="Q239" i="48"/>
  <c r="O239" i="48"/>
  <c r="Q238" i="48"/>
  <c r="O238" i="48"/>
  <c r="Q237" i="48"/>
  <c r="O237" i="48"/>
  <c r="O246" i="48" s="1"/>
  <c r="P232" i="48"/>
  <c r="N232" i="48"/>
  <c r="P231" i="48"/>
  <c r="N231" i="48"/>
  <c r="P230" i="48"/>
  <c r="N230" i="48"/>
  <c r="P229" i="48"/>
  <c r="N229" i="48"/>
  <c r="P228" i="48"/>
  <c r="N228" i="48"/>
  <c r="P227" i="48"/>
  <c r="N227" i="48"/>
  <c r="P226" i="48"/>
  <c r="N226" i="48"/>
  <c r="P225" i="48"/>
  <c r="N225" i="48"/>
  <c r="P209" i="48"/>
  <c r="O209" i="48"/>
  <c r="P208" i="48"/>
  <c r="O208" i="48"/>
  <c r="P194" i="48"/>
  <c r="P177" i="48"/>
  <c r="R176" i="48"/>
  <c r="P176" i="48"/>
  <c r="R162" i="48"/>
  <c r="R144" i="48"/>
  <c r="B132" i="48"/>
  <c r="B189" i="48" s="1"/>
  <c r="B280" i="48" s="1"/>
  <c r="P128" i="48"/>
  <c r="P121" i="48"/>
  <c r="P113" i="48"/>
  <c r="R160" i="48" s="1"/>
  <c r="A112" i="48"/>
  <c r="A113" i="48" s="1"/>
  <c r="A114" i="48" s="1"/>
  <c r="A115" i="48" s="1"/>
  <c r="A116" i="48" s="1"/>
  <c r="A117" i="48" s="1"/>
  <c r="A118" i="48" s="1"/>
  <c r="A102" i="48"/>
  <c r="A101" i="48"/>
  <c r="P96" i="48"/>
  <c r="R95" i="48"/>
  <c r="R94" i="48"/>
  <c r="R98" i="48" s="1"/>
  <c r="P94" i="48"/>
  <c r="P98" i="48" s="1"/>
  <c r="J85" i="48"/>
  <c r="H82" i="48"/>
  <c r="R79" i="48"/>
  <c r="P69" i="48"/>
  <c r="N69" i="48"/>
  <c r="J69" i="48"/>
  <c r="J82" i="48" s="1"/>
  <c r="H69" i="48"/>
  <c r="R67" i="48"/>
  <c r="L69" i="48"/>
  <c r="N56" i="48"/>
  <c r="N55" i="48"/>
  <c r="R49" i="48"/>
  <c r="D43" i="48"/>
  <c r="L42" i="48"/>
  <c r="H42" i="48"/>
  <c r="D42" i="48"/>
  <c r="N35" i="48"/>
  <c r="L35" i="48"/>
  <c r="J35" i="48"/>
  <c r="H35" i="48"/>
  <c r="F35" i="48"/>
  <c r="D35" i="48"/>
  <c r="N34" i="48"/>
  <c r="L34" i="48"/>
  <c r="J34" i="48"/>
  <c r="H34" i="48"/>
  <c r="D34" i="48"/>
  <c r="R33" i="48"/>
  <c r="R147" i="48" s="1"/>
  <c r="N32" i="48"/>
  <c r="L32" i="48"/>
  <c r="J32" i="48"/>
  <c r="H32" i="48"/>
  <c r="F32" i="48"/>
  <c r="D32" i="48"/>
  <c r="N31" i="48"/>
  <c r="L31" i="48"/>
  <c r="J31" i="48"/>
  <c r="H31" i="48"/>
  <c r="F31" i="48"/>
  <c r="F34" i="48" s="1"/>
  <c r="D31" i="48"/>
  <c r="P129" i="48" l="1"/>
  <c r="R35" i="48"/>
  <c r="R50" i="48"/>
  <c r="P234" i="48"/>
  <c r="Q231" i="48" s="1"/>
  <c r="P272" i="48"/>
  <c r="Q243" i="48"/>
  <c r="Q246" i="48" s="1"/>
  <c r="N234" i="48"/>
  <c r="O232" i="48" s="1"/>
  <c r="P198" i="48"/>
  <c r="R182" i="48"/>
  <c r="R184" i="48"/>
  <c r="R118" i="48"/>
  <c r="R128" i="48" s="1"/>
  <c r="R129" i="48" s="1"/>
  <c r="Q232" i="48"/>
  <c r="Q228" i="48"/>
  <c r="Q227" i="48"/>
  <c r="Q226" i="48"/>
  <c r="Q225" i="48"/>
  <c r="R34" i="48"/>
  <c r="P196" i="48" s="1"/>
  <c r="P197" i="48" s="1"/>
  <c r="P213" i="48"/>
  <c r="P214" i="48" s="1"/>
  <c r="R161" i="48"/>
  <c r="R163" i="48" s="1"/>
  <c r="R177" i="48"/>
  <c r="O178" i="48"/>
  <c r="O225" i="48"/>
  <c r="R175" i="48"/>
  <c r="P203" i="48"/>
  <c r="R51" i="48"/>
  <c r="R66" i="48"/>
  <c r="R69" i="48" s="1"/>
  <c r="R136" i="48"/>
  <c r="R102" i="47"/>
  <c r="R89" i="47"/>
  <c r="R88" i="47"/>
  <c r="P87" i="47"/>
  <c r="L66" i="47"/>
  <c r="Q229" i="48" l="1"/>
  <c r="O226" i="48"/>
  <c r="Q230" i="48"/>
  <c r="O228" i="48"/>
  <c r="O230" i="48"/>
  <c r="O227" i="48"/>
  <c r="O229" i="48"/>
  <c r="O231" i="48"/>
  <c r="R169" i="48"/>
  <c r="R82" i="48"/>
  <c r="R170" i="48" s="1"/>
  <c r="Q234" i="48"/>
  <c r="Q270" i="47"/>
  <c r="P270" i="47"/>
  <c r="P209" i="47" s="1"/>
  <c r="O270" i="47"/>
  <c r="N270" i="47"/>
  <c r="P258" i="47"/>
  <c r="N258" i="47"/>
  <c r="Q256" i="47"/>
  <c r="O256" i="47"/>
  <c r="Q255" i="47"/>
  <c r="O255" i="47"/>
  <c r="Q254" i="47"/>
  <c r="O254" i="47"/>
  <c r="Q253" i="47"/>
  <c r="O253" i="47"/>
  <c r="Q252" i="47"/>
  <c r="O252" i="47"/>
  <c r="Q251" i="47"/>
  <c r="O251" i="47"/>
  <c r="Q250" i="47"/>
  <c r="O250" i="47"/>
  <c r="Q249" i="47"/>
  <c r="Q258" i="47" s="1"/>
  <c r="O249" i="47"/>
  <c r="O258" i="47" s="1"/>
  <c r="P246" i="47"/>
  <c r="N246" i="47"/>
  <c r="N272" i="47" s="1"/>
  <c r="Q244" i="47"/>
  <c r="O244" i="47"/>
  <c r="Q243" i="47"/>
  <c r="O243" i="47"/>
  <c r="Q242" i="47"/>
  <c r="O242" i="47"/>
  <c r="Q241" i="47"/>
  <c r="O241" i="47"/>
  <c r="Q240" i="47"/>
  <c r="O240" i="47"/>
  <c r="Q239" i="47"/>
  <c r="O239" i="47"/>
  <c r="Q238" i="47"/>
  <c r="O238" i="47"/>
  <c r="Q237" i="47"/>
  <c r="Q246" i="47" s="1"/>
  <c r="O237" i="47"/>
  <c r="O246" i="47" s="1"/>
  <c r="P232" i="47"/>
  <c r="N232" i="47"/>
  <c r="P231" i="47"/>
  <c r="N231" i="47"/>
  <c r="P230" i="47"/>
  <c r="N230" i="47"/>
  <c r="P229" i="47"/>
  <c r="N229" i="47"/>
  <c r="P228" i="47"/>
  <c r="N228" i="47"/>
  <c r="P227" i="47"/>
  <c r="N227" i="47"/>
  <c r="P226" i="47"/>
  <c r="N226" i="47"/>
  <c r="P225" i="47"/>
  <c r="P234" i="47" s="1"/>
  <c r="N225" i="47"/>
  <c r="O209" i="47"/>
  <c r="P208" i="47"/>
  <c r="O208" i="47"/>
  <c r="P203" i="47"/>
  <c r="P194" i="47"/>
  <c r="R176" i="47"/>
  <c r="P176" i="47"/>
  <c r="R162" i="47"/>
  <c r="R144" i="47"/>
  <c r="B132" i="47"/>
  <c r="B189" i="47" s="1"/>
  <c r="B280" i="47" s="1"/>
  <c r="P121" i="47"/>
  <c r="P128" i="47" s="1"/>
  <c r="P113" i="47"/>
  <c r="R160" i="47" s="1"/>
  <c r="A113" i="47"/>
  <c r="A114" i="47" s="1"/>
  <c r="A115" i="47" s="1"/>
  <c r="A116" i="47" s="1"/>
  <c r="A117" i="47" s="1"/>
  <c r="A118" i="47" s="1"/>
  <c r="A112" i="47"/>
  <c r="A101" i="47"/>
  <c r="A102" i="47" s="1"/>
  <c r="P96" i="47"/>
  <c r="R95" i="47"/>
  <c r="P94" i="47"/>
  <c r="P98" i="47" s="1"/>
  <c r="R94" i="47"/>
  <c r="R98" i="47" s="1"/>
  <c r="J85" i="47"/>
  <c r="R79" i="47"/>
  <c r="P69" i="47"/>
  <c r="N69" i="47"/>
  <c r="L69" i="47"/>
  <c r="J69" i="47"/>
  <c r="J82" i="47" s="1"/>
  <c r="H69" i="47"/>
  <c r="H82" i="47" s="1"/>
  <c r="R67" i="47"/>
  <c r="R66" i="47"/>
  <c r="N56" i="47"/>
  <c r="N55" i="47"/>
  <c r="R49" i="47"/>
  <c r="L43" i="47"/>
  <c r="H43" i="47"/>
  <c r="D43" i="47"/>
  <c r="L42" i="47"/>
  <c r="H42" i="47"/>
  <c r="D42" i="47"/>
  <c r="N35" i="47"/>
  <c r="L35" i="47"/>
  <c r="J35" i="47"/>
  <c r="H35" i="47"/>
  <c r="F35" i="47"/>
  <c r="D35" i="47"/>
  <c r="N34" i="47"/>
  <c r="L34" i="47"/>
  <c r="J34" i="47"/>
  <c r="H34" i="47"/>
  <c r="R33" i="47"/>
  <c r="R147" i="47" s="1"/>
  <c r="N32" i="47"/>
  <c r="L32" i="47"/>
  <c r="J32" i="47"/>
  <c r="H32" i="47"/>
  <c r="F32" i="47"/>
  <c r="D32" i="47"/>
  <c r="N31" i="47"/>
  <c r="L31" i="47"/>
  <c r="J31" i="47"/>
  <c r="H31" i="47"/>
  <c r="F31" i="47"/>
  <c r="F34" i="47" s="1"/>
  <c r="D31" i="47"/>
  <c r="D34" i="47" s="1"/>
  <c r="O234" i="48" l="1"/>
  <c r="R34" i="47"/>
  <c r="R69" i="47"/>
  <c r="P272" i="47"/>
  <c r="P129" i="47"/>
  <c r="R35" i="47"/>
  <c r="R50" i="47"/>
  <c r="N234" i="47"/>
  <c r="O231" i="47" s="1"/>
  <c r="R82" i="47"/>
  <c r="R170" i="47" s="1"/>
  <c r="R169" i="47"/>
  <c r="P213" i="47"/>
  <c r="R161" i="47"/>
  <c r="R163" i="47" s="1"/>
  <c r="Q232" i="47"/>
  <c r="Q231" i="47"/>
  <c r="Q230" i="47"/>
  <c r="Q229" i="47"/>
  <c r="Q228" i="47"/>
  <c r="Q227" i="47"/>
  <c r="Q226" i="47"/>
  <c r="Q225" i="47"/>
  <c r="P198" i="47"/>
  <c r="R182" i="47"/>
  <c r="R118" i="47"/>
  <c r="R128" i="47" s="1"/>
  <c r="R129" i="47" s="1"/>
  <c r="R184" i="47"/>
  <c r="O230" i="47"/>
  <c r="O226" i="47"/>
  <c r="R51" i="47"/>
  <c r="R136" i="47"/>
  <c r="R102" i="46"/>
  <c r="R89" i="46"/>
  <c r="R88" i="46"/>
  <c r="P87" i="46"/>
  <c r="L66" i="46"/>
  <c r="L43" i="46"/>
  <c r="H43" i="46"/>
  <c r="R42" i="47" l="1"/>
  <c r="P196" i="47" s="1"/>
  <c r="P197" i="47" s="1"/>
  <c r="O228" i="47"/>
  <c r="O232" i="47"/>
  <c r="O225" i="47"/>
  <c r="O227" i="47"/>
  <c r="O229" i="47"/>
  <c r="Q234" i="47"/>
  <c r="O234" i="47"/>
  <c r="R164" i="46"/>
  <c r="Q270" i="46" l="1"/>
  <c r="P270" i="46"/>
  <c r="O270" i="46"/>
  <c r="N270" i="46"/>
  <c r="P258" i="46"/>
  <c r="N258" i="46"/>
  <c r="Q256" i="46"/>
  <c r="O256" i="46"/>
  <c r="Q255" i="46"/>
  <c r="O255" i="46"/>
  <c r="Q254" i="46"/>
  <c r="O254" i="46"/>
  <c r="Q253" i="46"/>
  <c r="O253" i="46"/>
  <c r="Q252" i="46"/>
  <c r="O252" i="46"/>
  <c r="Q251" i="46"/>
  <c r="O251" i="46"/>
  <c r="Q250" i="46"/>
  <c r="O250" i="46"/>
  <c r="Q249" i="46"/>
  <c r="Q258" i="46" s="1"/>
  <c r="O249" i="46"/>
  <c r="O258" i="46" s="1"/>
  <c r="P246" i="46"/>
  <c r="P272" i="46" s="1"/>
  <c r="N246" i="46"/>
  <c r="N272" i="46" s="1"/>
  <c r="Q244" i="46"/>
  <c r="Q242" i="46"/>
  <c r="Q240" i="46"/>
  <c r="Q238" i="46"/>
  <c r="P232" i="46"/>
  <c r="N232" i="46"/>
  <c r="P231" i="46"/>
  <c r="N231" i="46"/>
  <c r="P230" i="46"/>
  <c r="N230" i="46"/>
  <c r="P229" i="46"/>
  <c r="N229" i="46"/>
  <c r="P228" i="46"/>
  <c r="N228" i="46"/>
  <c r="P227" i="46"/>
  <c r="N227" i="46"/>
  <c r="P226" i="46"/>
  <c r="N226" i="46"/>
  <c r="P225" i="46"/>
  <c r="P234" i="46" s="1"/>
  <c r="N225" i="46"/>
  <c r="P209" i="46"/>
  <c r="O209" i="46"/>
  <c r="P208" i="46"/>
  <c r="O208" i="46"/>
  <c r="P194" i="46"/>
  <c r="P176" i="46"/>
  <c r="R162" i="46"/>
  <c r="R144" i="46"/>
  <c r="B132" i="46"/>
  <c r="B189" i="46" s="1"/>
  <c r="B280" i="46" s="1"/>
  <c r="P121" i="46"/>
  <c r="P128" i="46" s="1"/>
  <c r="P113" i="46"/>
  <c r="R160" i="46" s="1"/>
  <c r="A112" i="46"/>
  <c r="A113" i="46" s="1"/>
  <c r="A114" i="46" s="1"/>
  <c r="A115" i="46" s="1"/>
  <c r="A116" i="46" s="1"/>
  <c r="A117" i="46" s="1"/>
  <c r="A118" i="46" s="1"/>
  <c r="A101" i="46"/>
  <c r="A102" i="46" s="1"/>
  <c r="P96" i="46"/>
  <c r="R95" i="46"/>
  <c r="P94" i="46"/>
  <c r="P98" i="46" s="1"/>
  <c r="R94" i="46"/>
  <c r="R98" i="46" s="1"/>
  <c r="J85" i="46"/>
  <c r="R79" i="46"/>
  <c r="P69" i="46"/>
  <c r="J69" i="46"/>
  <c r="J82" i="46" s="1"/>
  <c r="H69" i="46"/>
  <c r="H82" i="46" s="1"/>
  <c r="R67" i="46"/>
  <c r="N69" i="46"/>
  <c r="P203" i="46"/>
  <c r="N56" i="46"/>
  <c r="N55" i="46"/>
  <c r="R49" i="46"/>
  <c r="D43" i="46"/>
  <c r="L42" i="46"/>
  <c r="H42" i="46"/>
  <c r="D42" i="46"/>
  <c r="N35" i="46"/>
  <c r="L35" i="46"/>
  <c r="J35" i="46"/>
  <c r="H35" i="46"/>
  <c r="F35" i="46"/>
  <c r="D35" i="46"/>
  <c r="N34" i="46"/>
  <c r="L34" i="46"/>
  <c r="J34" i="46"/>
  <c r="H34" i="46"/>
  <c r="R33" i="46"/>
  <c r="R51" i="46" s="1"/>
  <c r="N32" i="46"/>
  <c r="L32" i="46"/>
  <c r="J32" i="46"/>
  <c r="H32" i="46"/>
  <c r="F32" i="46"/>
  <c r="D32" i="46"/>
  <c r="N31" i="46"/>
  <c r="L31" i="46"/>
  <c r="J31" i="46"/>
  <c r="H31" i="46"/>
  <c r="F31" i="46"/>
  <c r="F34" i="46" s="1"/>
  <c r="D31" i="46"/>
  <c r="D34" i="46" s="1"/>
  <c r="R136" i="46" l="1"/>
  <c r="R147" i="46"/>
  <c r="R176" i="46"/>
  <c r="P129" i="46"/>
  <c r="R35" i="46"/>
  <c r="R50" i="46"/>
  <c r="Q237" i="46"/>
  <c r="Q239" i="46"/>
  <c r="Q241" i="46"/>
  <c r="Q243" i="46"/>
  <c r="O237" i="46"/>
  <c r="O238" i="46"/>
  <c r="O239" i="46"/>
  <c r="O240" i="46"/>
  <c r="O241" i="46"/>
  <c r="N234" i="46"/>
  <c r="O231" i="46" s="1"/>
  <c r="O242" i="46"/>
  <c r="O243" i="46"/>
  <c r="O244" i="46"/>
  <c r="P213" i="46"/>
  <c r="R161" i="46"/>
  <c r="R163" i="46" s="1"/>
  <c r="O232" i="46"/>
  <c r="O228" i="46"/>
  <c r="R34" i="46"/>
  <c r="R42" i="46" s="1"/>
  <c r="P196" i="46" s="1"/>
  <c r="P197" i="46" s="1"/>
  <c r="P198" i="46"/>
  <c r="R182" i="46"/>
  <c r="R184" i="46"/>
  <c r="R118" i="46"/>
  <c r="R128" i="46" s="1"/>
  <c r="R129" i="46" s="1"/>
  <c r="Q232" i="46"/>
  <c r="Q231" i="46"/>
  <c r="Q230" i="46"/>
  <c r="Q229" i="46"/>
  <c r="Q228" i="46"/>
  <c r="Q227" i="46"/>
  <c r="Q226" i="46"/>
  <c r="Q225" i="46"/>
  <c r="R66" i="46"/>
  <c r="R69" i="46" s="1"/>
  <c r="L69" i="46"/>
  <c r="Q234" i="46" l="1"/>
  <c r="Q246" i="46"/>
  <c r="O226" i="46"/>
  <c r="O230" i="46"/>
  <c r="O225" i="46"/>
  <c r="O227" i="46"/>
  <c r="O229" i="46"/>
  <c r="O246" i="46"/>
  <c r="R169" i="46"/>
  <c r="R82" i="46"/>
  <c r="R170" i="46" s="1"/>
  <c r="R49" i="45"/>
  <c r="O234" i="46" l="1"/>
  <c r="R102" i="45"/>
  <c r="R89" i="45"/>
  <c r="R88" i="45"/>
  <c r="P87" i="45"/>
  <c r="N66" i="45"/>
  <c r="L66" i="45"/>
  <c r="L43" i="45"/>
  <c r="H43" i="45"/>
  <c r="Q270" i="45" l="1"/>
  <c r="P270" i="45"/>
  <c r="O270" i="45"/>
  <c r="N270" i="45"/>
  <c r="P258" i="45"/>
  <c r="Q256" i="45" s="1"/>
  <c r="N258" i="45"/>
  <c r="O256" i="45"/>
  <c r="Q255" i="45"/>
  <c r="O255" i="45"/>
  <c r="Q254" i="45"/>
  <c r="O254" i="45"/>
  <c r="Q253" i="45"/>
  <c r="O253" i="45"/>
  <c r="Q252" i="45"/>
  <c r="O252" i="45"/>
  <c r="Q251" i="45"/>
  <c r="O251" i="45"/>
  <c r="Q250" i="45"/>
  <c r="O250" i="45"/>
  <c r="Q249" i="45"/>
  <c r="O249" i="45"/>
  <c r="O258" i="45" s="1"/>
  <c r="P246" i="45"/>
  <c r="P272" i="45" s="1"/>
  <c r="N246" i="45"/>
  <c r="N272" i="45" s="1"/>
  <c r="Q244" i="45"/>
  <c r="O244" i="45"/>
  <c r="Q243" i="45"/>
  <c r="O243" i="45"/>
  <c r="Q242" i="45"/>
  <c r="O242" i="45"/>
  <c r="Q241" i="45"/>
  <c r="O241" i="45"/>
  <c r="Q240" i="45"/>
  <c r="O240" i="45"/>
  <c r="Q239" i="45"/>
  <c r="O239" i="45"/>
  <c r="Q238" i="45"/>
  <c r="O238" i="45"/>
  <c r="Q237" i="45"/>
  <c r="Q246" i="45" s="1"/>
  <c r="O237" i="45"/>
  <c r="O246" i="45" s="1"/>
  <c r="P232" i="45"/>
  <c r="N232" i="45"/>
  <c r="P231" i="45"/>
  <c r="N231" i="45"/>
  <c r="P230" i="45"/>
  <c r="N230" i="45"/>
  <c r="P229" i="45"/>
  <c r="N229" i="45"/>
  <c r="P228" i="45"/>
  <c r="N228" i="45"/>
  <c r="P227" i="45"/>
  <c r="N227" i="45"/>
  <c r="P226" i="45"/>
  <c r="N226" i="45"/>
  <c r="P225" i="45"/>
  <c r="P234" i="45" s="1"/>
  <c r="N225" i="45"/>
  <c r="N234" i="45" s="1"/>
  <c r="P209" i="45"/>
  <c r="O209" i="45"/>
  <c r="P208" i="45"/>
  <c r="O208" i="45"/>
  <c r="P194" i="45"/>
  <c r="P176" i="45"/>
  <c r="R162" i="45"/>
  <c r="R144" i="45"/>
  <c r="B132" i="45"/>
  <c r="B189" i="45" s="1"/>
  <c r="B280" i="45" s="1"/>
  <c r="P121" i="45"/>
  <c r="P128" i="45" s="1"/>
  <c r="P113" i="45"/>
  <c r="R160" i="45" s="1"/>
  <c r="A112" i="45"/>
  <c r="A113" i="45" s="1"/>
  <c r="A114" i="45" s="1"/>
  <c r="A115" i="45" s="1"/>
  <c r="A116" i="45" s="1"/>
  <c r="A117" i="45" s="1"/>
  <c r="A118" i="45" s="1"/>
  <c r="A101" i="45"/>
  <c r="A102" i="45" s="1"/>
  <c r="P96" i="45"/>
  <c r="R95" i="45"/>
  <c r="R94" i="45"/>
  <c r="R98" i="45" s="1"/>
  <c r="P94" i="45"/>
  <c r="P98" i="45" s="1"/>
  <c r="J85" i="45"/>
  <c r="R79" i="45"/>
  <c r="P69" i="45"/>
  <c r="N69" i="45"/>
  <c r="J69" i="45"/>
  <c r="J82" i="45" s="1"/>
  <c r="H69" i="45"/>
  <c r="H82" i="45" s="1"/>
  <c r="R67" i="45"/>
  <c r="L69" i="45"/>
  <c r="N56" i="45"/>
  <c r="N55" i="45"/>
  <c r="D43" i="45"/>
  <c r="L42" i="45"/>
  <c r="H42" i="45"/>
  <c r="D42" i="45"/>
  <c r="N35" i="45"/>
  <c r="L35" i="45"/>
  <c r="J35" i="45"/>
  <c r="H35" i="45"/>
  <c r="F35" i="45"/>
  <c r="D35" i="45"/>
  <c r="N34" i="45"/>
  <c r="L34" i="45"/>
  <c r="J34" i="45"/>
  <c r="H34" i="45"/>
  <c r="R33" i="45"/>
  <c r="R147" i="45" s="1"/>
  <c r="N32" i="45"/>
  <c r="L32" i="45"/>
  <c r="J32" i="45"/>
  <c r="H32" i="45"/>
  <c r="F32" i="45"/>
  <c r="D32" i="45"/>
  <c r="N31" i="45"/>
  <c r="L31" i="45"/>
  <c r="J31" i="45"/>
  <c r="H31" i="45"/>
  <c r="F31" i="45"/>
  <c r="F34" i="45" s="1"/>
  <c r="D31" i="45"/>
  <c r="D34" i="45" s="1"/>
  <c r="R50" i="45" l="1"/>
  <c r="Q258" i="45"/>
  <c r="R176" i="45"/>
  <c r="P129" i="45"/>
  <c r="R35" i="45"/>
  <c r="P198" i="45"/>
  <c r="R182" i="45"/>
  <c r="R184" i="45"/>
  <c r="R118" i="45"/>
  <c r="Q232" i="45"/>
  <c r="Q231" i="45"/>
  <c r="Q230" i="45"/>
  <c r="Q229" i="45"/>
  <c r="Q228" i="45"/>
  <c r="Q227" i="45"/>
  <c r="Q226" i="45"/>
  <c r="Q225" i="45"/>
  <c r="R34" i="45"/>
  <c r="R42" i="45" s="1"/>
  <c r="P196" i="45" s="1"/>
  <c r="P197" i="45" s="1"/>
  <c r="P213" i="45"/>
  <c r="R161" i="45"/>
  <c r="R163" i="45" s="1"/>
  <c r="O232" i="45"/>
  <c r="O231" i="45"/>
  <c r="O230" i="45"/>
  <c r="O229" i="45"/>
  <c r="O228" i="45"/>
  <c r="O227" i="45"/>
  <c r="O226" i="45"/>
  <c r="O225" i="45"/>
  <c r="P203" i="45"/>
  <c r="R51" i="45"/>
  <c r="R66" i="45"/>
  <c r="R69" i="45" s="1"/>
  <c r="R136" i="45"/>
  <c r="R102" i="44"/>
  <c r="R89" i="44"/>
  <c r="R88" i="44"/>
  <c r="P87" i="44"/>
  <c r="L66" i="44"/>
  <c r="L43" i="44"/>
  <c r="H43" i="44"/>
  <c r="R128" i="45" l="1"/>
  <c r="R129" i="45" s="1"/>
  <c r="R169" i="45"/>
  <c r="R82" i="45"/>
  <c r="R170" i="45" s="1"/>
  <c r="O234" i="45"/>
  <c r="Q234" i="45"/>
  <c r="Q270" i="44"/>
  <c r="P270" i="44"/>
  <c r="P272" i="44" s="1"/>
  <c r="O270" i="44"/>
  <c r="N270" i="44"/>
  <c r="P258" i="44"/>
  <c r="N258" i="44"/>
  <c r="O256" i="44" s="1"/>
  <c r="Q256" i="44"/>
  <c r="Q255" i="44"/>
  <c r="Q254" i="44"/>
  <c r="Q253" i="44"/>
  <c r="Q252" i="44"/>
  <c r="Q251" i="44"/>
  <c r="Q250" i="44"/>
  <c r="Q249" i="44"/>
  <c r="O249" i="44"/>
  <c r="P246" i="44"/>
  <c r="N246" i="44"/>
  <c r="O244" i="44" s="1"/>
  <c r="Q244" i="44"/>
  <c r="Q243" i="44"/>
  <c r="Q242" i="44"/>
  <c r="Q241" i="44"/>
  <c r="Q240" i="44"/>
  <c r="Q239" i="44"/>
  <c r="Q238" i="44"/>
  <c r="Q237" i="44"/>
  <c r="P232" i="44"/>
  <c r="N232" i="44"/>
  <c r="P231" i="44"/>
  <c r="N231" i="44"/>
  <c r="P230" i="44"/>
  <c r="N230" i="44"/>
  <c r="P229" i="44"/>
  <c r="N229" i="44"/>
  <c r="P228" i="44"/>
  <c r="N228" i="44"/>
  <c r="P227" i="44"/>
  <c r="N227" i="44"/>
  <c r="P226" i="44"/>
  <c r="N226" i="44"/>
  <c r="P225" i="44"/>
  <c r="P234" i="44" s="1"/>
  <c r="N225" i="44"/>
  <c r="N234" i="44" s="1"/>
  <c r="P209" i="44"/>
  <c r="O209" i="44"/>
  <c r="P208" i="44"/>
  <c r="P194" i="44"/>
  <c r="P176" i="44"/>
  <c r="R176" i="44" s="1"/>
  <c r="R162" i="44"/>
  <c r="R144" i="44"/>
  <c r="B132" i="44"/>
  <c r="B189" i="44" s="1"/>
  <c r="B280" i="44" s="1"/>
  <c r="P121" i="44"/>
  <c r="P128" i="44" s="1"/>
  <c r="P113" i="44"/>
  <c r="R160" i="44" s="1"/>
  <c r="A112" i="44"/>
  <c r="A113" i="44" s="1"/>
  <c r="A114" i="44" s="1"/>
  <c r="A115" i="44" s="1"/>
  <c r="A116" i="44" s="1"/>
  <c r="A117" i="44" s="1"/>
  <c r="A118" i="44" s="1"/>
  <c r="A101" i="44"/>
  <c r="A102" i="44" s="1"/>
  <c r="P96" i="44"/>
  <c r="R95" i="44"/>
  <c r="P94" i="44"/>
  <c r="P98" i="44" s="1"/>
  <c r="R94" i="44"/>
  <c r="R98" i="44" s="1"/>
  <c r="J85" i="44"/>
  <c r="H82" i="44"/>
  <c r="R79" i="44"/>
  <c r="P69" i="44"/>
  <c r="N69" i="44"/>
  <c r="J69" i="44"/>
  <c r="J82" i="44" s="1"/>
  <c r="H69" i="44"/>
  <c r="R67" i="44"/>
  <c r="L69" i="44"/>
  <c r="N56" i="44"/>
  <c r="N55" i="44"/>
  <c r="R49" i="44"/>
  <c r="D43" i="44"/>
  <c r="L42" i="44"/>
  <c r="H42" i="44"/>
  <c r="D42" i="44"/>
  <c r="N35" i="44"/>
  <c r="L35" i="44"/>
  <c r="J35" i="44"/>
  <c r="H35" i="44"/>
  <c r="F35" i="44"/>
  <c r="D35" i="44"/>
  <c r="N34" i="44"/>
  <c r="L34" i="44"/>
  <c r="J34" i="44"/>
  <c r="H34" i="44"/>
  <c r="R33" i="44"/>
  <c r="R147" i="44" s="1"/>
  <c r="N32" i="44"/>
  <c r="L32" i="44"/>
  <c r="J32" i="44"/>
  <c r="H32" i="44"/>
  <c r="F32" i="44"/>
  <c r="D32" i="44"/>
  <c r="N31" i="44"/>
  <c r="L31" i="44"/>
  <c r="J31" i="44"/>
  <c r="H31" i="44"/>
  <c r="F31" i="44"/>
  <c r="F34" i="44" s="1"/>
  <c r="D31" i="44"/>
  <c r="D34" i="44" s="1"/>
  <c r="P129" i="44" l="1"/>
  <c r="R50" i="44"/>
  <c r="R35" i="44"/>
  <c r="R34" i="44"/>
  <c r="R42" i="44" s="1"/>
  <c r="P196" i="44" s="1"/>
  <c r="P197" i="44" s="1"/>
  <c r="Q258" i="44"/>
  <c r="O253" i="44"/>
  <c r="O251" i="44"/>
  <c r="O255" i="44"/>
  <c r="Q246" i="44"/>
  <c r="O239" i="44"/>
  <c r="O237" i="44"/>
  <c r="O241" i="44"/>
  <c r="O227" i="44"/>
  <c r="O229" i="44"/>
  <c r="O231" i="44"/>
  <c r="R182" i="44"/>
  <c r="P198" i="44"/>
  <c r="R118" i="44"/>
  <c r="R128" i="44" s="1"/>
  <c r="R129" i="44" s="1"/>
  <c r="R184" i="44"/>
  <c r="P213" i="44"/>
  <c r="R161" i="44"/>
  <c r="R163" i="44" s="1"/>
  <c r="Q232" i="44"/>
  <c r="Q230" i="44"/>
  <c r="Q228" i="44"/>
  <c r="Q226" i="44"/>
  <c r="Q231" i="44"/>
  <c r="Q229" i="44"/>
  <c r="Q227" i="44"/>
  <c r="Q225" i="44"/>
  <c r="O226" i="44"/>
  <c r="O228" i="44"/>
  <c r="O230" i="44"/>
  <c r="O232" i="44"/>
  <c r="R51" i="44"/>
  <c r="P203" i="44"/>
  <c r="O225" i="44"/>
  <c r="R66" i="44"/>
  <c r="R69" i="44" s="1"/>
  <c r="R136" i="44"/>
  <c r="O243" i="44"/>
  <c r="N272" i="44"/>
  <c r="O208" i="44"/>
  <c r="O238" i="44"/>
  <c r="O240" i="44"/>
  <c r="O242" i="44"/>
  <c r="O250" i="44"/>
  <c r="O252" i="44"/>
  <c r="O254" i="44"/>
  <c r="R102" i="43"/>
  <c r="R89" i="43"/>
  <c r="R88" i="43"/>
  <c r="P87" i="43"/>
  <c r="L66" i="43"/>
  <c r="L43" i="43"/>
  <c r="H43" i="43"/>
  <c r="D43" i="43"/>
  <c r="O258" i="44" l="1"/>
  <c r="Q234" i="44"/>
  <c r="O246" i="44"/>
  <c r="R82" i="44"/>
  <c r="R170" i="44" s="1"/>
  <c r="R169" i="44"/>
  <c r="O234" i="44"/>
  <c r="Q270" i="43"/>
  <c r="P270" i="43"/>
  <c r="O270" i="43"/>
  <c r="N270" i="43"/>
  <c r="P258" i="43"/>
  <c r="Q256" i="43" s="1"/>
  <c r="N258" i="43"/>
  <c r="O254" i="43" s="1"/>
  <c r="P246" i="43"/>
  <c r="Q241" i="43" s="1"/>
  <c r="N246" i="43"/>
  <c r="P232" i="43"/>
  <c r="N232" i="43"/>
  <c r="P231" i="43"/>
  <c r="N231" i="43"/>
  <c r="P230" i="43"/>
  <c r="N230" i="43"/>
  <c r="P229" i="43"/>
  <c r="N229" i="43"/>
  <c r="P228" i="43"/>
  <c r="N228" i="43"/>
  <c r="P227" i="43"/>
  <c r="N227" i="43"/>
  <c r="P226" i="43"/>
  <c r="N226" i="43"/>
  <c r="P225" i="43"/>
  <c r="N225" i="43"/>
  <c r="P209" i="43"/>
  <c r="O209" i="43"/>
  <c r="P194" i="43"/>
  <c r="P176" i="43"/>
  <c r="R176" i="43" s="1"/>
  <c r="R162" i="43"/>
  <c r="R144" i="43"/>
  <c r="B132" i="43"/>
  <c r="B189" i="43" s="1"/>
  <c r="B280" i="43" s="1"/>
  <c r="P121" i="43"/>
  <c r="P128" i="43" s="1"/>
  <c r="P113" i="43"/>
  <c r="R160" i="43" s="1"/>
  <c r="A112" i="43"/>
  <c r="A113" i="43" s="1"/>
  <c r="A114" i="43" s="1"/>
  <c r="A115" i="43" s="1"/>
  <c r="A116" i="43" s="1"/>
  <c r="A117" i="43" s="1"/>
  <c r="A118" i="43" s="1"/>
  <c r="A101" i="43"/>
  <c r="A102" i="43" s="1"/>
  <c r="P96" i="43"/>
  <c r="R95" i="43"/>
  <c r="P94" i="43"/>
  <c r="P98" i="43" s="1"/>
  <c r="R94" i="43"/>
  <c r="R98" i="43" s="1"/>
  <c r="J85" i="43"/>
  <c r="R79" i="43"/>
  <c r="P69" i="43"/>
  <c r="N69" i="43"/>
  <c r="L69" i="43"/>
  <c r="J69" i="43"/>
  <c r="J82" i="43" s="1"/>
  <c r="H69" i="43"/>
  <c r="H82" i="43" s="1"/>
  <c r="R67" i="43"/>
  <c r="R66" i="43"/>
  <c r="P203" i="43"/>
  <c r="N56" i="43"/>
  <c r="N55" i="43"/>
  <c r="R49" i="43"/>
  <c r="L42" i="43"/>
  <c r="H42" i="43"/>
  <c r="D42" i="43"/>
  <c r="N35" i="43"/>
  <c r="L35" i="43"/>
  <c r="J35" i="43"/>
  <c r="H35" i="43"/>
  <c r="F35" i="43"/>
  <c r="D35" i="43"/>
  <c r="N34" i="43"/>
  <c r="L34" i="43"/>
  <c r="J34" i="43"/>
  <c r="H34" i="43"/>
  <c r="R33" i="43"/>
  <c r="R51" i="43" s="1"/>
  <c r="N32" i="43"/>
  <c r="L32" i="43"/>
  <c r="J32" i="43"/>
  <c r="H32" i="43"/>
  <c r="F32" i="43"/>
  <c r="D32" i="43"/>
  <c r="N31" i="43"/>
  <c r="L31" i="43"/>
  <c r="J31" i="43"/>
  <c r="H31" i="43"/>
  <c r="F31" i="43"/>
  <c r="F34" i="43" s="1"/>
  <c r="D31" i="43"/>
  <c r="D34" i="43" s="1"/>
  <c r="R69" i="43" l="1"/>
  <c r="P208" i="43"/>
  <c r="Q249" i="43"/>
  <c r="Q253" i="43"/>
  <c r="Q250" i="43"/>
  <c r="Q254" i="43"/>
  <c r="Q251" i="43"/>
  <c r="Q255" i="43"/>
  <c r="Q252" i="43"/>
  <c r="O208" i="43"/>
  <c r="O249" i="43"/>
  <c r="O251" i="43"/>
  <c r="O253" i="43"/>
  <c r="O255" i="43"/>
  <c r="O250" i="43"/>
  <c r="O252" i="43"/>
  <c r="O256" i="43"/>
  <c r="N272" i="43"/>
  <c r="P234" i="43"/>
  <c r="Q230" i="43" s="1"/>
  <c r="Q238" i="43"/>
  <c r="Q242" i="43"/>
  <c r="Q239" i="43"/>
  <c r="Q243" i="43"/>
  <c r="P272" i="43"/>
  <c r="Q240" i="43"/>
  <c r="Q244" i="43"/>
  <c r="Q237" i="43"/>
  <c r="O240" i="43"/>
  <c r="O244" i="43"/>
  <c r="O238" i="43"/>
  <c r="O242" i="43"/>
  <c r="O237" i="43"/>
  <c r="O239" i="43"/>
  <c r="O241" i="43"/>
  <c r="O243" i="43"/>
  <c r="P129" i="43"/>
  <c r="R50" i="43"/>
  <c r="R35" i="43"/>
  <c r="R34" i="43"/>
  <c r="R42" i="43" s="1"/>
  <c r="P196" i="43" s="1"/>
  <c r="P197" i="43" s="1"/>
  <c r="R182" i="43"/>
  <c r="P198" i="43"/>
  <c r="R118" i="43"/>
  <c r="R128" i="43" s="1"/>
  <c r="R129" i="43" s="1"/>
  <c r="R184" i="43"/>
  <c r="Q232" i="43"/>
  <c r="Q231" i="43"/>
  <c r="Q227" i="43"/>
  <c r="Q226" i="43"/>
  <c r="Q225" i="43"/>
  <c r="R82" i="43"/>
  <c r="R170" i="43" s="1"/>
  <c r="R169" i="43"/>
  <c r="P213" i="43"/>
  <c r="R161" i="43"/>
  <c r="R163" i="43" s="1"/>
  <c r="R136" i="43"/>
  <c r="N234" i="43"/>
  <c r="O227" i="43" s="1"/>
  <c r="R147" i="43"/>
  <c r="R164" i="42"/>
  <c r="Q228" i="43" l="1"/>
  <c r="Q229" i="43"/>
  <c r="Q258" i="43"/>
  <c r="O258" i="43"/>
  <c r="Q246" i="43"/>
  <c r="O226" i="43"/>
  <c r="O230" i="43"/>
  <c r="O232" i="43"/>
  <c r="O229" i="43"/>
  <c r="O246" i="43"/>
  <c r="Q234" i="43"/>
  <c r="O225" i="43"/>
  <c r="O231" i="43"/>
  <c r="O228" i="43"/>
  <c r="R102" i="42"/>
  <c r="R89" i="42"/>
  <c r="R88" i="42"/>
  <c r="P87" i="42"/>
  <c r="L66" i="42"/>
  <c r="L43" i="42"/>
  <c r="H43" i="42"/>
  <c r="O234" i="43" l="1"/>
  <c r="Q270" i="42"/>
  <c r="P270" i="42"/>
  <c r="O270" i="42"/>
  <c r="N270" i="42"/>
  <c r="P258" i="42"/>
  <c r="Q255" i="42" s="1"/>
  <c r="N258" i="42"/>
  <c r="O256" i="42" s="1"/>
  <c r="Q252" i="42"/>
  <c r="O251" i="42"/>
  <c r="P246" i="42"/>
  <c r="Q243" i="42" s="1"/>
  <c r="N246" i="42"/>
  <c r="O239" i="42"/>
  <c r="O237" i="42"/>
  <c r="P232" i="42"/>
  <c r="N232" i="42"/>
  <c r="P231" i="42"/>
  <c r="N231" i="42"/>
  <c r="P230" i="42"/>
  <c r="N230" i="42"/>
  <c r="P229" i="42"/>
  <c r="N229" i="42"/>
  <c r="P228" i="42"/>
  <c r="N228" i="42"/>
  <c r="P227" i="42"/>
  <c r="N227" i="42"/>
  <c r="P226" i="42"/>
  <c r="N226" i="42"/>
  <c r="P225" i="42"/>
  <c r="N225" i="42"/>
  <c r="P209" i="42"/>
  <c r="O209" i="42"/>
  <c r="P194" i="42"/>
  <c r="P176" i="42"/>
  <c r="R176" i="42" s="1"/>
  <c r="R162" i="42"/>
  <c r="R144" i="42"/>
  <c r="B132" i="42"/>
  <c r="B189" i="42" s="1"/>
  <c r="B280" i="42" s="1"/>
  <c r="P121" i="42"/>
  <c r="P128" i="42" s="1"/>
  <c r="P113" i="42"/>
  <c r="R160" i="42" s="1"/>
  <c r="A112" i="42"/>
  <c r="A113" i="42" s="1"/>
  <c r="A114" i="42" s="1"/>
  <c r="A115" i="42" s="1"/>
  <c r="A116" i="42" s="1"/>
  <c r="A117" i="42" s="1"/>
  <c r="A118" i="42" s="1"/>
  <c r="A101" i="42"/>
  <c r="A102" i="42" s="1"/>
  <c r="P96" i="42"/>
  <c r="R95" i="42"/>
  <c r="R94" i="42"/>
  <c r="R98" i="42" s="1"/>
  <c r="P94" i="42"/>
  <c r="J85" i="42"/>
  <c r="R79" i="42"/>
  <c r="P69" i="42"/>
  <c r="N69" i="42"/>
  <c r="J69" i="42"/>
  <c r="J82" i="42" s="1"/>
  <c r="H69" i="42"/>
  <c r="H82" i="42" s="1"/>
  <c r="R67" i="42"/>
  <c r="P203" i="42"/>
  <c r="N56" i="42"/>
  <c r="N55" i="42"/>
  <c r="R49" i="42"/>
  <c r="D43" i="42"/>
  <c r="L42" i="42"/>
  <c r="H42" i="42"/>
  <c r="D42" i="42"/>
  <c r="N35" i="42"/>
  <c r="L35" i="42"/>
  <c r="J35" i="42"/>
  <c r="H35" i="42"/>
  <c r="F35" i="42"/>
  <c r="D35" i="42"/>
  <c r="N34" i="42"/>
  <c r="L34" i="42"/>
  <c r="J34" i="42"/>
  <c r="H34" i="42"/>
  <c r="R33" i="42"/>
  <c r="R147" i="42" s="1"/>
  <c r="N32" i="42"/>
  <c r="L32" i="42"/>
  <c r="J32" i="42"/>
  <c r="H32" i="42"/>
  <c r="F32" i="42"/>
  <c r="D32" i="42"/>
  <c r="N31" i="42"/>
  <c r="L31" i="42"/>
  <c r="J31" i="42"/>
  <c r="H31" i="42"/>
  <c r="F31" i="42"/>
  <c r="F34" i="42" s="1"/>
  <c r="D31" i="42"/>
  <c r="D34" i="42" s="1"/>
  <c r="R35" i="42" l="1"/>
  <c r="Q254" i="42"/>
  <c r="Q250" i="42"/>
  <c r="Q256" i="42"/>
  <c r="P208" i="42"/>
  <c r="O208" i="42"/>
  <c r="O249" i="42"/>
  <c r="O252" i="42"/>
  <c r="O250" i="42"/>
  <c r="N272" i="42"/>
  <c r="O254" i="42"/>
  <c r="P234" i="42"/>
  <c r="Q232" i="42" s="1"/>
  <c r="Q240" i="42"/>
  <c r="O240" i="42"/>
  <c r="O242" i="42"/>
  <c r="O243" i="42"/>
  <c r="O238" i="42"/>
  <c r="O241" i="42"/>
  <c r="O244" i="42"/>
  <c r="Q238" i="42"/>
  <c r="P272" i="42"/>
  <c r="R34" i="42"/>
  <c r="R42" i="42" s="1"/>
  <c r="P196" i="42" s="1"/>
  <c r="P197" i="42" s="1"/>
  <c r="Q244" i="42"/>
  <c r="O255" i="42"/>
  <c r="P98" i="42"/>
  <c r="Q242" i="42"/>
  <c r="O253" i="42"/>
  <c r="P129" i="42"/>
  <c r="R50" i="42"/>
  <c r="R182" i="42"/>
  <c r="R118" i="42"/>
  <c r="R128" i="42" s="1"/>
  <c r="R129" i="42" s="1"/>
  <c r="P198" i="42"/>
  <c r="R184" i="42"/>
  <c r="P213" i="42"/>
  <c r="R161" i="42"/>
  <c r="R163" i="42" s="1"/>
  <c r="R51" i="42"/>
  <c r="R66" i="42"/>
  <c r="R69" i="42" s="1"/>
  <c r="L69" i="42"/>
  <c r="R136" i="42"/>
  <c r="N234" i="42"/>
  <c r="O226" i="42" s="1"/>
  <c r="Q237" i="42"/>
  <c r="Q239" i="42"/>
  <c r="Q241" i="42"/>
  <c r="Q249" i="42"/>
  <c r="Q251" i="42"/>
  <c r="Q253" i="42"/>
  <c r="R102" i="41"/>
  <c r="R89" i="41"/>
  <c r="R88" i="41"/>
  <c r="P87" i="41"/>
  <c r="L66" i="41"/>
  <c r="L43" i="41"/>
  <c r="H43" i="41"/>
  <c r="O246" i="42" l="1"/>
  <c r="Q227" i="42"/>
  <c r="Q226" i="42"/>
  <c r="Q225" i="42"/>
  <c r="Q228" i="42"/>
  <c r="Q229" i="42"/>
  <c r="Q230" i="42"/>
  <c r="Q231" i="42"/>
  <c r="O258" i="42"/>
  <c r="O229" i="42"/>
  <c r="O232" i="42"/>
  <c r="Q246" i="42"/>
  <c r="O230" i="42"/>
  <c r="O231" i="42"/>
  <c r="R82" i="42"/>
  <c r="R170" i="42" s="1"/>
  <c r="R169" i="42"/>
  <c r="O228" i="42"/>
  <c r="O225" i="42"/>
  <c r="Q258" i="42"/>
  <c r="O227" i="42"/>
  <c r="Q270" i="41"/>
  <c r="P270" i="41"/>
  <c r="P209" i="41" s="1"/>
  <c r="O270" i="41"/>
  <c r="N270" i="41"/>
  <c r="P258" i="41"/>
  <c r="Q256" i="41" s="1"/>
  <c r="N258" i="41"/>
  <c r="O256" i="41" s="1"/>
  <c r="Q255" i="41"/>
  <c r="Q254" i="41"/>
  <c r="Q253" i="41"/>
  <c r="Q252" i="41"/>
  <c r="Q251" i="41"/>
  <c r="Q250" i="41"/>
  <c r="Q249" i="41"/>
  <c r="P246" i="41"/>
  <c r="N246" i="41"/>
  <c r="O244" i="41" s="1"/>
  <c r="Q244" i="41"/>
  <c r="Q243" i="41"/>
  <c r="O243" i="41"/>
  <c r="Q242" i="41"/>
  <c r="O242" i="41"/>
  <c r="Q241" i="41"/>
  <c r="O241" i="41"/>
  <c r="Q240" i="41"/>
  <c r="O240" i="41"/>
  <c r="Q239" i="41"/>
  <c r="O239" i="41"/>
  <c r="Q238" i="41"/>
  <c r="O238" i="41"/>
  <c r="Q237" i="41"/>
  <c r="O237" i="41"/>
  <c r="P232" i="41"/>
  <c r="N232" i="41"/>
  <c r="P231" i="41"/>
  <c r="N231" i="41"/>
  <c r="P230" i="41"/>
  <c r="N230" i="41"/>
  <c r="P229" i="41"/>
  <c r="N229" i="41"/>
  <c r="P228" i="41"/>
  <c r="N228" i="41"/>
  <c r="P227" i="41"/>
  <c r="N227" i="41"/>
  <c r="P226" i="41"/>
  <c r="N226" i="41"/>
  <c r="P225" i="41"/>
  <c r="N225" i="41"/>
  <c r="O209" i="41"/>
  <c r="P208" i="41"/>
  <c r="P194" i="41"/>
  <c r="P176" i="41"/>
  <c r="R162" i="41"/>
  <c r="R144" i="41"/>
  <c r="B132" i="41"/>
  <c r="B189" i="41" s="1"/>
  <c r="B280" i="41" s="1"/>
  <c r="P121" i="41"/>
  <c r="P128" i="41" s="1"/>
  <c r="P113" i="41"/>
  <c r="R160" i="41" s="1"/>
  <c r="A112" i="41"/>
  <c r="A113" i="41" s="1"/>
  <c r="A114" i="41" s="1"/>
  <c r="A115" i="41" s="1"/>
  <c r="A116" i="41" s="1"/>
  <c r="A117" i="41" s="1"/>
  <c r="A118" i="41" s="1"/>
  <c r="A101" i="41"/>
  <c r="A102" i="41" s="1"/>
  <c r="P96" i="41"/>
  <c r="R95" i="41"/>
  <c r="R94" i="41"/>
  <c r="P94" i="41"/>
  <c r="J85" i="41"/>
  <c r="R79" i="41"/>
  <c r="P69" i="41"/>
  <c r="N69" i="41"/>
  <c r="J69" i="41"/>
  <c r="J82" i="41" s="1"/>
  <c r="H69" i="41"/>
  <c r="H82" i="41" s="1"/>
  <c r="R67" i="41"/>
  <c r="L69" i="41"/>
  <c r="N56" i="41"/>
  <c r="N55" i="41"/>
  <c r="R49" i="41"/>
  <c r="D43" i="41"/>
  <c r="L42" i="41"/>
  <c r="H42" i="41"/>
  <c r="D42" i="41"/>
  <c r="N35" i="41"/>
  <c r="L35" i="41"/>
  <c r="J35" i="41"/>
  <c r="H35" i="41"/>
  <c r="F35" i="41"/>
  <c r="D35" i="41"/>
  <c r="N34" i="41"/>
  <c r="L34" i="41"/>
  <c r="J34" i="41"/>
  <c r="H34" i="41"/>
  <c r="R33" i="41"/>
  <c r="R147" i="41" s="1"/>
  <c r="N32" i="41"/>
  <c r="L32" i="41"/>
  <c r="J32" i="41"/>
  <c r="H32" i="41"/>
  <c r="F32" i="41"/>
  <c r="D32" i="41"/>
  <c r="N31" i="41"/>
  <c r="L31" i="41"/>
  <c r="J31" i="41"/>
  <c r="H31" i="41"/>
  <c r="F31" i="41"/>
  <c r="F34" i="41" s="1"/>
  <c r="D31" i="41"/>
  <c r="D34" i="41" s="1"/>
  <c r="Q234" i="42" l="1"/>
  <c r="O234" i="42"/>
  <c r="O249" i="41"/>
  <c r="O251" i="41"/>
  <c r="O253" i="41"/>
  <c r="Q258" i="41"/>
  <c r="O255" i="41"/>
  <c r="P98" i="41"/>
  <c r="O208" i="41"/>
  <c r="O246" i="41"/>
  <c r="N272" i="41"/>
  <c r="O250" i="41"/>
  <c r="O252" i="41"/>
  <c r="O254" i="41"/>
  <c r="R98" i="41"/>
  <c r="Q246" i="41"/>
  <c r="P129" i="41"/>
  <c r="R50" i="41"/>
  <c r="R35" i="41"/>
  <c r="R34" i="41"/>
  <c r="R42" i="41" s="1"/>
  <c r="P196" i="41" s="1"/>
  <c r="P197" i="41" s="1"/>
  <c r="O258" i="41"/>
  <c r="P234" i="41"/>
  <c r="Q227" i="41" s="1"/>
  <c r="P272" i="41"/>
  <c r="N234" i="41"/>
  <c r="O227" i="41" s="1"/>
  <c r="P198" i="41"/>
  <c r="R182" i="41"/>
  <c r="R184" i="41"/>
  <c r="R118" i="41"/>
  <c r="R128" i="41" s="1"/>
  <c r="R129" i="41" s="1"/>
  <c r="P213" i="41"/>
  <c r="R161" i="41"/>
  <c r="R163" i="41" s="1"/>
  <c r="R176" i="41"/>
  <c r="P203" i="41"/>
  <c r="Q225" i="41"/>
  <c r="R51" i="41"/>
  <c r="R66" i="41"/>
  <c r="R69" i="41" s="1"/>
  <c r="R136" i="41"/>
  <c r="R102" i="40"/>
  <c r="R89" i="40"/>
  <c r="R88" i="40"/>
  <c r="P87" i="40"/>
  <c r="L66" i="40"/>
  <c r="L43" i="40"/>
  <c r="H43" i="40"/>
  <c r="Q226" i="41" l="1"/>
  <c r="Q232" i="41"/>
  <c r="Q230" i="41"/>
  <c r="Q228" i="41"/>
  <c r="Q231" i="41"/>
  <c r="Q229" i="41"/>
  <c r="O225" i="41"/>
  <c r="O231" i="41"/>
  <c r="O229" i="41"/>
  <c r="O226" i="41"/>
  <c r="O232" i="41"/>
  <c r="O230" i="41"/>
  <c r="O228" i="41"/>
  <c r="R169" i="41"/>
  <c r="R82" i="41"/>
  <c r="R170" i="41" s="1"/>
  <c r="P270" i="40"/>
  <c r="P209" i="40" s="1"/>
  <c r="N270" i="40"/>
  <c r="O209" i="40" s="1"/>
  <c r="Q270" i="40"/>
  <c r="O270" i="40"/>
  <c r="P258" i="40"/>
  <c r="P208" i="40" s="1"/>
  <c r="N258" i="40"/>
  <c r="O256" i="40" s="1"/>
  <c r="Q254" i="40"/>
  <c r="Q252" i="40"/>
  <c r="Q251" i="40"/>
  <c r="Q249" i="40"/>
  <c r="O249" i="40"/>
  <c r="P246" i="40"/>
  <c r="Q244" i="40" s="1"/>
  <c r="N246" i="40"/>
  <c r="P232" i="40"/>
  <c r="N232" i="40"/>
  <c r="P231" i="40"/>
  <c r="N231" i="40"/>
  <c r="P230" i="40"/>
  <c r="N230" i="40"/>
  <c r="P229" i="40"/>
  <c r="N229" i="40"/>
  <c r="P228" i="40"/>
  <c r="N228" i="40"/>
  <c r="P227" i="40"/>
  <c r="N227" i="40"/>
  <c r="P226" i="40"/>
  <c r="N226" i="40"/>
  <c r="P225" i="40"/>
  <c r="N225" i="40"/>
  <c r="O208" i="40"/>
  <c r="P194" i="40"/>
  <c r="P176" i="40"/>
  <c r="R162" i="40"/>
  <c r="R144" i="40"/>
  <c r="B132" i="40"/>
  <c r="B189" i="40" s="1"/>
  <c r="B280" i="40" s="1"/>
  <c r="P121" i="40"/>
  <c r="P128" i="40" s="1"/>
  <c r="P113" i="40"/>
  <c r="R160" i="40" s="1"/>
  <c r="A112" i="40"/>
  <c r="A113" i="40" s="1"/>
  <c r="A114" i="40" s="1"/>
  <c r="A115" i="40" s="1"/>
  <c r="A116" i="40" s="1"/>
  <c r="A117" i="40" s="1"/>
  <c r="A118" i="40" s="1"/>
  <c r="A101" i="40"/>
  <c r="A102" i="40" s="1"/>
  <c r="P96" i="40"/>
  <c r="R95" i="40"/>
  <c r="R94" i="40"/>
  <c r="P94" i="40"/>
  <c r="P98" i="40" s="1"/>
  <c r="J85" i="40"/>
  <c r="R79" i="40"/>
  <c r="P69" i="40"/>
  <c r="N69" i="40"/>
  <c r="J69" i="40"/>
  <c r="J82" i="40" s="1"/>
  <c r="H69" i="40"/>
  <c r="H82" i="40" s="1"/>
  <c r="R67" i="40"/>
  <c r="P203" i="40"/>
  <c r="N56" i="40"/>
  <c r="N55" i="40"/>
  <c r="R49" i="40"/>
  <c r="D43" i="40"/>
  <c r="L42" i="40"/>
  <c r="H42" i="40"/>
  <c r="D42" i="40"/>
  <c r="N35" i="40"/>
  <c r="L35" i="40"/>
  <c r="J35" i="40"/>
  <c r="H35" i="40"/>
  <c r="F35" i="40"/>
  <c r="D35" i="40"/>
  <c r="N34" i="40"/>
  <c r="L34" i="40"/>
  <c r="J34" i="40"/>
  <c r="H34" i="40"/>
  <c r="R33" i="40"/>
  <c r="R147" i="40" s="1"/>
  <c r="N32" i="40"/>
  <c r="L32" i="40"/>
  <c r="J32" i="40"/>
  <c r="H32" i="40"/>
  <c r="F32" i="40"/>
  <c r="D32" i="40"/>
  <c r="N31" i="40"/>
  <c r="L31" i="40"/>
  <c r="J31" i="40"/>
  <c r="H31" i="40"/>
  <c r="F31" i="40"/>
  <c r="F34" i="40" s="1"/>
  <c r="D31" i="40"/>
  <c r="D34" i="40" s="1"/>
  <c r="O255" i="40" l="1"/>
  <c r="N272" i="40"/>
  <c r="Q250" i="40"/>
  <c r="O253" i="40"/>
  <c r="Q255" i="40"/>
  <c r="O251" i="40"/>
  <c r="Q253" i="40"/>
  <c r="Q256" i="40"/>
  <c r="Q258" i="40" s="1"/>
  <c r="R98" i="40"/>
  <c r="R34" i="40"/>
  <c r="R42" i="40" s="1"/>
  <c r="P196" i="40" s="1"/>
  <c r="P197" i="40" s="1"/>
  <c r="N234" i="40"/>
  <c r="Q243" i="40"/>
  <c r="O250" i="40"/>
  <c r="O252" i="40"/>
  <c r="O254" i="40"/>
  <c r="Q234" i="41"/>
  <c r="O234" i="41"/>
  <c r="P129" i="40"/>
  <c r="R50" i="40"/>
  <c r="R35" i="40"/>
  <c r="Q239" i="40"/>
  <c r="P234" i="40"/>
  <c r="Q227" i="40" s="1"/>
  <c r="Q237" i="40"/>
  <c r="Q241" i="40"/>
  <c r="P272" i="40"/>
  <c r="Q238" i="40"/>
  <c r="Q240" i="40"/>
  <c r="Q242" i="40"/>
  <c r="O237" i="40"/>
  <c r="O238" i="40"/>
  <c r="O239" i="40"/>
  <c r="O240" i="40"/>
  <c r="O241" i="40"/>
  <c r="O242" i="40"/>
  <c r="O243" i="40"/>
  <c r="O244" i="40"/>
  <c r="Q226" i="40"/>
  <c r="P198" i="40"/>
  <c r="R182" i="40"/>
  <c r="R118" i="40"/>
  <c r="R128" i="40" s="1"/>
  <c r="R129" i="40" s="1"/>
  <c r="R184" i="40"/>
  <c r="P213" i="40"/>
  <c r="R161" i="40"/>
  <c r="R163" i="40" s="1"/>
  <c r="O226" i="40"/>
  <c r="O227" i="40"/>
  <c r="O228" i="40"/>
  <c r="O229" i="40"/>
  <c r="O230" i="40"/>
  <c r="O231" i="40"/>
  <c r="O232" i="40"/>
  <c r="R51" i="40"/>
  <c r="R66" i="40"/>
  <c r="R69" i="40" s="1"/>
  <c r="L69" i="40"/>
  <c r="R136" i="40"/>
  <c r="R176" i="40"/>
  <c r="O225" i="40"/>
  <c r="O258" i="40" l="1"/>
  <c r="Q225" i="40"/>
  <c r="Q232" i="40"/>
  <c r="Q231" i="40"/>
  <c r="Q230" i="40"/>
  <c r="Q229" i="40"/>
  <c r="Q228" i="40"/>
  <c r="Q246" i="40"/>
  <c r="O246" i="40"/>
  <c r="O234" i="40"/>
  <c r="R82" i="40"/>
  <c r="R170" i="40" s="1"/>
  <c r="R169" i="40"/>
  <c r="Q234" i="40" l="1"/>
  <c r="L43" i="39"/>
  <c r="H43" i="39"/>
  <c r="R102" i="39" l="1"/>
  <c r="R89" i="39"/>
  <c r="R88" i="39"/>
  <c r="P87" i="39"/>
  <c r="L66" i="39"/>
  <c r="P270" i="39" l="1"/>
  <c r="N270" i="39"/>
  <c r="P258" i="39"/>
  <c r="Q256" i="39" s="1"/>
  <c r="N258" i="39"/>
  <c r="O255" i="39" s="1"/>
  <c r="Q251" i="39"/>
  <c r="Q249" i="39"/>
  <c r="P246" i="39"/>
  <c r="Q243" i="39" s="1"/>
  <c r="N246" i="39"/>
  <c r="Q244" i="39"/>
  <c r="P232" i="39"/>
  <c r="N232" i="39"/>
  <c r="P231" i="39"/>
  <c r="N231" i="39"/>
  <c r="P230" i="39"/>
  <c r="N230" i="39"/>
  <c r="P229" i="39"/>
  <c r="N229" i="39"/>
  <c r="P228" i="39"/>
  <c r="N228" i="39"/>
  <c r="P227" i="39"/>
  <c r="N227" i="39"/>
  <c r="P226" i="39"/>
  <c r="N226" i="39"/>
  <c r="P225" i="39"/>
  <c r="N225" i="39"/>
  <c r="P209" i="39"/>
  <c r="O209" i="39"/>
  <c r="P208" i="39"/>
  <c r="P194" i="39"/>
  <c r="P176" i="39"/>
  <c r="R164" i="39"/>
  <c r="R162" i="39"/>
  <c r="R144" i="39"/>
  <c r="B132" i="39"/>
  <c r="B189" i="39" s="1"/>
  <c r="B280" i="39" s="1"/>
  <c r="P121" i="39"/>
  <c r="P128" i="39" s="1"/>
  <c r="P113" i="39"/>
  <c r="R160" i="39" s="1"/>
  <c r="A112" i="39"/>
  <c r="A113" i="39" s="1"/>
  <c r="A114" i="39" s="1"/>
  <c r="A115" i="39" s="1"/>
  <c r="A116" i="39" s="1"/>
  <c r="A117" i="39" s="1"/>
  <c r="A118" i="39" s="1"/>
  <c r="A102" i="39"/>
  <c r="A101" i="39"/>
  <c r="P96" i="39"/>
  <c r="R95" i="39"/>
  <c r="R94" i="39"/>
  <c r="P94" i="39"/>
  <c r="P98" i="39" s="1"/>
  <c r="J85" i="39"/>
  <c r="R79" i="39"/>
  <c r="P69" i="39"/>
  <c r="J69" i="39"/>
  <c r="J82" i="39" s="1"/>
  <c r="H69" i="39"/>
  <c r="H82" i="39" s="1"/>
  <c r="R67" i="39"/>
  <c r="N69" i="39"/>
  <c r="L69" i="39"/>
  <c r="N56" i="39"/>
  <c r="N55" i="39"/>
  <c r="R49" i="39"/>
  <c r="D43" i="39"/>
  <c r="L42" i="39"/>
  <c r="H42" i="39"/>
  <c r="D42" i="39"/>
  <c r="N35" i="39"/>
  <c r="L35" i="39"/>
  <c r="J35" i="39"/>
  <c r="H35" i="39"/>
  <c r="F35" i="39"/>
  <c r="D35" i="39"/>
  <c r="N34" i="39"/>
  <c r="L34" i="39"/>
  <c r="J34" i="39"/>
  <c r="H34" i="39"/>
  <c r="R33" i="39"/>
  <c r="R147" i="39" s="1"/>
  <c r="N32" i="39"/>
  <c r="L32" i="39"/>
  <c r="J32" i="39"/>
  <c r="H32" i="39"/>
  <c r="F32" i="39"/>
  <c r="D32" i="39"/>
  <c r="N31" i="39"/>
  <c r="L31" i="39"/>
  <c r="J31" i="39"/>
  <c r="H31" i="39"/>
  <c r="F31" i="39"/>
  <c r="F34" i="39" s="1"/>
  <c r="D31" i="39"/>
  <c r="D34" i="39" s="1"/>
  <c r="Q253" i="39" l="1"/>
  <c r="Q255" i="39"/>
  <c r="O251" i="39"/>
  <c r="Q265" i="39"/>
  <c r="Q261" i="39"/>
  <c r="Q263" i="39"/>
  <c r="Q268" i="39"/>
  <c r="Q264" i="39"/>
  <c r="Q267" i="39"/>
  <c r="Q266" i="39"/>
  <c r="Q262" i="39"/>
  <c r="O208" i="39"/>
  <c r="O249" i="39"/>
  <c r="R34" i="39"/>
  <c r="R42" i="39" s="1"/>
  <c r="P196" i="39" s="1"/>
  <c r="P197" i="39" s="1"/>
  <c r="N272" i="39"/>
  <c r="O250" i="39"/>
  <c r="O252" i="39"/>
  <c r="O254" i="39"/>
  <c r="O256" i="39"/>
  <c r="O265" i="39"/>
  <c r="O261" i="39"/>
  <c r="O263" i="39"/>
  <c r="O268" i="39"/>
  <c r="O264" i="39"/>
  <c r="O266" i="39"/>
  <c r="O262" i="39"/>
  <c r="O267" i="39"/>
  <c r="O253" i="39"/>
  <c r="R98" i="39"/>
  <c r="R184" i="39" s="1"/>
  <c r="Q250" i="39"/>
  <c r="Q252" i="39"/>
  <c r="Q254" i="39"/>
  <c r="Q240" i="39"/>
  <c r="Q238" i="39"/>
  <c r="Q242" i="39"/>
  <c r="P234" i="39"/>
  <c r="Q226" i="39" s="1"/>
  <c r="Q237" i="39"/>
  <c r="Q239" i="39"/>
  <c r="Q241" i="39"/>
  <c r="P272" i="39"/>
  <c r="O237" i="39"/>
  <c r="O238" i="39"/>
  <c r="O239" i="39"/>
  <c r="O240" i="39"/>
  <c r="O241" i="39"/>
  <c r="O242" i="39"/>
  <c r="O243" i="39"/>
  <c r="O244" i="39"/>
  <c r="N234" i="39"/>
  <c r="O226" i="39" s="1"/>
  <c r="P129" i="39"/>
  <c r="R176" i="39"/>
  <c r="R35" i="39"/>
  <c r="R50" i="39"/>
  <c r="P213" i="39"/>
  <c r="R161" i="39"/>
  <c r="R163" i="39" s="1"/>
  <c r="O229" i="39"/>
  <c r="O230" i="39"/>
  <c r="P198" i="39"/>
  <c r="R182" i="39"/>
  <c r="R51" i="39"/>
  <c r="P203" i="39"/>
  <c r="O225" i="39"/>
  <c r="R66" i="39"/>
  <c r="R69" i="39" s="1"/>
  <c r="R136" i="39"/>
  <c r="R102" i="38"/>
  <c r="R89" i="38"/>
  <c r="R88" i="38"/>
  <c r="O176" i="38"/>
  <c r="P87" i="38"/>
  <c r="L66" i="38"/>
  <c r="N66" i="38"/>
  <c r="L43" i="38"/>
  <c r="H43" i="38"/>
  <c r="Q258" i="39" l="1"/>
  <c r="O246" i="39"/>
  <c r="O270" i="39"/>
  <c r="R118" i="39"/>
  <c r="R128" i="39" s="1"/>
  <c r="R129" i="39" s="1"/>
  <c r="O232" i="39"/>
  <c r="Q270" i="39"/>
  <c r="O258" i="39"/>
  <c r="O231" i="39"/>
  <c r="O227" i="39"/>
  <c r="O228" i="39"/>
  <c r="Q231" i="39"/>
  <c r="Q229" i="39"/>
  <c r="Q227" i="39"/>
  <c r="Q225" i="39"/>
  <c r="Q232" i="39"/>
  <c r="Q230" i="39"/>
  <c r="Q228" i="39"/>
  <c r="Q246" i="39"/>
  <c r="R169" i="39"/>
  <c r="R82" i="39"/>
  <c r="R170" i="39" s="1"/>
  <c r="Q270" i="38"/>
  <c r="P270" i="38"/>
  <c r="O270" i="38"/>
  <c r="N270" i="38"/>
  <c r="P258" i="38"/>
  <c r="Q254" i="38" s="1"/>
  <c r="N258" i="38"/>
  <c r="O256" i="38" s="1"/>
  <c r="Q255" i="38"/>
  <c r="O255" i="38"/>
  <c r="Q253" i="38"/>
  <c r="O253" i="38"/>
  <c r="Q252" i="38"/>
  <c r="Q251" i="38"/>
  <c r="O251" i="38"/>
  <c r="Q250" i="38"/>
  <c r="O250" i="38"/>
  <c r="Q249" i="38"/>
  <c r="O249" i="38"/>
  <c r="P246" i="38"/>
  <c r="Q243" i="38" s="1"/>
  <c r="N246" i="38"/>
  <c r="N272" i="38" s="1"/>
  <c r="P232" i="38"/>
  <c r="N232" i="38"/>
  <c r="P231" i="38"/>
  <c r="N231" i="38"/>
  <c r="P230" i="38"/>
  <c r="N230" i="38"/>
  <c r="P229" i="38"/>
  <c r="N229" i="38"/>
  <c r="P228" i="38"/>
  <c r="N228" i="38"/>
  <c r="P227" i="38"/>
  <c r="N227" i="38"/>
  <c r="P226" i="38"/>
  <c r="N226" i="38"/>
  <c r="P225" i="38"/>
  <c r="P234" i="38" s="1"/>
  <c r="N225" i="38"/>
  <c r="P209" i="38"/>
  <c r="O209" i="38"/>
  <c r="P208" i="38"/>
  <c r="O208" i="38"/>
  <c r="P194" i="38"/>
  <c r="P176" i="38"/>
  <c r="R164" i="38"/>
  <c r="R162" i="38"/>
  <c r="R144" i="38"/>
  <c r="B132" i="38"/>
  <c r="B189" i="38" s="1"/>
  <c r="B280" i="38" s="1"/>
  <c r="P121" i="38"/>
  <c r="P128" i="38" s="1"/>
  <c r="P113" i="38"/>
  <c r="R160" i="38" s="1"/>
  <c r="A112" i="38"/>
  <c r="A113" i="38" s="1"/>
  <c r="A114" i="38" s="1"/>
  <c r="A115" i="38" s="1"/>
  <c r="A116" i="38" s="1"/>
  <c r="A117" i="38" s="1"/>
  <c r="A118" i="38" s="1"/>
  <c r="A101" i="38"/>
  <c r="A102" i="38" s="1"/>
  <c r="P96" i="38"/>
  <c r="R95" i="38"/>
  <c r="R94" i="38"/>
  <c r="P94" i="38"/>
  <c r="P98" i="38" s="1"/>
  <c r="J85" i="38"/>
  <c r="R79" i="38"/>
  <c r="P69" i="38"/>
  <c r="N69" i="38"/>
  <c r="J69" i="38"/>
  <c r="J82" i="38" s="1"/>
  <c r="H69" i="38"/>
  <c r="H82" i="38" s="1"/>
  <c r="R67" i="38"/>
  <c r="P203" i="38"/>
  <c r="N56" i="38"/>
  <c r="N55" i="38"/>
  <c r="R49" i="38"/>
  <c r="D43" i="38"/>
  <c r="L42" i="38"/>
  <c r="H42" i="38"/>
  <c r="D42" i="38"/>
  <c r="N35" i="38"/>
  <c r="L35" i="38"/>
  <c r="J35" i="38"/>
  <c r="H35" i="38"/>
  <c r="F35" i="38"/>
  <c r="D35" i="38"/>
  <c r="N34" i="38"/>
  <c r="L34" i="38"/>
  <c r="J34" i="38"/>
  <c r="H34" i="38"/>
  <c r="R33" i="38"/>
  <c r="R147" i="38" s="1"/>
  <c r="N32" i="38"/>
  <c r="L32" i="38"/>
  <c r="J32" i="38"/>
  <c r="H32" i="38"/>
  <c r="F32" i="38"/>
  <c r="D32" i="38"/>
  <c r="N31" i="38"/>
  <c r="L31" i="38"/>
  <c r="J31" i="38"/>
  <c r="H31" i="38"/>
  <c r="F31" i="38"/>
  <c r="F34" i="38" s="1"/>
  <c r="D31" i="38"/>
  <c r="D34" i="38" s="1"/>
  <c r="Q256" i="38" l="1"/>
  <c r="Q244" i="38"/>
  <c r="Q258" i="38"/>
  <c r="R98" i="38"/>
  <c r="O252" i="38"/>
  <c r="O254" i="38"/>
  <c r="O234" i="39"/>
  <c r="Q234" i="39"/>
  <c r="Q240" i="38"/>
  <c r="Q238" i="38"/>
  <c r="Q242" i="38"/>
  <c r="Q237" i="38"/>
  <c r="Q239" i="38"/>
  <c r="Q241" i="38"/>
  <c r="P272" i="38"/>
  <c r="N234" i="38"/>
  <c r="O226" i="38" s="1"/>
  <c r="O237" i="38"/>
  <c r="O238" i="38"/>
  <c r="O239" i="38"/>
  <c r="O240" i="38"/>
  <c r="O241" i="38"/>
  <c r="O242" i="38"/>
  <c r="O243" i="38"/>
  <c r="O244" i="38"/>
  <c r="P129" i="38"/>
  <c r="R35" i="38"/>
  <c r="R50" i="38"/>
  <c r="R34" i="38"/>
  <c r="R42" i="38" s="1"/>
  <c r="P196" i="38" s="1"/>
  <c r="P197" i="38" s="1"/>
  <c r="P198" i="38"/>
  <c r="R182" i="38"/>
  <c r="R118" i="38"/>
  <c r="R128" i="38" s="1"/>
  <c r="R129" i="38" s="1"/>
  <c r="R184" i="38"/>
  <c r="P213" i="38"/>
  <c r="R161" i="38"/>
  <c r="R163" i="38" s="1"/>
  <c r="Q226" i="38"/>
  <c r="Q227" i="38"/>
  <c r="Q228" i="38"/>
  <c r="Q229" i="38"/>
  <c r="Q230" i="38"/>
  <c r="Q231" i="38"/>
  <c r="Q232" i="38"/>
  <c r="R51" i="38"/>
  <c r="R66" i="38"/>
  <c r="R69" i="38" s="1"/>
  <c r="L69" i="38"/>
  <c r="R136" i="38"/>
  <c r="R176" i="38"/>
  <c r="O225" i="38"/>
  <c r="Q225" i="38"/>
  <c r="P176" i="37"/>
  <c r="O258" i="38" l="1"/>
  <c r="O246" i="38"/>
  <c r="O232" i="38"/>
  <c r="O229" i="38"/>
  <c r="O231" i="38"/>
  <c r="O227" i="38"/>
  <c r="O230" i="38"/>
  <c r="O228" i="38"/>
  <c r="Q234" i="38"/>
  <c r="Q246" i="38"/>
  <c r="R82" i="38"/>
  <c r="R170" i="38" s="1"/>
  <c r="R169" i="38"/>
  <c r="R102" i="37"/>
  <c r="R89" i="37"/>
  <c r="R88" i="37"/>
  <c r="P87" i="37"/>
  <c r="L66" i="37"/>
  <c r="L43" i="37"/>
  <c r="H43" i="37"/>
  <c r="O234" i="38" l="1"/>
  <c r="Q270" i="37"/>
  <c r="P270" i="37"/>
  <c r="O270" i="37"/>
  <c r="N270" i="37"/>
  <c r="P258" i="37"/>
  <c r="Q256" i="37" s="1"/>
  <c r="N258" i="37"/>
  <c r="O255" i="37" s="1"/>
  <c r="O254" i="37"/>
  <c r="O253" i="37"/>
  <c r="O252" i="37"/>
  <c r="O250" i="37"/>
  <c r="O249" i="37"/>
  <c r="P246" i="37"/>
  <c r="Q244" i="37" s="1"/>
  <c r="N246" i="37"/>
  <c r="N272" i="37" s="1"/>
  <c r="O244" i="37"/>
  <c r="O242" i="37"/>
  <c r="O241" i="37"/>
  <c r="O240" i="37"/>
  <c r="O238" i="37"/>
  <c r="O237" i="37"/>
  <c r="P232" i="37"/>
  <c r="N232" i="37"/>
  <c r="P231" i="37"/>
  <c r="N231" i="37"/>
  <c r="P230" i="37"/>
  <c r="N230" i="37"/>
  <c r="P229" i="37"/>
  <c r="N229" i="37"/>
  <c r="P228" i="37"/>
  <c r="N228" i="37"/>
  <c r="P227" i="37"/>
  <c r="N227" i="37"/>
  <c r="P226" i="37"/>
  <c r="N226" i="37"/>
  <c r="P225" i="37"/>
  <c r="N225" i="37"/>
  <c r="P209" i="37"/>
  <c r="O209" i="37"/>
  <c r="O208" i="37"/>
  <c r="P194" i="37"/>
  <c r="R164" i="37"/>
  <c r="R162" i="37"/>
  <c r="R144" i="37"/>
  <c r="B132" i="37"/>
  <c r="B189" i="37" s="1"/>
  <c r="B280" i="37" s="1"/>
  <c r="P121" i="37"/>
  <c r="P128" i="37" s="1"/>
  <c r="P113" i="37"/>
  <c r="R160" i="37" s="1"/>
  <c r="A112" i="37"/>
  <c r="A113" i="37" s="1"/>
  <c r="A114" i="37" s="1"/>
  <c r="A115" i="37" s="1"/>
  <c r="A116" i="37" s="1"/>
  <c r="A117" i="37" s="1"/>
  <c r="A118" i="37" s="1"/>
  <c r="A102" i="37"/>
  <c r="A101" i="37"/>
  <c r="P96" i="37"/>
  <c r="R95" i="37"/>
  <c r="R94" i="37"/>
  <c r="R98" i="37" s="1"/>
  <c r="P94" i="37"/>
  <c r="J85" i="37"/>
  <c r="R79" i="37"/>
  <c r="P69" i="37"/>
  <c r="N69" i="37"/>
  <c r="J69" i="37"/>
  <c r="J82" i="37" s="1"/>
  <c r="H69" i="37"/>
  <c r="H82" i="37" s="1"/>
  <c r="R67" i="37"/>
  <c r="P203" i="37"/>
  <c r="N56" i="37"/>
  <c r="N55" i="37"/>
  <c r="R49" i="37"/>
  <c r="D43" i="37"/>
  <c r="L42" i="37"/>
  <c r="H42" i="37"/>
  <c r="D42" i="37"/>
  <c r="N35" i="37"/>
  <c r="L35" i="37"/>
  <c r="J35" i="37"/>
  <c r="H35" i="37"/>
  <c r="F35" i="37"/>
  <c r="D35" i="37"/>
  <c r="N34" i="37"/>
  <c r="L34" i="37"/>
  <c r="J34" i="37"/>
  <c r="H34" i="37"/>
  <c r="R33" i="37"/>
  <c r="R147" i="37" s="1"/>
  <c r="N32" i="37"/>
  <c r="L32" i="37"/>
  <c r="J32" i="37"/>
  <c r="H32" i="37"/>
  <c r="F32" i="37"/>
  <c r="D32" i="37"/>
  <c r="N31" i="37"/>
  <c r="L31" i="37"/>
  <c r="J31" i="37"/>
  <c r="H31" i="37"/>
  <c r="F31" i="37"/>
  <c r="F34" i="37" s="1"/>
  <c r="D31" i="37"/>
  <c r="D34" i="37" s="1"/>
  <c r="O256" i="37" l="1"/>
  <c r="O251" i="37"/>
  <c r="P98" i="37"/>
  <c r="P129" i="37" s="1"/>
  <c r="P208" i="37"/>
  <c r="R35" i="37"/>
  <c r="O239" i="37"/>
  <c r="O243" i="37"/>
  <c r="R50" i="37"/>
  <c r="R34" i="37"/>
  <c r="R42" i="37" s="1"/>
  <c r="P196" i="37" s="1"/>
  <c r="P197" i="37" s="1"/>
  <c r="Q249" i="37"/>
  <c r="Q250" i="37"/>
  <c r="Q251" i="37"/>
  <c r="Q252" i="37"/>
  <c r="Q253" i="37"/>
  <c r="Q254" i="37"/>
  <c r="Q255" i="37"/>
  <c r="Q258" i="37"/>
  <c r="O258" i="37"/>
  <c r="Q237" i="37"/>
  <c r="Q238" i="37"/>
  <c r="Q239" i="37"/>
  <c r="Q240" i="37"/>
  <c r="Q241" i="37"/>
  <c r="Q242" i="37"/>
  <c r="Q243" i="37"/>
  <c r="P234" i="37"/>
  <c r="Q226" i="37" s="1"/>
  <c r="P272" i="37"/>
  <c r="N234" i="37"/>
  <c r="O226" i="37" s="1"/>
  <c r="P198" i="37"/>
  <c r="R182" i="37"/>
  <c r="R118" i="37"/>
  <c r="R128" i="37" s="1"/>
  <c r="R129" i="37" s="1"/>
  <c r="R184" i="37"/>
  <c r="P213" i="37"/>
  <c r="R161" i="37"/>
  <c r="R163" i="37" s="1"/>
  <c r="Q227" i="37"/>
  <c r="Q229" i="37"/>
  <c r="Q231" i="37"/>
  <c r="R51" i="37"/>
  <c r="R66" i="37"/>
  <c r="R69" i="37" s="1"/>
  <c r="L69" i="37"/>
  <c r="R136" i="37"/>
  <c r="R176" i="37"/>
  <c r="O225" i="37"/>
  <c r="Q225" i="37"/>
  <c r="P176" i="36"/>
  <c r="P175" i="32"/>
  <c r="R102" i="36"/>
  <c r="R89" i="36"/>
  <c r="R88" i="36"/>
  <c r="P87" i="36"/>
  <c r="P94" i="36" s="1"/>
  <c r="L66" i="36"/>
  <c r="L43" i="36"/>
  <c r="H43" i="36"/>
  <c r="R164" i="36"/>
  <c r="Q270" i="36"/>
  <c r="P270" i="36"/>
  <c r="P209" i="36" s="1"/>
  <c r="O270" i="36"/>
  <c r="N270" i="36"/>
  <c r="P258" i="36"/>
  <c r="Q256" i="36" s="1"/>
  <c r="N258" i="36"/>
  <c r="Q255" i="36"/>
  <c r="Q254" i="36"/>
  <c r="Q253" i="36"/>
  <c r="Q252" i="36"/>
  <c r="Q251" i="36"/>
  <c r="Q250" i="36"/>
  <c r="Q249" i="36"/>
  <c r="P246" i="36"/>
  <c r="Q244" i="36" s="1"/>
  <c r="N246" i="36"/>
  <c r="N272" i="36" s="1"/>
  <c r="P232" i="36"/>
  <c r="N232" i="36"/>
  <c r="P231" i="36"/>
  <c r="N231" i="36"/>
  <c r="P230" i="36"/>
  <c r="N230" i="36"/>
  <c r="P229" i="36"/>
  <c r="N229" i="36"/>
  <c r="P228" i="36"/>
  <c r="N228" i="36"/>
  <c r="P227" i="36"/>
  <c r="N227" i="36"/>
  <c r="P226" i="36"/>
  <c r="N226" i="36"/>
  <c r="P225" i="36"/>
  <c r="P234" i="36"/>
  <c r="N225" i="36"/>
  <c r="O209" i="36"/>
  <c r="P208" i="36"/>
  <c r="P194" i="36"/>
  <c r="R162" i="36"/>
  <c r="R144" i="36"/>
  <c r="B132" i="36"/>
  <c r="B189" i="36" s="1"/>
  <c r="B280" i="36" s="1"/>
  <c r="P121" i="36"/>
  <c r="P128" i="36" s="1"/>
  <c r="P113" i="36"/>
  <c r="R160" i="36"/>
  <c r="A112" i="36"/>
  <c r="A113" i="36" s="1"/>
  <c r="A114" i="36" s="1"/>
  <c r="A115" i="36" s="1"/>
  <c r="A116" i="36" s="1"/>
  <c r="A117" i="36" s="1"/>
  <c r="A118" i="36" s="1"/>
  <c r="A101" i="36"/>
  <c r="A102" i="36" s="1"/>
  <c r="P96" i="36"/>
  <c r="P98" i="36" s="1"/>
  <c r="R95" i="36"/>
  <c r="R94" i="36"/>
  <c r="J85" i="36"/>
  <c r="R79" i="36"/>
  <c r="P69" i="36"/>
  <c r="N69" i="36"/>
  <c r="J69" i="36"/>
  <c r="J82" i="36" s="1"/>
  <c r="H69" i="36"/>
  <c r="H82" i="36" s="1"/>
  <c r="R67" i="36"/>
  <c r="P203" i="36"/>
  <c r="N56" i="36"/>
  <c r="N55" i="36"/>
  <c r="R49" i="36"/>
  <c r="D43" i="36"/>
  <c r="L42" i="36"/>
  <c r="H42" i="36"/>
  <c r="D42" i="36"/>
  <c r="N35" i="36"/>
  <c r="L35" i="36"/>
  <c r="J35" i="36"/>
  <c r="H35" i="36"/>
  <c r="F35" i="36"/>
  <c r="D35" i="36"/>
  <c r="N34" i="36"/>
  <c r="L34" i="36"/>
  <c r="J34" i="36"/>
  <c r="H34" i="36"/>
  <c r="R33" i="36"/>
  <c r="R147" i="36" s="1"/>
  <c r="N32" i="36"/>
  <c r="L32" i="36"/>
  <c r="J32" i="36"/>
  <c r="H32" i="36"/>
  <c r="F32" i="36"/>
  <c r="D32" i="36"/>
  <c r="N31" i="36"/>
  <c r="L31" i="36"/>
  <c r="J31" i="36"/>
  <c r="H31" i="36"/>
  <c r="F31" i="36"/>
  <c r="F34" i="36" s="1"/>
  <c r="D31" i="36"/>
  <c r="D34" i="36"/>
  <c r="Q270" i="35"/>
  <c r="P270" i="35"/>
  <c r="O270" i="35"/>
  <c r="N270" i="35"/>
  <c r="P258" i="35"/>
  <c r="N258" i="35"/>
  <c r="O255" i="35" s="1"/>
  <c r="Q253" i="35"/>
  <c r="Q251" i="35"/>
  <c r="O251" i="35"/>
  <c r="Q249" i="35"/>
  <c r="P246" i="35"/>
  <c r="N246" i="35"/>
  <c r="O244" i="35"/>
  <c r="O242" i="35"/>
  <c r="O241" i="35"/>
  <c r="O240" i="35"/>
  <c r="O239" i="35"/>
  <c r="O238" i="35"/>
  <c r="O237" i="35"/>
  <c r="P232" i="35"/>
  <c r="N232" i="35"/>
  <c r="P231" i="35"/>
  <c r="N231" i="35"/>
  <c r="P230" i="35"/>
  <c r="N230" i="35"/>
  <c r="P229" i="35"/>
  <c r="N229" i="35"/>
  <c r="P228" i="35"/>
  <c r="N228" i="35"/>
  <c r="P227" i="35"/>
  <c r="N227" i="35"/>
  <c r="P226" i="35"/>
  <c r="N226" i="35"/>
  <c r="P225" i="35"/>
  <c r="P234" i="35" s="1"/>
  <c r="N225" i="35"/>
  <c r="N234" i="35" s="1"/>
  <c r="O209" i="35"/>
  <c r="O208" i="35"/>
  <c r="P194" i="35"/>
  <c r="R176" i="35"/>
  <c r="R162" i="35"/>
  <c r="R144" i="35"/>
  <c r="B132" i="35"/>
  <c r="B189" i="35" s="1"/>
  <c r="B280" i="35" s="1"/>
  <c r="P121" i="35"/>
  <c r="P128" i="35" s="1"/>
  <c r="P113" i="35"/>
  <c r="R160" i="35" s="1"/>
  <c r="A112" i="35"/>
  <c r="A113" i="35" s="1"/>
  <c r="A114" i="35" s="1"/>
  <c r="A115" i="35" s="1"/>
  <c r="A116" i="35" s="1"/>
  <c r="A117" i="35" s="1"/>
  <c r="A118" i="35" s="1"/>
  <c r="R102" i="35"/>
  <c r="A101" i="35"/>
  <c r="A102" i="35" s="1"/>
  <c r="P96" i="35"/>
  <c r="R95" i="35"/>
  <c r="R89" i="35"/>
  <c r="R88" i="35"/>
  <c r="R94" i="35" s="1"/>
  <c r="R98" i="35" s="1"/>
  <c r="P87" i="35"/>
  <c r="P94" i="35"/>
  <c r="J85" i="35"/>
  <c r="R79" i="35"/>
  <c r="P69" i="35"/>
  <c r="N69" i="35"/>
  <c r="J69" i="35"/>
  <c r="J82" i="35" s="1"/>
  <c r="H69" i="35"/>
  <c r="H82" i="35" s="1"/>
  <c r="R67" i="35"/>
  <c r="L66" i="35"/>
  <c r="P203" i="35" s="1"/>
  <c r="N56" i="35"/>
  <c r="N55" i="35"/>
  <c r="R49" i="35"/>
  <c r="L43" i="35"/>
  <c r="H43" i="35"/>
  <c r="D43" i="35"/>
  <c r="L42" i="35"/>
  <c r="H42" i="35"/>
  <c r="D42" i="35"/>
  <c r="N35" i="35"/>
  <c r="L35" i="35"/>
  <c r="J35" i="35"/>
  <c r="H35" i="35"/>
  <c r="F35" i="35"/>
  <c r="D35" i="35"/>
  <c r="N34" i="35"/>
  <c r="L34" i="35"/>
  <c r="J34" i="35"/>
  <c r="H34" i="35"/>
  <c r="R33" i="35"/>
  <c r="R147" i="35" s="1"/>
  <c r="N32" i="35"/>
  <c r="L32" i="35"/>
  <c r="J32" i="35"/>
  <c r="H32" i="35"/>
  <c r="F32" i="35"/>
  <c r="D32" i="35"/>
  <c r="N31" i="35"/>
  <c r="L31" i="35"/>
  <c r="J31" i="35"/>
  <c r="H31" i="35"/>
  <c r="F31" i="35"/>
  <c r="F34" i="35" s="1"/>
  <c r="D31" i="35"/>
  <c r="D34" i="35" s="1"/>
  <c r="R102" i="34"/>
  <c r="R95" i="34"/>
  <c r="R88" i="34"/>
  <c r="R94" i="34" s="1"/>
  <c r="R98" i="34" s="1"/>
  <c r="P87" i="34"/>
  <c r="L66" i="34"/>
  <c r="L43" i="34"/>
  <c r="H43" i="34"/>
  <c r="Q270" i="34"/>
  <c r="P270" i="34"/>
  <c r="O270" i="34"/>
  <c r="N270" i="34"/>
  <c r="O209" i="34" s="1"/>
  <c r="P258" i="34"/>
  <c r="Q256" i="34" s="1"/>
  <c r="N258" i="34"/>
  <c r="O256" i="34" s="1"/>
  <c r="Q254" i="34"/>
  <c r="P246" i="34"/>
  <c r="Q244" i="34" s="1"/>
  <c r="N246" i="34"/>
  <c r="O237" i="34" s="1"/>
  <c r="P232" i="34"/>
  <c r="N232" i="34"/>
  <c r="P231" i="34"/>
  <c r="N231" i="34"/>
  <c r="P230" i="34"/>
  <c r="N230" i="34"/>
  <c r="P229" i="34"/>
  <c r="N229" i="34"/>
  <c r="P228" i="34"/>
  <c r="N228" i="34"/>
  <c r="P227" i="34"/>
  <c r="N227" i="34"/>
  <c r="P226" i="34"/>
  <c r="N226" i="34"/>
  <c r="P225" i="34"/>
  <c r="P234" i="34" s="1"/>
  <c r="N225" i="34"/>
  <c r="N234" i="34"/>
  <c r="P209" i="34"/>
  <c r="P208" i="34"/>
  <c r="O208" i="34"/>
  <c r="P194" i="34"/>
  <c r="R162" i="34"/>
  <c r="R144" i="34"/>
  <c r="B132" i="34"/>
  <c r="B189" i="34"/>
  <c r="B280" i="34" s="1"/>
  <c r="P121" i="34"/>
  <c r="P128" i="34"/>
  <c r="P113" i="34"/>
  <c r="R160" i="34" s="1"/>
  <c r="A112" i="34"/>
  <c r="A113" i="34" s="1"/>
  <c r="A114" i="34" s="1"/>
  <c r="A115" i="34" s="1"/>
  <c r="A116" i="34" s="1"/>
  <c r="A117" i="34" s="1"/>
  <c r="A118" i="34" s="1"/>
  <c r="A101" i="34"/>
  <c r="A102" i="34" s="1"/>
  <c r="P96" i="34"/>
  <c r="P94" i="34"/>
  <c r="P98" i="34"/>
  <c r="J85" i="34"/>
  <c r="R79" i="34"/>
  <c r="P69" i="34"/>
  <c r="N69" i="34"/>
  <c r="J69" i="34"/>
  <c r="J82" i="34" s="1"/>
  <c r="H69" i="34"/>
  <c r="H82" i="34" s="1"/>
  <c r="R67" i="34"/>
  <c r="P203" i="34"/>
  <c r="N56" i="34"/>
  <c r="N55" i="34"/>
  <c r="R49" i="34"/>
  <c r="D43" i="34"/>
  <c r="L42" i="34"/>
  <c r="H42" i="34"/>
  <c r="D42" i="34"/>
  <c r="N35" i="34"/>
  <c r="L35" i="34"/>
  <c r="J35" i="34"/>
  <c r="H35" i="34"/>
  <c r="F35" i="34"/>
  <c r="D35" i="34"/>
  <c r="N34" i="34"/>
  <c r="L34" i="34"/>
  <c r="J34" i="34"/>
  <c r="H34" i="34"/>
  <c r="R33" i="34"/>
  <c r="R147" i="34" s="1"/>
  <c r="N32" i="34"/>
  <c r="L32" i="34"/>
  <c r="J32" i="34"/>
  <c r="H32" i="34"/>
  <c r="F32" i="34"/>
  <c r="D32" i="34"/>
  <c r="N31" i="34"/>
  <c r="L31" i="34"/>
  <c r="J31" i="34"/>
  <c r="H31" i="34"/>
  <c r="F31" i="34"/>
  <c r="F34" i="34" s="1"/>
  <c r="D31" i="34"/>
  <c r="D34" i="34" s="1"/>
  <c r="R164" i="33"/>
  <c r="R102" i="33"/>
  <c r="R89" i="33"/>
  <c r="R88" i="33"/>
  <c r="P87" i="33"/>
  <c r="L66" i="33"/>
  <c r="L43" i="33"/>
  <c r="H43" i="33"/>
  <c r="A112" i="33"/>
  <c r="A113" i="33" s="1"/>
  <c r="A114" i="33" s="1"/>
  <c r="A115" i="33" s="1"/>
  <c r="A116" i="33" s="1"/>
  <c r="A117" i="33" s="1"/>
  <c r="A118" i="33" s="1"/>
  <c r="Q270" i="33"/>
  <c r="P270" i="33"/>
  <c r="P246" i="33"/>
  <c r="P258" i="33"/>
  <c r="P272" i="33" s="1"/>
  <c r="O270" i="33"/>
  <c r="N270" i="33"/>
  <c r="Q256" i="33"/>
  <c r="N258" i="33"/>
  <c r="Q244" i="33"/>
  <c r="N246" i="33"/>
  <c r="O244" i="33" s="1"/>
  <c r="O241" i="33"/>
  <c r="O238" i="33"/>
  <c r="O237" i="33"/>
  <c r="P232" i="33"/>
  <c r="N232" i="33"/>
  <c r="P231" i="33"/>
  <c r="N231" i="33"/>
  <c r="P230" i="33"/>
  <c r="N230" i="33"/>
  <c r="P229" i="33"/>
  <c r="N229" i="33"/>
  <c r="P228" i="33"/>
  <c r="N228" i="33"/>
  <c r="P227" i="33"/>
  <c r="N227" i="33"/>
  <c r="P226" i="33"/>
  <c r="N226" i="33"/>
  <c r="P225" i="33"/>
  <c r="N225" i="33"/>
  <c r="O209" i="33"/>
  <c r="P194" i="33"/>
  <c r="P176" i="33"/>
  <c r="R162" i="33"/>
  <c r="R144" i="33"/>
  <c r="B132" i="33"/>
  <c r="B189" i="33" s="1"/>
  <c r="B280" i="33" s="1"/>
  <c r="P121" i="33"/>
  <c r="P128" i="33"/>
  <c r="P113" i="33"/>
  <c r="R160" i="33" s="1"/>
  <c r="A101" i="33"/>
  <c r="A102" i="33" s="1"/>
  <c r="P96" i="33"/>
  <c r="R95" i="33"/>
  <c r="P94" i="33"/>
  <c r="P98" i="33"/>
  <c r="J85" i="33"/>
  <c r="R79" i="33"/>
  <c r="P69" i="33"/>
  <c r="N69" i="33"/>
  <c r="J69" i="33"/>
  <c r="J82" i="33" s="1"/>
  <c r="H69" i="33"/>
  <c r="H82" i="33" s="1"/>
  <c r="R67" i="33"/>
  <c r="N56" i="33"/>
  <c r="N55" i="33"/>
  <c r="R49" i="33"/>
  <c r="D43" i="33"/>
  <c r="L42" i="33"/>
  <c r="H42" i="33"/>
  <c r="D42" i="33"/>
  <c r="N35" i="33"/>
  <c r="H35" i="33"/>
  <c r="J35" i="33"/>
  <c r="L35" i="33"/>
  <c r="F35" i="33"/>
  <c r="D35" i="33"/>
  <c r="N34" i="33"/>
  <c r="L34" i="33"/>
  <c r="J34" i="33"/>
  <c r="H34" i="33"/>
  <c r="R33" i="33"/>
  <c r="R136" i="33" s="1"/>
  <c r="N32" i="33"/>
  <c r="L32" i="33"/>
  <c r="J32" i="33"/>
  <c r="H32" i="33"/>
  <c r="F32" i="33"/>
  <c r="D32" i="33"/>
  <c r="N31" i="33"/>
  <c r="L31" i="33"/>
  <c r="J31" i="33"/>
  <c r="H31" i="33"/>
  <c r="F31" i="33"/>
  <c r="F34" i="33" s="1"/>
  <c r="D31" i="33"/>
  <c r="D34" i="33" s="1"/>
  <c r="R102" i="32"/>
  <c r="R89" i="32"/>
  <c r="R88" i="32"/>
  <c r="P87" i="32"/>
  <c r="P94" i="32" s="1"/>
  <c r="L66" i="32"/>
  <c r="L43" i="32"/>
  <c r="H43" i="32"/>
  <c r="Q269" i="32"/>
  <c r="P269" i="32"/>
  <c r="O269" i="32"/>
  <c r="N269" i="32"/>
  <c r="P257" i="32"/>
  <c r="N257" i="32"/>
  <c r="O255" i="32" s="1"/>
  <c r="P245" i="32"/>
  <c r="N245" i="32"/>
  <c r="P231" i="32"/>
  <c r="N231" i="32"/>
  <c r="P230" i="32"/>
  <c r="N230" i="32"/>
  <c r="P229" i="32"/>
  <c r="N229" i="32"/>
  <c r="P228" i="32"/>
  <c r="N228" i="32"/>
  <c r="P227" i="32"/>
  <c r="N227" i="32"/>
  <c r="P226" i="32"/>
  <c r="N226" i="32"/>
  <c r="P225" i="32"/>
  <c r="N225" i="32"/>
  <c r="P224" i="32"/>
  <c r="N224" i="32"/>
  <c r="N233" i="32" s="1"/>
  <c r="P208" i="32"/>
  <c r="O208" i="32"/>
  <c r="P193" i="32"/>
  <c r="R161" i="32"/>
  <c r="R143" i="32"/>
  <c r="B131" i="32"/>
  <c r="B188" i="32" s="1"/>
  <c r="B279" i="32" s="1"/>
  <c r="P120" i="32"/>
  <c r="P127" i="32" s="1"/>
  <c r="P112" i="32"/>
  <c r="R159" i="32" s="1"/>
  <c r="A112" i="32"/>
  <c r="A113" i="32" s="1"/>
  <c r="A114" i="32" s="1"/>
  <c r="A115" i="32" s="1"/>
  <c r="A116" i="32" s="1"/>
  <c r="A117" i="32" s="1"/>
  <c r="A101" i="32"/>
  <c r="A102" i="32" s="1"/>
  <c r="P96" i="32"/>
  <c r="P98" i="32" s="1"/>
  <c r="R95" i="32"/>
  <c r="R94" i="32"/>
  <c r="R98" i="32" s="1"/>
  <c r="R181" i="32" s="1"/>
  <c r="J85" i="32"/>
  <c r="R79" i="32"/>
  <c r="P69" i="32"/>
  <c r="N69" i="32"/>
  <c r="J69" i="32"/>
  <c r="J82" i="32" s="1"/>
  <c r="H69" i="32"/>
  <c r="H82" i="32" s="1"/>
  <c r="R67" i="32"/>
  <c r="P202" i="32"/>
  <c r="N56" i="32"/>
  <c r="N55" i="32"/>
  <c r="R49" i="32"/>
  <c r="D43" i="32"/>
  <c r="L42" i="32"/>
  <c r="H42" i="32"/>
  <c r="D42" i="32"/>
  <c r="N35" i="32"/>
  <c r="L35" i="32"/>
  <c r="J35" i="32"/>
  <c r="H35" i="32"/>
  <c r="F35" i="32"/>
  <c r="D35" i="32"/>
  <c r="N34" i="32"/>
  <c r="L34" i="32"/>
  <c r="J34" i="32"/>
  <c r="H34" i="32"/>
  <c r="R33" i="32"/>
  <c r="R146" i="32" s="1"/>
  <c r="N32" i="32"/>
  <c r="L32" i="32"/>
  <c r="J32" i="32"/>
  <c r="H32" i="32"/>
  <c r="F32" i="32"/>
  <c r="D32" i="32"/>
  <c r="N31" i="32"/>
  <c r="L31" i="32"/>
  <c r="J31" i="32"/>
  <c r="H31" i="32"/>
  <c r="F31" i="32"/>
  <c r="F34" i="32" s="1"/>
  <c r="R34" i="32" s="1"/>
  <c r="R42" i="32" s="1"/>
  <c r="P195" i="32" s="1"/>
  <c r="P196" i="32" s="1"/>
  <c r="D31" i="32"/>
  <c r="D34" i="32" s="1"/>
  <c r="R102" i="31"/>
  <c r="R89" i="31"/>
  <c r="R88" i="31"/>
  <c r="P87" i="31"/>
  <c r="P94" i="31" s="1"/>
  <c r="P175" i="31"/>
  <c r="L66" i="31"/>
  <c r="L43" i="31"/>
  <c r="H43" i="31"/>
  <c r="P269" i="31"/>
  <c r="N269" i="31"/>
  <c r="O269" i="31"/>
  <c r="P257" i="31"/>
  <c r="Q255" i="31" s="1"/>
  <c r="N257" i="31"/>
  <c r="O248" i="31" s="1"/>
  <c r="O255" i="31"/>
  <c r="Q254" i="31"/>
  <c r="Q253" i="31"/>
  <c r="O253" i="31"/>
  <c r="Q252" i="31"/>
  <c r="Q251" i="31"/>
  <c r="O251" i="31"/>
  <c r="Q250" i="31"/>
  <c r="Q249" i="31"/>
  <c r="O249" i="31"/>
  <c r="Q248" i="31"/>
  <c r="P245" i="31"/>
  <c r="N245" i="31"/>
  <c r="N271" i="31" s="1"/>
  <c r="P231" i="31"/>
  <c r="N231" i="31"/>
  <c r="P230" i="31"/>
  <c r="N230" i="31"/>
  <c r="P229" i="31"/>
  <c r="N229" i="31"/>
  <c r="P228" i="31"/>
  <c r="N228" i="31"/>
  <c r="P227" i="31"/>
  <c r="N227" i="31"/>
  <c r="P226" i="31"/>
  <c r="N226" i="31"/>
  <c r="P225" i="31"/>
  <c r="N225" i="31"/>
  <c r="P224" i="31"/>
  <c r="N224" i="31"/>
  <c r="N233" i="31" s="1"/>
  <c r="P208" i="31"/>
  <c r="O208" i="31"/>
  <c r="P207" i="31"/>
  <c r="O207" i="31"/>
  <c r="P193" i="31"/>
  <c r="R161" i="31"/>
  <c r="R143" i="31"/>
  <c r="B131" i="31"/>
  <c r="B188" i="31" s="1"/>
  <c r="B279" i="31" s="1"/>
  <c r="P120" i="31"/>
  <c r="P127" i="31" s="1"/>
  <c r="P112" i="31"/>
  <c r="R159" i="31" s="1"/>
  <c r="A112" i="31"/>
  <c r="A113" i="31" s="1"/>
  <c r="A114" i="31" s="1"/>
  <c r="A115" i="31" s="1"/>
  <c r="A116" i="31" s="1"/>
  <c r="A117" i="31" s="1"/>
  <c r="A101" i="31"/>
  <c r="A102" i="31" s="1"/>
  <c r="P96" i="31"/>
  <c r="R95" i="31"/>
  <c r="R94" i="31"/>
  <c r="J85" i="31"/>
  <c r="R79" i="31"/>
  <c r="P69" i="31"/>
  <c r="J69" i="31"/>
  <c r="J82" i="31" s="1"/>
  <c r="H69" i="31"/>
  <c r="H82" i="31" s="1"/>
  <c r="R67" i="31"/>
  <c r="N69" i="31"/>
  <c r="P202" i="31"/>
  <c r="N56" i="31"/>
  <c r="N55" i="31"/>
  <c r="R49" i="31"/>
  <c r="D43" i="31"/>
  <c r="L42" i="31"/>
  <c r="H42" i="31"/>
  <c r="D42" i="31"/>
  <c r="N35" i="31"/>
  <c r="L35" i="31"/>
  <c r="J35" i="31"/>
  <c r="H35" i="31"/>
  <c r="F35" i="31"/>
  <c r="R35" i="31" s="1"/>
  <c r="D35" i="31"/>
  <c r="N34" i="31"/>
  <c r="L34" i="31"/>
  <c r="J34" i="31"/>
  <c r="H34" i="31"/>
  <c r="R33" i="31"/>
  <c r="R51" i="31" s="1"/>
  <c r="N32" i="31"/>
  <c r="L32" i="31"/>
  <c r="J32" i="31"/>
  <c r="H32" i="31"/>
  <c r="F32" i="31"/>
  <c r="D32" i="31"/>
  <c r="N31" i="31"/>
  <c r="L31" i="31"/>
  <c r="J31" i="31"/>
  <c r="H31" i="31"/>
  <c r="F31" i="31"/>
  <c r="F34" i="31" s="1"/>
  <c r="D31" i="31"/>
  <c r="D34" i="31" s="1"/>
  <c r="R34" i="31" s="1"/>
  <c r="R102" i="30"/>
  <c r="R88" i="30"/>
  <c r="R94" i="30" s="1"/>
  <c r="P87" i="30"/>
  <c r="N66" i="30"/>
  <c r="N69" i="30" s="1"/>
  <c r="L66" i="30"/>
  <c r="L43" i="30"/>
  <c r="H43" i="30"/>
  <c r="P269" i="30"/>
  <c r="Q264" i="30" s="1"/>
  <c r="N269" i="30"/>
  <c r="O260" i="30" s="1"/>
  <c r="O262" i="30"/>
  <c r="Q260" i="30"/>
  <c r="P257" i="30"/>
  <c r="N257" i="30"/>
  <c r="O248" i="30" s="1"/>
  <c r="O255" i="30"/>
  <c r="Q253" i="30"/>
  <c r="O252" i="30"/>
  <c r="O251" i="30"/>
  <c r="O250" i="30"/>
  <c r="O249" i="30"/>
  <c r="P245" i="30"/>
  <c r="N245" i="30"/>
  <c r="P231" i="30"/>
  <c r="N231" i="30"/>
  <c r="P230" i="30"/>
  <c r="N230" i="30"/>
  <c r="P229" i="30"/>
  <c r="N229" i="30"/>
  <c r="P228" i="30"/>
  <c r="N228" i="30"/>
  <c r="P227" i="30"/>
  <c r="N227" i="30"/>
  <c r="P226" i="30"/>
  <c r="N226" i="30"/>
  <c r="P225" i="30"/>
  <c r="N225" i="30"/>
  <c r="P224" i="30"/>
  <c r="N224" i="30"/>
  <c r="N233" i="30" s="1"/>
  <c r="O208" i="30"/>
  <c r="O207" i="30"/>
  <c r="P193" i="30"/>
  <c r="P175" i="30"/>
  <c r="R163" i="30"/>
  <c r="R161" i="30"/>
  <c r="R143" i="30"/>
  <c r="B131" i="30"/>
  <c r="B188" i="30" s="1"/>
  <c r="B279" i="30" s="1"/>
  <c r="P120" i="30"/>
  <c r="P127" i="30" s="1"/>
  <c r="P112" i="30"/>
  <c r="R159" i="30" s="1"/>
  <c r="A112" i="30"/>
  <c r="A113" i="30" s="1"/>
  <c r="A114" i="30" s="1"/>
  <c r="A115" i="30" s="1"/>
  <c r="A116" i="30" s="1"/>
  <c r="A117" i="30" s="1"/>
  <c r="A101" i="30"/>
  <c r="A102" i="30" s="1"/>
  <c r="P96" i="30"/>
  <c r="R95" i="30"/>
  <c r="P94" i="30"/>
  <c r="J85" i="30"/>
  <c r="R79" i="30"/>
  <c r="P69" i="30"/>
  <c r="J69" i="30"/>
  <c r="J82" i="30" s="1"/>
  <c r="H69" i="30"/>
  <c r="H82" i="30" s="1"/>
  <c r="R67" i="30"/>
  <c r="P202" i="30"/>
  <c r="N56" i="30"/>
  <c r="N55" i="30"/>
  <c r="R49" i="30"/>
  <c r="D43" i="30"/>
  <c r="L42" i="30"/>
  <c r="H42" i="30"/>
  <c r="D42" i="30"/>
  <c r="N35" i="30"/>
  <c r="L35" i="30"/>
  <c r="J35" i="30"/>
  <c r="H35" i="30"/>
  <c r="F35" i="30"/>
  <c r="D35" i="30"/>
  <c r="N34" i="30"/>
  <c r="L34" i="30"/>
  <c r="J34" i="30"/>
  <c r="H34" i="30"/>
  <c r="R33" i="30"/>
  <c r="R51" i="30" s="1"/>
  <c r="N32" i="30"/>
  <c r="L32" i="30"/>
  <c r="J32" i="30"/>
  <c r="H32" i="30"/>
  <c r="F32" i="30"/>
  <c r="D32" i="30"/>
  <c r="N31" i="30"/>
  <c r="L31" i="30"/>
  <c r="J31" i="30"/>
  <c r="H31" i="30"/>
  <c r="F31" i="30"/>
  <c r="F34" i="30" s="1"/>
  <c r="D31" i="30"/>
  <c r="D34" i="30" s="1"/>
  <c r="R102" i="29"/>
  <c r="R88" i="29"/>
  <c r="P87" i="29"/>
  <c r="N66" i="29"/>
  <c r="L66" i="29"/>
  <c r="P269" i="29"/>
  <c r="Q267" i="29" s="1"/>
  <c r="N269" i="29"/>
  <c r="O264" i="29" s="1"/>
  <c r="Q260" i="29"/>
  <c r="P257" i="29"/>
  <c r="Q255" i="29" s="1"/>
  <c r="N257" i="29"/>
  <c r="O248" i="29" s="1"/>
  <c r="O255" i="29"/>
  <c r="Q254" i="29"/>
  <c r="O254" i="29"/>
  <c r="O253" i="29"/>
  <c r="Q252" i="29"/>
  <c r="O252" i="29"/>
  <c r="O251" i="29"/>
  <c r="Q250" i="29"/>
  <c r="O250" i="29"/>
  <c r="Q249" i="29"/>
  <c r="O249" i="29"/>
  <c r="Q248" i="29"/>
  <c r="P245" i="29"/>
  <c r="N245" i="29"/>
  <c r="Q243" i="29"/>
  <c r="O237" i="29"/>
  <c r="P231" i="29"/>
  <c r="N231" i="29"/>
  <c r="P230" i="29"/>
  <c r="N230" i="29"/>
  <c r="P229" i="29"/>
  <c r="N229" i="29"/>
  <c r="P228" i="29"/>
  <c r="N228" i="29"/>
  <c r="P227" i="29"/>
  <c r="N227" i="29"/>
  <c r="P226" i="29"/>
  <c r="N226" i="29"/>
  <c r="P225" i="29"/>
  <c r="N225" i="29"/>
  <c r="P224" i="29"/>
  <c r="P233" i="29" s="1"/>
  <c r="N224" i="29"/>
  <c r="P208" i="29"/>
  <c r="P207" i="29"/>
  <c r="P193" i="29"/>
  <c r="P175" i="29"/>
  <c r="P120" i="29"/>
  <c r="P127" i="29" s="1"/>
  <c r="R163" i="29"/>
  <c r="R161" i="29"/>
  <c r="R143" i="29"/>
  <c r="B131" i="29"/>
  <c r="B188" i="29" s="1"/>
  <c r="B279" i="29" s="1"/>
  <c r="P112" i="29"/>
  <c r="R159" i="29" s="1"/>
  <c r="A112" i="29"/>
  <c r="A113" i="29" s="1"/>
  <c r="A114" i="29" s="1"/>
  <c r="A115" i="29" s="1"/>
  <c r="A116" i="29" s="1"/>
  <c r="A117" i="29" s="1"/>
  <c r="A101" i="29"/>
  <c r="A102" i="29" s="1"/>
  <c r="P96" i="29"/>
  <c r="R95" i="29"/>
  <c r="R94" i="29"/>
  <c r="R98" i="29" s="1"/>
  <c r="P94" i="29"/>
  <c r="J85" i="29"/>
  <c r="R79" i="29"/>
  <c r="P69" i="29"/>
  <c r="J69" i="29"/>
  <c r="J82" i="29" s="1"/>
  <c r="H69" i="29"/>
  <c r="H82" i="29" s="1"/>
  <c r="R67" i="29"/>
  <c r="N69" i="29"/>
  <c r="N56" i="29"/>
  <c r="N55" i="29"/>
  <c r="R49" i="29"/>
  <c r="H43" i="29"/>
  <c r="D43" i="29"/>
  <c r="L42" i="29"/>
  <c r="H42" i="29"/>
  <c r="D42" i="29"/>
  <c r="N35" i="29"/>
  <c r="L35" i="29"/>
  <c r="J35" i="29"/>
  <c r="H35" i="29"/>
  <c r="F35" i="29"/>
  <c r="D35" i="29"/>
  <c r="N34" i="29"/>
  <c r="L34" i="29"/>
  <c r="J34" i="29"/>
  <c r="H34" i="29"/>
  <c r="R33" i="29"/>
  <c r="R146" i="29" s="1"/>
  <c r="N32" i="29"/>
  <c r="L32" i="29"/>
  <c r="J32" i="29"/>
  <c r="H32" i="29"/>
  <c r="F32" i="29"/>
  <c r="D32" i="29"/>
  <c r="N31" i="29"/>
  <c r="L31" i="29"/>
  <c r="J31" i="29"/>
  <c r="H31" i="29"/>
  <c r="F31" i="29"/>
  <c r="F34" i="29" s="1"/>
  <c r="D31" i="29"/>
  <c r="D34" i="29" s="1"/>
  <c r="R34" i="29" s="1"/>
  <c r="R42" i="29" s="1"/>
  <c r="P195" i="29" s="1"/>
  <c r="P196" i="29" s="1"/>
  <c r="R102" i="28"/>
  <c r="R88" i="28"/>
  <c r="O175" i="28"/>
  <c r="P87" i="28"/>
  <c r="P94" i="28" s="1"/>
  <c r="N66" i="28"/>
  <c r="N69" i="28" s="1"/>
  <c r="L66" i="28"/>
  <c r="L43" i="28"/>
  <c r="H43" i="28"/>
  <c r="P269" i="28"/>
  <c r="P208" i="28" s="1"/>
  <c r="N269" i="28"/>
  <c r="O267" i="28"/>
  <c r="Q266" i="28"/>
  <c r="O266" i="28"/>
  <c r="O265" i="28"/>
  <c r="Q264" i="28"/>
  <c r="O264" i="28"/>
  <c r="O263" i="28"/>
  <c r="Q262" i="28"/>
  <c r="O262" i="28"/>
  <c r="O261" i="28"/>
  <c r="Q260" i="28"/>
  <c r="O260" i="28"/>
  <c r="O269" i="28"/>
  <c r="P257" i="28"/>
  <c r="Q254" i="28" s="1"/>
  <c r="N257" i="28"/>
  <c r="O248" i="28" s="1"/>
  <c r="O254" i="28"/>
  <c r="Q251" i="28"/>
  <c r="Q249" i="28"/>
  <c r="O249" i="28"/>
  <c r="P245" i="28"/>
  <c r="Q243" i="28" s="1"/>
  <c r="N245" i="28"/>
  <c r="O236" i="28"/>
  <c r="P231" i="28"/>
  <c r="N231" i="28"/>
  <c r="P230" i="28"/>
  <c r="N230" i="28"/>
  <c r="P229" i="28"/>
  <c r="N229" i="28"/>
  <c r="P228" i="28"/>
  <c r="N228" i="28"/>
  <c r="P227" i="28"/>
  <c r="N227" i="28"/>
  <c r="P226" i="28"/>
  <c r="N226" i="28"/>
  <c r="P225" i="28"/>
  <c r="N225" i="28"/>
  <c r="P224" i="28"/>
  <c r="N224" i="28"/>
  <c r="N233" i="28" s="1"/>
  <c r="O208" i="28"/>
  <c r="P207" i="28"/>
  <c r="O207" i="28"/>
  <c r="P193" i="28"/>
  <c r="P175" i="28"/>
  <c r="R175" i="28" s="1"/>
  <c r="R163" i="28"/>
  <c r="R161" i="28"/>
  <c r="R143" i="28"/>
  <c r="B131" i="28"/>
  <c r="B188" i="28" s="1"/>
  <c r="B279" i="28" s="1"/>
  <c r="P120" i="28"/>
  <c r="P127" i="28"/>
  <c r="P112" i="28"/>
  <c r="R159" i="28" s="1"/>
  <c r="P212" i="28" s="1"/>
  <c r="A112" i="28"/>
  <c r="A113" i="28" s="1"/>
  <c r="A114" i="28" s="1"/>
  <c r="A115" i="28" s="1"/>
  <c r="A116" i="28" s="1"/>
  <c r="A117" i="28" s="1"/>
  <c r="A101" i="28"/>
  <c r="A102" i="28"/>
  <c r="P96" i="28"/>
  <c r="R95" i="28"/>
  <c r="R94" i="28"/>
  <c r="J85" i="28"/>
  <c r="R79" i="28"/>
  <c r="P69" i="28"/>
  <c r="J69" i="28"/>
  <c r="J82" i="28" s="1"/>
  <c r="H69" i="28"/>
  <c r="H82" i="28" s="1"/>
  <c r="R67" i="28"/>
  <c r="P202" i="28"/>
  <c r="N56" i="28"/>
  <c r="N55" i="28"/>
  <c r="R49" i="28"/>
  <c r="D43" i="28"/>
  <c r="L42" i="28"/>
  <c r="H42" i="28"/>
  <c r="D42" i="28"/>
  <c r="N35" i="28"/>
  <c r="L35" i="28"/>
  <c r="J35" i="28"/>
  <c r="H35" i="28"/>
  <c r="F35" i="28"/>
  <c r="D35" i="28"/>
  <c r="N34" i="28"/>
  <c r="L34" i="28"/>
  <c r="J34" i="28"/>
  <c r="H34" i="28"/>
  <c r="R33" i="28"/>
  <c r="R146" i="28" s="1"/>
  <c r="N32" i="28"/>
  <c r="L32" i="28"/>
  <c r="J32" i="28"/>
  <c r="H32" i="28"/>
  <c r="F32" i="28"/>
  <c r="D32" i="28"/>
  <c r="N31" i="28"/>
  <c r="L31" i="28"/>
  <c r="J31" i="28"/>
  <c r="H31" i="28"/>
  <c r="F31" i="28"/>
  <c r="F34" i="28" s="1"/>
  <c r="D31" i="28"/>
  <c r="D34" i="28" s="1"/>
  <c r="R34" i="28" s="1"/>
  <c r="R102" i="27"/>
  <c r="R89" i="27"/>
  <c r="R94" i="27" s="1"/>
  <c r="R88" i="27"/>
  <c r="O175" i="27"/>
  <c r="P87" i="27"/>
  <c r="P94" i="27" s="1"/>
  <c r="N66" i="27"/>
  <c r="L66" i="27"/>
  <c r="L43" i="27"/>
  <c r="H43" i="27"/>
  <c r="D31" i="27"/>
  <c r="D34" i="27" s="1"/>
  <c r="F31" i="27"/>
  <c r="H31" i="27"/>
  <c r="J31" i="27"/>
  <c r="L31" i="27"/>
  <c r="N31" i="27"/>
  <c r="D32" i="27"/>
  <c r="F32" i="27"/>
  <c r="H32" i="27"/>
  <c r="J32" i="27"/>
  <c r="L32" i="27"/>
  <c r="N32" i="27"/>
  <c r="R33" i="27"/>
  <c r="F34" i="27"/>
  <c r="H34" i="27"/>
  <c r="J34" i="27"/>
  <c r="L34" i="27"/>
  <c r="N34" i="27"/>
  <c r="D35" i="27"/>
  <c r="F35" i="27"/>
  <c r="H35" i="27"/>
  <c r="J35" i="27"/>
  <c r="L35" i="27"/>
  <c r="N35" i="27"/>
  <c r="D42" i="27"/>
  <c r="H42" i="27"/>
  <c r="L42" i="27"/>
  <c r="D43" i="27"/>
  <c r="R49" i="27"/>
  <c r="R51" i="27"/>
  <c r="N55" i="27"/>
  <c r="N56" i="27"/>
  <c r="R67" i="27"/>
  <c r="H69" i="27"/>
  <c r="H82" i="27" s="1"/>
  <c r="J69" i="27"/>
  <c r="N69" i="27"/>
  <c r="P69" i="27"/>
  <c r="R79" i="27"/>
  <c r="J82" i="27"/>
  <c r="J85" i="27"/>
  <c r="R95" i="27"/>
  <c r="P96" i="27"/>
  <c r="A101" i="27"/>
  <c r="A102" i="27" s="1"/>
  <c r="A112" i="27"/>
  <c r="A113" i="27" s="1"/>
  <c r="A114" i="27" s="1"/>
  <c r="A115" i="27" s="1"/>
  <c r="A116" i="27" s="1"/>
  <c r="A117" i="27" s="1"/>
  <c r="P112" i="27"/>
  <c r="R159" i="27" s="1"/>
  <c r="B131" i="27"/>
  <c r="B188" i="27" s="1"/>
  <c r="B279" i="27" s="1"/>
  <c r="R135" i="27"/>
  <c r="R143" i="27"/>
  <c r="R146" i="27"/>
  <c r="R161" i="27"/>
  <c r="R163" i="27"/>
  <c r="P175" i="27"/>
  <c r="P193" i="27"/>
  <c r="P257" i="27"/>
  <c r="P207" i="27" s="1"/>
  <c r="N224" i="27"/>
  <c r="P224" i="27"/>
  <c r="P225" i="27"/>
  <c r="P226" i="27"/>
  <c r="P227" i="27"/>
  <c r="P228" i="27"/>
  <c r="P230" i="27"/>
  <c r="P231" i="27"/>
  <c r="N225" i="27"/>
  <c r="N226" i="27"/>
  <c r="N227" i="27"/>
  <c r="N228" i="27"/>
  <c r="N229" i="27"/>
  <c r="P229" i="27"/>
  <c r="N230" i="27"/>
  <c r="N231" i="27"/>
  <c r="P245" i="27"/>
  <c r="Q237" i="27" s="1"/>
  <c r="N245" i="27"/>
  <c r="O242" i="27" s="1"/>
  <c r="Q239" i="27"/>
  <c r="N257" i="27"/>
  <c r="Q236" i="27"/>
  <c r="Q249" i="27"/>
  <c r="Q251" i="27"/>
  <c r="Q253" i="27"/>
  <c r="Q255" i="27"/>
  <c r="Q248" i="27"/>
  <c r="N269" i="27"/>
  <c r="P269" i="27"/>
  <c r="Q261" i="27" s="1"/>
  <c r="P88" i="15"/>
  <c r="R89" i="15"/>
  <c r="P88" i="14"/>
  <c r="R89" i="14"/>
  <c r="P88" i="13"/>
  <c r="R89" i="13"/>
  <c r="R163" i="26"/>
  <c r="R102" i="26"/>
  <c r="R89" i="26"/>
  <c r="R94" i="26" s="1"/>
  <c r="R88" i="26"/>
  <c r="O175" i="26"/>
  <c r="P87" i="26"/>
  <c r="P94" i="26"/>
  <c r="P98" i="26" s="1"/>
  <c r="P96" i="26"/>
  <c r="P112" i="26"/>
  <c r="N66" i="26"/>
  <c r="L66" i="26"/>
  <c r="P202" i="26" s="1"/>
  <c r="L43" i="26"/>
  <c r="H43" i="26"/>
  <c r="D31" i="26"/>
  <c r="F31" i="26"/>
  <c r="F34" i="26" s="1"/>
  <c r="H31" i="26"/>
  <c r="J31" i="26"/>
  <c r="L31" i="26"/>
  <c r="N31" i="26"/>
  <c r="D32" i="26"/>
  <c r="F32" i="26"/>
  <c r="H32" i="26"/>
  <c r="J32" i="26"/>
  <c r="L32" i="26"/>
  <c r="N32" i="26"/>
  <c r="R33" i="26"/>
  <c r="D34" i="26"/>
  <c r="H34" i="26"/>
  <c r="J34" i="26"/>
  <c r="L34" i="26"/>
  <c r="N34" i="26"/>
  <c r="D35" i="26"/>
  <c r="F35" i="26"/>
  <c r="H35" i="26"/>
  <c r="J35" i="26"/>
  <c r="L35" i="26"/>
  <c r="N35" i="26"/>
  <c r="D42" i="26"/>
  <c r="H42" i="26"/>
  <c r="L42" i="26"/>
  <c r="D43" i="26"/>
  <c r="R49" i="26"/>
  <c r="N55" i="26"/>
  <c r="N56" i="26"/>
  <c r="R67" i="26"/>
  <c r="H69" i="26"/>
  <c r="H82" i="26" s="1"/>
  <c r="J69" i="26"/>
  <c r="J82" i="26" s="1"/>
  <c r="L69" i="26"/>
  <c r="P69" i="26"/>
  <c r="R79" i="26"/>
  <c r="J85" i="26"/>
  <c r="R95" i="26"/>
  <c r="A101" i="26"/>
  <c r="A102" i="26" s="1"/>
  <c r="A112" i="26"/>
  <c r="A113" i="26" s="1"/>
  <c r="A114" i="26" s="1"/>
  <c r="A115" i="26" s="1"/>
  <c r="A116" i="26" s="1"/>
  <c r="A117" i="26" s="1"/>
  <c r="B131" i="26"/>
  <c r="B188" i="26" s="1"/>
  <c r="B279" i="26" s="1"/>
  <c r="R143" i="26"/>
  <c r="R159" i="26"/>
  <c r="R161" i="26"/>
  <c r="P175" i="26"/>
  <c r="P193" i="26"/>
  <c r="N257" i="26"/>
  <c r="O248" i="26" s="1"/>
  <c r="P257" i="26"/>
  <c r="N269" i="26"/>
  <c r="O208" i="26" s="1"/>
  <c r="P269" i="26"/>
  <c r="Q260" i="26" s="1"/>
  <c r="N224" i="26"/>
  <c r="N225" i="26"/>
  <c r="N226" i="26"/>
  <c r="N227" i="26"/>
  <c r="N228" i="26"/>
  <c r="N229" i="26"/>
  <c r="N230" i="26"/>
  <c r="N231" i="26"/>
  <c r="P224" i="26"/>
  <c r="P225" i="26"/>
  <c r="P226" i="26"/>
  <c r="P227" i="26"/>
  <c r="P228" i="26"/>
  <c r="P229" i="26"/>
  <c r="P230" i="26"/>
  <c r="P231" i="26"/>
  <c r="P233" i="26" s="1"/>
  <c r="N245" i="26"/>
  <c r="O241" i="26"/>
  <c r="P245" i="26"/>
  <c r="Q239" i="26" s="1"/>
  <c r="Q240" i="26"/>
  <c r="Q249" i="26"/>
  <c r="O250" i="26"/>
  <c r="O253" i="26"/>
  <c r="O254" i="26"/>
  <c r="Q255" i="26"/>
  <c r="O260" i="26"/>
  <c r="O261" i="26"/>
  <c r="O262" i="26"/>
  <c r="O263" i="26"/>
  <c r="O264" i="26"/>
  <c r="O265" i="26"/>
  <c r="O266" i="26"/>
  <c r="O267" i="26"/>
  <c r="R102" i="25"/>
  <c r="R89" i="25"/>
  <c r="R88" i="25"/>
  <c r="R94" i="25" s="1"/>
  <c r="O175" i="25"/>
  <c r="P120" i="25" s="1"/>
  <c r="P127" i="25" s="1"/>
  <c r="P87" i="25"/>
  <c r="P94" i="25" s="1"/>
  <c r="N66" i="25"/>
  <c r="L66" i="25"/>
  <c r="R66" i="25" s="1"/>
  <c r="R69" i="25" s="1"/>
  <c r="R67" i="25"/>
  <c r="L43" i="25"/>
  <c r="H43" i="25"/>
  <c r="D31" i="25"/>
  <c r="D34" i="25" s="1"/>
  <c r="F31" i="25"/>
  <c r="F34" i="25" s="1"/>
  <c r="H31" i="25"/>
  <c r="J31" i="25"/>
  <c r="L31" i="25"/>
  <c r="N31" i="25"/>
  <c r="D32" i="25"/>
  <c r="F32" i="25"/>
  <c r="H32" i="25"/>
  <c r="J32" i="25"/>
  <c r="L32" i="25"/>
  <c r="N32" i="25"/>
  <c r="R33" i="25"/>
  <c r="H34" i="25"/>
  <c r="J34" i="25"/>
  <c r="L34" i="25"/>
  <c r="N34" i="25"/>
  <c r="D35" i="25"/>
  <c r="F35" i="25"/>
  <c r="H35" i="25"/>
  <c r="J35" i="25"/>
  <c r="L35" i="25"/>
  <c r="N35" i="25"/>
  <c r="D42" i="25"/>
  <c r="H42" i="25"/>
  <c r="L42" i="25"/>
  <c r="D43" i="25"/>
  <c r="R49" i="25"/>
  <c r="R51" i="25"/>
  <c r="N55" i="25"/>
  <c r="N56" i="25"/>
  <c r="H69" i="25"/>
  <c r="H82" i="25"/>
  <c r="J69" i="25"/>
  <c r="J82" i="25" s="1"/>
  <c r="N69" i="25"/>
  <c r="P69" i="25"/>
  <c r="R79" i="25"/>
  <c r="J85" i="25"/>
  <c r="P96" i="25"/>
  <c r="R95" i="25"/>
  <c r="A101" i="25"/>
  <c r="A102" i="25" s="1"/>
  <c r="A112" i="25"/>
  <c r="A113" i="25" s="1"/>
  <c r="A114" i="25" s="1"/>
  <c r="A115" i="25" s="1"/>
  <c r="A116" i="25" s="1"/>
  <c r="A117" i="25" s="1"/>
  <c r="P112" i="25"/>
  <c r="R159" i="25" s="1"/>
  <c r="P212" i="25" s="1"/>
  <c r="B131" i="25"/>
  <c r="B188" i="25" s="1"/>
  <c r="B279" i="25" s="1"/>
  <c r="R135" i="25"/>
  <c r="R143" i="25"/>
  <c r="R146" i="25"/>
  <c r="R161" i="25"/>
  <c r="P175" i="25"/>
  <c r="R175" i="25" s="1"/>
  <c r="P193" i="25"/>
  <c r="N257" i="25"/>
  <c r="O207" i="25" s="1"/>
  <c r="P257" i="25"/>
  <c r="Q254" i="25" s="1"/>
  <c r="N269" i="25"/>
  <c r="P269" i="25"/>
  <c r="P208" i="25" s="1"/>
  <c r="N224" i="25"/>
  <c r="N225" i="25"/>
  <c r="N226" i="25"/>
  <c r="N227" i="25"/>
  <c r="N228" i="25"/>
  <c r="N229" i="25"/>
  <c r="N230" i="25"/>
  <c r="N231" i="25"/>
  <c r="P224" i="25"/>
  <c r="P225" i="25"/>
  <c r="P231" i="25"/>
  <c r="P230" i="25"/>
  <c r="P226" i="25"/>
  <c r="P227" i="25"/>
  <c r="P228" i="25"/>
  <c r="P229" i="25"/>
  <c r="N245" i="25"/>
  <c r="O237" i="25" s="1"/>
  <c r="O241" i="25"/>
  <c r="P245" i="25"/>
  <c r="Q239" i="25" s="1"/>
  <c r="O248" i="25"/>
  <c r="Q248" i="25"/>
  <c r="O252" i="25"/>
  <c r="O254" i="25"/>
  <c r="Q260" i="25"/>
  <c r="Q261" i="25"/>
  <c r="Q262" i="25"/>
  <c r="O263" i="25"/>
  <c r="Q263" i="25"/>
  <c r="Q264" i="25"/>
  <c r="O265" i="25"/>
  <c r="Q265" i="25"/>
  <c r="Q266" i="25"/>
  <c r="Q267" i="25"/>
  <c r="P175" i="24"/>
  <c r="R175" i="24" s="1"/>
  <c r="R102" i="24"/>
  <c r="R89" i="24"/>
  <c r="R88" i="24"/>
  <c r="P87" i="24"/>
  <c r="P94" i="24" s="1"/>
  <c r="L66" i="24"/>
  <c r="N66" i="24"/>
  <c r="L43" i="24"/>
  <c r="H43" i="24"/>
  <c r="D31" i="24"/>
  <c r="D34" i="24" s="1"/>
  <c r="F31" i="24"/>
  <c r="F34" i="24" s="1"/>
  <c r="H31" i="24"/>
  <c r="J31" i="24"/>
  <c r="L31" i="24"/>
  <c r="N31" i="24"/>
  <c r="D32" i="24"/>
  <c r="F32" i="24"/>
  <c r="H32" i="24"/>
  <c r="J32" i="24"/>
  <c r="L32" i="24"/>
  <c r="N32" i="24"/>
  <c r="R33" i="24"/>
  <c r="H34" i="24"/>
  <c r="J34" i="24"/>
  <c r="L34" i="24"/>
  <c r="N34" i="24"/>
  <c r="D35" i="24"/>
  <c r="F35" i="24"/>
  <c r="H35" i="24"/>
  <c r="J35" i="24"/>
  <c r="L35" i="24"/>
  <c r="R50" i="24" s="1"/>
  <c r="N35" i="24"/>
  <c r="D42" i="24"/>
  <c r="H42" i="24"/>
  <c r="L42" i="24"/>
  <c r="D43" i="24"/>
  <c r="R49" i="24"/>
  <c r="R51" i="24"/>
  <c r="N55" i="24"/>
  <c r="N56" i="24"/>
  <c r="R67" i="24"/>
  <c r="H69" i="24"/>
  <c r="H82" i="24" s="1"/>
  <c r="J69" i="24"/>
  <c r="J82" i="24" s="1"/>
  <c r="N69" i="24"/>
  <c r="P69" i="24"/>
  <c r="R79" i="24"/>
  <c r="J85" i="24"/>
  <c r="R94" i="24"/>
  <c r="R98" i="24" s="1"/>
  <c r="R95" i="24"/>
  <c r="P96" i="24"/>
  <c r="A101" i="24"/>
  <c r="A102" i="24" s="1"/>
  <c r="A112" i="24"/>
  <c r="A113" i="24" s="1"/>
  <c r="A114" i="24" s="1"/>
  <c r="A115" i="24" s="1"/>
  <c r="A116" i="24" s="1"/>
  <c r="A117" i="24" s="1"/>
  <c r="P112" i="24"/>
  <c r="R159" i="24" s="1"/>
  <c r="P120" i="24"/>
  <c r="P127" i="24" s="1"/>
  <c r="B131" i="24"/>
  <c r="B188" i="24" s="1"/>
  <c r="B279" i="24" s="1"/>
  <c r="R135" i="24"/>
  <c r="R143" i="24"/>
  <c r="R146" i="24"/>
  <c r="R161" i="24"/>
  <c r="P193" i="24"/>
  <c r="N257" i="24"/>
  <c r="P257" i="24"/>
  <c r="N269" i="24"/>
  <c r="O208" i="24" s="1"/>
  <c r="P269" i="24"/>
  <c r="N224" i="24"/>
  <c r="N225" i="24"/>
  <c r="N226" i="24"/>
  <c r="N227" i="24"/>
  <c r="N228" i="24"/>
  <c r="N229" i="24"/>
  <c r="N230" i="24"/>
  <c r="N231" i="24"/>
  <c r="P224" i="24"/>
  <c r="P225" i="24"/>
  <c r="P226" i="24"/>
  <c r="P227" i="24"/>
  <c r="P228" i="24"/>
  <c r="P229" i="24"/>
  <c r="P230" i="24"/>
  <c r="P231" i="24"/>
  <c r="N245" i="24"/>
  <c r="O239" i="24" s="1"/>
  <c r="O238" i="24"/>
  <c r="O243" i="24"/>
  <c r="P245" i="24"/>
  <c r="Q238" i="24" s="1"/>
  <c r="Q239" i="24"/>
  <c r="Q241" i="24"/>
  <c r="Q243" i="24"/>
  <c r="Q248" i="24"/>
  <c r="Q254" i="24"/>
  <c r="O260" i="24"/>
  <c r="O261" i="24"/>
  <c r="Q261" i="24"/>
  <c r="O262" i="24"/>
  <c r="O263" i="24"/>
  <c r="Q263" i="24"/>
  <c r="O264" i="24"/>
  <c r="O265" i="24"/>
  <c r="Q265" i="24"/>
  <c r="O266" i="24"/>
  <c r="O267" i="24"/>
  <c r="O269" i="24"/>
  <c r="Q267" i="24"/>
  <c r="P245" i="23"/>
  <c r="R102" i="23"/>
  <c r="R89" i="23"/>
  <c r="R94" i="23" s="1"/>
  <c r="R88" i="23"/>
  <c r="P175" i="23"/>
  <c r="O175" i="23"/>
  <c r="P87" i="23"/>
  <c r="N66" i="23"/>
  <c r="L66" i="23"/>
  <c r="L69" i="23" s="1"/>
  <c r="L43" i="23"/>
  <c r="H43" i="23"/>
  <c r="P225" i="22"/>
  <c r="P226" i="22"/>
  <c r="P227" i="22"/>
  <c r="P228" i="22"/>
  <c r="P229" i="22"/>
  <c r="P224" i="22"/>
  <c r="P230" i="22"/>
  <c r="P231" i="22"/>
  <c r="N225" i="22"/>
  <c r="N226" i="22"/>
  <c r="N227" i="22"/>
  <c r="N228" i="22"/>
  <c r="N229" i="22"/>
  <c r="N230" i="22"/>
  <c r="N231" i="22"/>
  <c r="N224" i="22"/>
  <c r="P175" i="22"/>
  <c r="O175" i="22"/>
  <c r="P112" i="22"/>
  <c r="R159" i="22" s="1"/>
  <c r="P112" i="23"/>
  <c r="R159" i="23" s="1"/>
  <c r="P224" i="23"/>
  <c r="P225" i="23"/>
  <c r="P226" i="23"/>
  <c r="P227" i="23"/>
  <c r="P228" i="23"/>
  <c r="P229" i="23"/>
  <c r="P230" i="23"/>
  <c r="P231" i="23"/>
  <c r="N224" i="23"/>
  <c r="N225" i="23"/>
  <c r="N226" i="23"/>
  <c r="N227" i="23"/>
  <c r="N228" i="23"/>
  <c r="N229" i="23"/>
  <c r="N230" i="23"/>
  <c r="N231" i="23"/>
  <c r="N245" i="23"/>
  <c r="D31" i="23"/>
  <c r="D34" i="23" s="1"/>
  <c r="F31" i="23"/>
  <c r="F34" i="23" s="1"/>
  <c r="H31" i="23"/>
  <c r="J31" i="23"/>
  <c r="L31" i="23"/>
  <c r="N31" i="23"/>
  <c r="D32" i="23"/>
  <c r="F32" i="23"/>
  <c r="H32" i="23"/>
  <c r="J32" i="23"/>
  <c r="L32" i="23"/>
  <c r="N32" i="23"/>
  <c r="R33" i="23"/>
  <c r="H34" i="23"/>
  <c r="J34" i="23"/>
  <c r="L34" i="23"/>
  <c r="N34" i="23"/>
  <c r="D42" i="23"/>
  <c r="H42" i="23"/>
  <c r="L42" i="23"/>
  <c r="D35" i="23"/>
  <c r="F35" i="23"/>
  <c r="H35" i="23"/>
  <c r="J35" i="23"/>
  <c r="L35" i="23"/>
  <c r="N35" i="23"/>
  <c r="R50" i="23" s="1"/>
  <c r="D43" i="23"/>
  <c r="R49" i="23"/>
  <c r="R51" i="23"/>
  <c r="N55" i="23"/>
  <c r="N56" i="23"/>
  <c r="R67" i="23"/>
  <c r="H69" i="23"/>
  <c r="H82" i="23" s="1"/>
  <c r="J69" i="23"/>
  <c r="J82" i="23" s="1"/>
  <c r="P69" i="23"/>
  <c r="R79" i="23"/>
  <c r="J85" i="23"/>
  <c r="P94" i="23"/>
  <c r="R95" i="23"/>
  <c r="P96" i="23"/>
  <c r="A101" i="23"/>
  <c r="A102" i="23" s="1"/>
  <c r="A112" i="23"/>
  <c r="A113" i="23" s="1"/>
  <c r="A114" i="23" s="1"/>
  <c r="A115" i="23" s="1"/>
  <c r="A116" i="23" s="1"/>
  <c r="A117" i="23" s="1"/>
  <c r="P120" i="23"/>
  <c r="P127" i="23"/>
  <c r="B131" i="23"/>
  <c r="B188" i="23" s="1"/>
  <c r="B279" i="23" s="1"/>
  <c r="R143" i="23"/>
  <c r="R161" i="23"/>
  <c r="P193" i="23"/>
  <c r="P202" i="23"/>
  <c r="N257" i="23"/>
  <c r="P257" i="23"/>
  <c r="N269" i="23"/>
  <c r="O264" i="23"/>
  <c r="P269" i="23"/>
  <c r="Q265" i="23" s="1"/>
  <c r="Q237" i="23"/>
  <c r="O239" i="23"/>
  <c r="Q239" i="23"/>
  <c r="Q241" i="23"/>
  <c r="O243" i="23"/>
  <c r="Q243" i="23"/>
  <c r="Q248" i="23"/>
  <c r="O250" i="23"/>
  <c r="Q252" i="23"/>
  <c r="O260" i="23"/>
  <c r="Q261" i="23"/>
  <c r="O263" i="23"/>
  <c r="L66" i="22"/>
  <c r="P202" i="22"/>
  <c r="R102" i="22"/>
  <c r="R89" i="22"/>
  <c r="R88" i="22"/>
  <c r="R94" i="22"/>
  <c r="P87" i="22"/>
  <c r="N66" i="22"/>
  <c r="L43" i="22"/>
  <c r="H43" i="22"/>
  <c r="D43" i="22"/>
  <c r="D31" i="22"/>
  <c r="D34" i="22" s="1"/>
  <c r="F31" i="22"/>
  <c r="F34" i="22" s="1"/>
  <c r="H34" i="22"/>
  <c r="J34" i="22"/>
  <c r="L34" i="22"/>
  <c r="N34" i="22"/>
  <c r="D42" i="22"/>
  <c r="H42" i="22"/>
  <c r="L42" i="22"/>
  <c r="H31" i="22"/>
  <c r="J31" i="22"/>
  <c r="L31" i="22"/>
  <c r="N31" i="22"/>
  <c r="D32" i="22"/>
  <c r="F32" i="22"/>
  <c r="H32" i="22"/>
  <c r="J32" i="22"/>
  <c r="L32" i="22"/>
  <c r="N32" i="22"/>
  <c r="R33" i="22"/>
  <c r="D35" i="22"/>
  <c r="F35" i="22"/>
  <c r="H35" i="22"/>
  <c r="J35" i="22"/>
  <c r="L35" i="22"/>
  <c r="N35" i="22"/>
  <c r="R49" i="22"/>
  <c r="N55" i="22"/>
  <c r="N56" i="22"/>
  <c r="R67" i="22"/>
  <c r="H69" i="22"/>
  <c r="H82" i="22" s="1"/>
  <c r="J69" i="22"/>
  <c r="J82" i="22" s="1"/>
  <c r="L69" i="22"/>
  <c r="P69" i="22"/>
  <c r="R79" i="22"/>
  <c r="J85" i="22"/>
  <c r="P94" i="22"/>
  <c r="R95" i="22"/>
  <c r="P96" i="22"/>
  <c r="A101" i="22"/>
  <c r="A102" i="22" s="1"/>
  <c r="A112" i="22"/>
  <c r="A113" i="22" s="1"/>
  <c r="A114" i="22" s="1"/>
  <c r="A115" i="22" s="1"/>
  <c r="A116" i="22" s="1"/>
  <c r="A117" i="22" s="1"/>
  <c r="B131" i="22"/>
  <c r="B188" i="22" s="1"/>
  <c r="B279" i="22" s="1"/>
  <c r="R143" i="22"/>
  <c r="R161" i="22"/>
  <c r="P193" i="22"/>
  <c r="N257" i="22"/>
  <c r="O250" i="22" s="1"/>
  <c r="P257" i="22"/>
  <c r="P207" i="22" s="1"/>
  <c r="N269" i="22"/>
  <c r="P269" i="22"/>
  <c r="P208" i="22"/>
  <c r="N245" i="22"/>
  <c r="O236" i="22" s="1"/>
  <c r="P245" i="22"/>
  <c r="O254" i="22"/>
  <c r="O263" i="22"/>
  <c r="O267" i="22"/>
  <c r="R164" i="21"/>
  <c r="D42" i="21"/>
  <c r="H42" i="21"/>
  <c r="L42" i="21"/>
  <c r="D31" i="21"/>
  <c r="D34" i="21" s="1"/>
  <c r="F31" i="21"/>
  <c r="F34" i="21" s="1"/>
  <c r="H34" i="21"/>
  <c r="J34" i="21"/>
  <c r="L34" i="21"/>
  <c r="N34" i="21"/>
  <c r="R103" i="21"/>
  <c r="R90" i="21"/>
  <c r="R95" i="21" s="1"/>
  <c r="R89" i="21"/>
  <c r="P88" i="21"/>
  <c r="P95" i="21" s="1"/>
  <c r="N67" i="21"/>
  <c r="N70" i="21" s="1"/>
  <c r="L67" i="21"/>
  <c r="R68" i="21"/>
  <c r="L43" i="21"/>
  <c r="H43" i="21"/>
  <c r="D43" i="21"/>
  <c r="H32" i="21"/>
  <c r="H31" i="21"/>
  <c r="J31" i="21"/>
  <c r="J32" i="21"/>
  <c r="L31" i="21"/>
  <c r="L32" i="21"/>
  <c r="N31" i="21"/>
  <c r="N32" i="21"/>
  <c r="H35" i="21"/>
  <c r="J35" i="21"/>
  <c r="L35" i="21"/>
  <c r="N35" i="21"/>
  <c r="P113" i="21"/>
  <c r="R160" i="21" s="1"/>
  <c r="D32" i="21"/>
  <c r="F32" i="21"/>
  <c r="R33" i="21"/>
  <c r="D35" i="21"/>
  <c r="F35" i="21"/>
  <c r="R49" i="21"/>
  <c r="N55" i="21"/>
  <c r="N56" i="21"/>
  <c r="H70" i="21"/>
  <c r="J70" i="21"/>
  <c r="J83" i="21" s="1"/>
  <c r="P70" i="21"/>
  <c r="R80" i="21"/>
  <c r="H83" i="21"/>
  <c r="J86" i="21"/>
  <c r="R96" i="21"/>
  <c r="P97" i="21"/>
  <c r="A102" i="21"/>
  <c r="A103" i="21" s="1"/>
  <c r="A113" i="21"/>
  <c r="A114" i="21" s="1"/>
  <c r="A115" i="21" s="1"/>
  <c r="A116" i="21" s="1"/>
  <c r="A117" i="21" s="1"/>
  <c r="A118" i="21" s="1"/>
  <c r="P121" i="21"/>
  <c r="P128" i="21" s="1"/>
  <c r="B132" i="21"/>
  <c r="B189" i="21" s="1"/>
  <c r="B268" i="21" s="1"/>
  <c r="R144" i="21"/>
  <c r="R162" i="21"/>
  <c r="P176" i="21"/>
  <c r="R176" i="21"/>
  <c r="P194" i="21"/>
  <c r="P203" i="21"/>
  <c r="N246" i="21"/>
  <c r="P246" i="21"/>
  <c r="P208" i="21" s="1"/>
  <c r="N258" i="21"/>
  <c r="O209" i="21"/>
  <c r="P258" i="21"/>
  <c r="N234" i="21"/>
  <c r="O232" i="21" s="1"/>
  <c r="P234" i="21"/>
  <c r="Q225" i="21" s="1"/>
  <c r="O240" i="21"/>
  <c r="Q240" i="21"/>
  <c r="Q244" i="21"/>
  <c r="O249" i="21"/>
  <c r="O251" i="21"/>
  <c r="O253" i="21"/>
  <c r="O255" i="21"/>
  <c r="R89" i="20"/>
  <c r="R103" i="20"/>
  <c r="R90" i="20"/>
  <c r="O176" i="20"/>
  <c r="P88" i="20"/>
  <c r="P95" i="20" s="1"/>
  <c r="N67" i="20"/>
  <c r="N70" i="20" s="1"/>
  <c r="L67" i="20"/>
  <c r="L43" i="20"/>
  <c r="H43" i="20"/>
  <c r="D43" i="20"/>
  <c r="N35" i="20"/>
  <c r="L35" i="20"/>
  <c r="H35" i="20"/>
  <c r="N32" i="20"/>
  <c r="L32" i="20"/>
  <c r="H32" i="20"/>
  <c r="J32" i="20"/>
  <c r="P113" i="20"/>
  <c r="R160" i="20" s="1"/>
  <c r="D31" i="20"/>
  <c r="D34" i="20" s="1"/>
  <c r="F31" i="20"/>
  <c r="F34" i="20" s="1"/>
  <c r="H34" i="20"/>
  <c r="J34" i="20"/>
  <c r="D42" i="20"/>
  <c r="H42" i="20"/>
  <c r="L42" i="20"/>
  <c r="H31" i="20"/>
  <c r="J31" i="20"/>
  <c r="D32" i="20"/>
  <c r="F32" i="20"/>
  <c r="R33" i="20"/>
  <c r="R51" i="20" s="1"/>
  <c r="D35" i="20"/>
  <c r="F35" i="20"/>
  <c r="R35" i="20" s="1"/>
  <c r="J35" i="20"/>
  <c r="R49" i="20"/>
  <c r="N55" i="20"/>
  <c r="N56" i="20"/>
  <c r="R68" i="20"/>
  <c r="H70" i="20"/>
  <c r="H83" i="20" s="1"/>
  <c r="J70" i="20"/>
  <c r="J83" i="20" s="1"/>
  <c r="L70" i="20"/>
  <c r="P70" i="20"/>
  <c r="R80" i="20"/>
  <c r="J86" i="20"/>
  <c r="R96" i="20"/>
  <c r="P97" i="20"/>
  <c r="A102" i="20"/>
  <c r="A103" i="20" s="1"/>
  <c r="A113" i="20"/>
  <c r="A114" i="20"/>
  <c r="A115" i="20" s="1"/>
  <c r="A116" i="20" s="1"/>
  <c r="A117" i="20" s="1"/>
  <c r="A118" i="20" s="1"/>
  <c r="B132" i="20"/>
  <c r="B189" i="20"/>
  <c r="B268" i="20" s="1"/>
  <c r="R144" i="20"/>
  <c r="R147" i="20"/>
  <c r="R162" i="20"/>
  <c r="P176" i="20"/>
  <c r="P194" i="20"/>
  <c r="N246" i="20"/>
  <c r="O241" i="20" s="1"/>
  <c r="P246" i="20"/>
  <c r="P208" i="20"/>
  <c r="N258" i="20"/>
  <c r="O252" i="20" s="1"/>
  <c r="P258" i="20"/>
  <c r="P209" i="20" s="1"/>
  <c r="N234" i="20"/>
  <c r="P234" i="20"/>
  <c r="Q255" i="20"/>
  <c r="R103" i="19"/>
  <c r="R90" i="19"/>
  <c r="R89" i="19"/>
  <c r="R95" i="19" s="1"/>
  <c r="O175" i="19"/>
  <c r="P88" i="19"/>
  <c r="P95" i="19" s="1"/>
  <c r="L67" i="19"/>
  <c r="P202" i="19" s="1"/>
  <c r="N67" i="19"/>
  <c r="N70" i="19" s="1"/>
  <c r="L43" i="19"/>
  <c r="H43" i="19"/>
  <c r="D43" i="19"/>
  <c r="P113" i="19"/>
  <c r="R160" i="19" s="1"/>
  <c r="D31" i="19"/>
  <c r="D34" i="19" s="1"/>
  <c r="F31" i="19"/>
  <c r="F34" i="19" s="1"/>
  <c r="R34" i="19" s="1"/>
  <c r="R42" i="19" s="1"/>
  <c r="P195" i="19" s="1"/>
  <c r="P196" i="19" s="1"/>
  <c r="H34" i="19"/>
  <c r="J34" i="19"/>
  <c r="D42" i="19"/>
  <c r="H42" i="19"/>
  <c r="L42" i="19"/>
  <c r="H31" i="19"/>
  <c r="J31" i="19"/>
  <c r="D32" i="19"/>
  <c r="F32" i="19"/>
  <c r="H32" i="19"/>
  <c r="J32" i="19"/>
  <c r="R33" i="19"/>
  <c r="R136" i="19" s="1"/>
  <c r="D35" i="19"/>
  <c r="F35" i="19"/>
  <c r="H35" i="19"/>
  <c r="J35" i="19"/>
  <c r="R49" i="19"/>
  <c r="N55" i="19"/>
  <c r="N56" i="19"/>
  <c r="R68" i="19"/>
  <c r="H70" i="19"/>
  <c r="H83" i="19"/>
  <c r="J70" i="19"/>
  <c r="J83" i="19" s="1"/>
  <c r="L70" i="19"/>
  <c r="P70" i="19"/>
  <c r="R80" i="19"/>
  <c r="J86" i="19"/>
  <c r="P97" i="19"/>
  <c r="P99" i="19" s="1"/>
  <c r="R96" i="19"/>
  <c r="A102" i="19"/>
  <c r="A103" i="19" s="1"/>
  <c r="A113" i="19"/>
  <c r="A114" i="19" s="1"/>
  <c r="A115" i="19" s="1"/>
  <c r="A116" i="19" s="1"/>
  <c r="A117" i="19" s="1"/>
  <c r="A118" i="19" s="1"/>
  <c r="P121" i="19"/>
  <c r="P128" i="19" s="1"/>
  <c r="P129" i="19" s="1"/>
  <c r="B132" i="19"/>
  <c r="B188" i="19" s="1"/>
  <c r="B267" i="19" s="1"/>
  <c r="R144" i="19"/>
  <c r="R162" i="19"/>
  <c r="P175" i="19"/>
  <c r="R175" i="19" s="1"/>
  <c r="P193" i="19"/>
  <c r="N245" i="19"/>
  <c r="O207" i="19"/>
  <c r="P245" i="19"/>
  <c r="P207" i="19" s="1"/>
  <c r="N257" i="19"/>
  <c r="O208" i="19" s="1"/>
  <c r="P257" i="19"/>
  <c r="P208" i="19" s="1"/>
  <c r="N233" i="19"/>
  <c r="O227" i="19" s="1"/>
  <c r="P233" i="19"/>
  <c r="O236" i="19"/>
  <c r="O237" i="19"/>
  <c r="Q238" i="19"/>
  <c r="Q240" i="19"/>
  <c r="O242" i="19"/>
  <c r="O243" i="19"/>
  <c r="O249" i="19"/>
  <c r="O250" i="19"/>
  <c r="O253" i="19"/>
  <c r="O254" i="19"/>
  <c r="O255" i="19"/>
  <c r="N259" i="19"/>
  <c r="L67" i="18"/>
  <c r="R103" i="18"/>
  <c r="R90" i="18"/>
  <c r="R89" i="18"/>
  <c r="R95" i="18" s="1"/>
  <c r="O175" i="18"/>
  <c r="P88" i="18"/>
  <c r="N67" i="18"/>
  <c r="L43" i="18"/>
  <c r="H43" i="18"/>
  <c r="P233" i="18"/>
  <c r="P257" i="18"/>
  <c r="P259" i="18"/>
  <c r="P245" i="18"/>
  <c r="P113" i="18"/>
  <c r="R160" i="18" s="1"/>
  <c r="P210" i="4"/>
  <c r="P210" i="5"/>
  <c r="P210" i="6"/>
  <c r="P111" i="7"/>
  <c r="R158" i="7" s="1"/>
  <c r="P111" i="8"/>
  <c r="R158" i="8" s="1"/>
  <c r="P210" i="8" s="1"/>
  <c r="P112" i="9"/>
  <c r="R159" i="9" s="1"/>
  <c r="P211" i="9" s="1"/>
  <c r="P112" i="10"/>
  <c r="R159" i="10" s="1"/>
  <c r="P112" i="11"/>
  <c r="R159" i="11" s="1"/>
  <c r="P113" i="12"/>
  <c r="R160" i="12" s="1"/>
  <c r="P212" i="12" s="1"/>
  <c r="P113" i="13"/>
  <c r="R160" i="13" s="1"/>
  <c r="P113" i="14"/>
  <c r="R160" i="14" s="1"/>
  <c r="P113" i="15"/>
  <c r="R160" i="15" s="1"/>
  <c r="P113" i="16"/>
  <c r="R160" i="16" s="1"/>
  <c r="R161" i="16" s="1"/>
  <c r="P113" i="17"/>
  <c r="R160" i="17" s="1"/>
  <c r="P173" i="4"/>
  <c r="P173" i="5"/>
  <c r="P173" i="6"/>
  <c r="P173" i="7"/>
  <c r="P173" i="8"/>
  <c r="P174" i="9"/>
  <c r="P174" i="10"/>
  <c r="P174" i="11"/>
  <c r="P175" i="12"/>
  <c r="R175" i="12" s="1"/>
  <c r="P175" i="13"/>
  <c r="R175" i="13" s="1"/>
  <c r="P175" i="14"/>
  <c r="P175" i="15"/>
  <c r="P175" i="16"/>
  <c r="P175" i="17"/>
  <c r="O175" i="15"/>
  <c r="O175" i="16"/>
  <c r="O175" i="17"/>
  <c r="D31" i="18"/>
  <c r="D34" i="18" s="1"/>
  <c r="F31" i="18"/>
  <c r="H31" i="18"/>
  <c r="J31" i="18"/>
  <c r="D32" i="18"/>
  <c r="F32" i="18"/>
  <c r="H32" i="18"/>
  <c r="J32" i="18"/>
  <c r="R33" i="18"/>
  <c r="F34" i="18"/>
  <c r="H34" i="18"/>
  <c r="J34" i="18"/>
  <c r="D42" i="18"/>
  <c r="H42" i="18"/>
  <c r="L42" i="18"/>
  <c r="D35" i="18"/>
  <c r="F35" i="18"/>
  <c r="H35" i="18"/>
  <c r="R35" i="18" s="1"/>
  <c r="J35" i="18"/>
  <c r="D43" i="18"/>
  <c r="R49" i="18"/>
  <c r="N55" i="18"/>
  <c r="N56" i="18"/>
  <c r="R68" i="18"/>
  <c r="H70" i="18"/>
  <c r="H83" i="18" s="1"/>
  <c r="J70" i="18"/>
  <c r="J83" i="18" s="1"/>
  <c r="N70" i="18"/>
  <c r="P70" i="18"/>
  <c r="R80" i="18"/>
  <c r="J86" i="18"/>
  <c r="P95" i="18"/>
  <c r="P97" i="18"/>
  <c r="R96" i="18"/>
  <c r="R99" i="18"/>
  <c r="A102" i="18"/>
  <c r="A103" i="18" s="1"/>
  <c r="A113" i="18"/>
  <c r="A114" i="18" s="1"/>
  <c r="A115" i="18" s="1"/>
  <c r="A116" i="18" s="1"/>
  <c r="A117" i="18" s="1"/>
  <c r="A118" i="18" s="1"/>
  <c r="P121" i="18"/>
  <c r="P128" i="18" s="1"/>
  <c r="B132" i="18"/>
  <c r="B188" i="18"/>
  <c r="B267" i="18" s="1"/>
  <c r="R136" i="18"/>
  <c r="R144" i="18"/>
  <c r="R162" i="18"/>
  <c r="P175" i="18"/>
  <c r="R175" i="18" s="1"/>
  <c r="P193" i="18"/>
  <c r="N245" i="18"/>
  <c r="O237" i="18" s="1"/>
  <c r="P207" i="18"/>
  <c r="N257" i="18"/>
  <c r="O208" i="18" s="1"/>
  <c r="P208" i="18"/>
  <c r="N233" i="18"/>
  <c r="O224" i="18" s="1"/>
  <c r="Q224" i="18"/>
  <c r="Q225" i="18"/>
  <c r="Q226" i="18"/>
  <c r="Q227" i="18"/>
  <c r="Q228" i="18"/>
  <c r="Q229" i="18"/>
  <c r="Q230" i="18"/>
  <c r="Q231" i="18"/>
  <c r="Q236" i="18"/>
  <c r="Q237" i="18"/>
  <c r="Q238" i="18"/>
  <c r="Q239" i="18"/>
  <c r="Q240" i="18"/>
  <c r="Q241" i="18"/>
  <c r="Q242" i="18"/>
  <c r="Q243" i="18"/>
  <c r="Q248" i="18"/>
  <c r="Q249" i="18"/>
  <c r="Q250" i="18"/>
  <c r="Q251" i="18"/>
  <c r="Q252" i="18"/>
  <c r="Q253" i="18"/>
  <c r="Q254" i="18"/>
  <c r="Q255" i="18"/>
  <c r="L67" i="17"/>
  <c r="P202" i="17" s="1"/>
  <c r="R103" i="17"/>
  <c r="R90" i="17"/>
  <c r="R89" i="17"/>
  <c r="P88" i="17"/>
  <c r="N67" i="17"/>
  <c r="L43" i="17"/>
  <c r="H43" i="17"/>
  <c r="D43" i="17"/>
  <c r="P257" i="17"/>
  <c r="Q253" i="17" s="1"/>
  <c r="N257" i="17"/>
  <c r="O248" i="17" s="1"/>
  <c r="O255" i="17"/>
  <c r="P171" i="1"/>
  <c r="P172" i="1" s="1"/>
  <c r="P171" i="2"/>
  <c r="P171" i="3"/>
  <c r="O171" i="1"/>
  <c r="O172" i="1" s="1"/>
  <c r="O170" i="2" s="1"/>
  <c r="O172" i="2" s="1"/>
  <c r="O170" i="3" s="1"/>
  <c r="O172" i="3" s="1"/>
  <c r="O172" i="4" s="1"/>
  <c r="P208" i="1"/>
  <c r="P209" i="1" s="1"/>
  <c r="P208" i="2"/>
  <c r="P208" i="3"/>
  <c r="D31" i="17"/>
  <c r="D34" i="17" s="1"/>
  <c r="F31" i="17"/>
  <c r="F34" i="17"/>
  <c r="H34" i="17"/>
  <c r="J34" i="17"/>
  <c r="D42" i="17"/>
  <c r="H42" i="17"/>
  <c r="L42" i="17"/>
  <c r="H31" i="17"/>
  <c r="J31" i="17"/>
  <c r="D32" i="17"/>
  <c r="F32" i="17"/>
  <c r="H32" i="17"/>
  <c r="J32" i="17"/>
  <c r="R33" i="17"/>
  <c r="D35" i="17"/>
  <c r="F35" i="17"/>
  <c r="H35" i="17"/>
  <c r="J35" i="17"/>
  <c r="R49" i="17"/>
  <c r="N55" i="17"/>
  <c r="N56" i="17"/>
  <c r="R68" i="17"/>
  <c r="H70" i="17"/>
  <c r="H83" i="17" s="1"/>
  <c r="J70" i="17"/>
  <c r="J83" i="17" s="1"/>
  <c r="L70" i="17"/>
  <c r="P70" i="17"/>
  <c r="R80" i="17"/>
  <c r="J86" i="17"/>
  <c r="P95" i="17"/>
  <c r="R95" i="17"/>
  <c r="R99" i="17" s="1"/>
  <c r="R96" i="17"/>
  <c r="P97" i="17"/>
  <c r="A102" i="17"/>
  <c r="A103" i="17" s="1"/>
  <c r="A113" i="17"/>
  <c r="A114" i="17" s="1"/>
  <c r="A115" i="17" s="1"/>
  <c r="A116" i="17" s="1"/>
  <c r="A117" i="17" s="1"/>
  <c r="A118" i="17" s="1"/>
  <c r="P121" i="17"/>
  <c r="P128" i="17" s="1"/>
  <c r="B132" i="17"/>
  <c r="B188" i="17" s="1"/>
  <c r="B267" i="17" s="1"/>
  <c r="R136" i="17"/>
  <c r="R144" i="17"/>
  <c r="R162" i="17"/>
  <c r="R175" i="17"/>
  <c r="P193" i="17"/>
  <c r="N245" i="17"/>
  <c r="O207" i="17" s="1"/>
  <c r="P245" i="17"/>
  <c r="Q240" i="17" s="1"/>
  <c r="N233" i="17"/>
  <c r="O226" i="17" s="1"/>
  <c r="O227" i="17"/>
  <c r="O230" i="17"/>
  <c r="P233" i="17"/>
  <c r="Q224" i="17" s="1"/>
  <c r="L67" i="16"/>
  <c r="P202" i="16" s="1"/>
  <c r="P88" i="16"/>
  <c r="P95" i="16" s="1"/>
  <c r="R92" i="16"/>
  <c r="R111" i="16"/>
  <c r="R109" i="16"/>
  <c r="R103" i="16"/>
  <c r="R90" i="16"/>
  <c r="R89" i="16"/>
  <c r="N67" i="16"/>
  <c r="R67" i="16" s="1"/>
  <c r="R68" i="16"/>
  <c r="L43" i="16"/>
  <c r="H43" i="16"/>
  <c r="D31" i="16"/>
  <c r="D34" i="16" s="1"/>
  <c r="F31" i="16"/>
  <c r="F34" i="16" s="1"/>
  <c r="H34" i="16"/>
  <c r="J34" i="16"/>
  <c r="D42" i="16"/>
  <c r="H42" i="16"/>
  <c r="L42" i="16"/>
  <c r="H31" i="16"/>
  <c r="J31" i="16"/>
  <c r="D32" i="16"/>
  <c r="F32" i="16"/>
  <c r="H32" i="16"/>
  <c r="J32" i="16"/>
  <c r="R33" i="16"/>
  <c r="D35" i="16"/>
  <c r="F35" i="16"/>
  <c r="H35" i="16"/>
  <c r="J35" i="16"/>
  <c r="R50" i="16" s="1"/>
  <c r="D43" i="16"/>
  <c r="R49" i="16"/>
  <c r="N55" i="16"/>
  <c r="N56" i="16"/>
  <c r="H70" i="16"/>
  <c r="H83" i="16"/>
  <c r="J70" i="16"/>
  <c r="J83" i="16" s="1"/>
  <c r="L70" i="16"/>
  <c r="P70" i="16"/>
  <c r="R80" i="16"/>
  <c r="J86" i="16"/>
  <c r="R95" i="16"/>
  <c r="R99" i="16" s="1"/>
  <c r="R96" i="16"/>
  <c r="P97" i="16"/>
  <c r="A102" i="16"/>
  <c r="A103" i="16" s="1"/>
  <c r="A113" i="16"/>
  <c r="A114" i="16" s="1"/>
  <c r="A115" i="16" s="1"/>
  <c r="A116" i="16" s="1"/>
  <c r="A117" i="16" s="1"/>
  <c r="A118" i="16" s="1"/>
  <c r="B132" i="16"/>
  <c r="B188" i="16" s="1"/>
  <c r="B267" i="16" s="1"/>
  <c r="R144" i="16"/>
  <c r="R147" i="16"/>
  <c r="R149" i="16" s="1"/>
  <c r="R162" i="16"/>
  <c r="P193" i="16"/>
  <c r="N245" i="16"/>
  <c r="O207" i="16" s="1"/>
  <c r="P245" i="16"/>
  <c r="P207" i="16"/>
  <c r="P257" i="16"/>
  <c r="P208" i="16" s="1"/>
  <c r="N233" i="16"/>
  <c r="O226" i="16" s="1"/>
  <c r="P233" i="16"/>
  <c r="Q224" i="16" s="1"/>
  <c r="O236" i="16"/>
  <c r="O237" i="16"/>
  <c r="Q237" i="16"/>
  <c r="O238" i="16"/>
  <c r="Q238" i="16"/>
  <c r="O239" i="16"/>
  <c r="Q239" i="16"/>
  <c r="O240" i="16"/>
  <c r="Q240" i="16"/>
  <c r="O241" i="16"/>
  <c r="Q241" i="16"/>
  <c r="O242" i="16"/>
  <c r="Q242" i="16"/>
  <c r="O243" i="16"/>
  <c r="Q243" i="16"/>
  <c r="O248" i="16"/>
  <c r="Q248" i="16"/>
  <c r="Q249" i="16"/>
  <c r="Q250" i="16"/>
  <c r="Q251" i="16"/>
  <c r="Q252" i="16"/>
  <c r="Q253" i="16"/>
  <c r="Q254" i="16"/>
  <c r="Q255" i="16"/>
  <c r="Q257" i="16"/>
  <c r="O249" i="16"/>
  <c r="O250" i="16"/>
  <c r="O251" i="16"/>
  <c r="O252" i="16"/>
  <c r="O253" i="16"/>
  <c r="N257" i="16"/>
  <c r="O254" i="16" s="1"/>
  <c r="N259" i="16"/>
  <c r="P257" i="15"/>
  <c r="P208" i="15" s="1"/>
  <c r="R111" i="15"/>
  <c r="R109" i="15"/>
  <c r="R103" i="15"/>
  <c r="R90" i="15"/>
  <c r="N67" i="15"/>
  <c r="L67" i="15"/>
  <c r="P202" i="15" s="1"/>
  <c r="L43" i="15"/>
  <c r="H43" i="15"/>
  <c r="D31" i="15"/>
  <c r="D34" i="15"/>
  <c r="F31" i="15"/>
  <c r="F34" i="15" s="1"/>
  <c r="H34" i="15"/>
  <c r="J34" i="15"/>
  <c r="D42" i="15"/>
  <c r="H42" i="15"/>
  <c r="L42" i="15"/>
  <c r="H31" i="15"/>
  <c r="J31" i="15"/>
  <c r="D32" i="15"/>
  <c r="F32" i="15"/>
  <c r="H32" i="15"/>
  <c r="J32" i="15"/>
  <c r="R33" i="15"/>
  <c r="R51" i="15" s="1"/>
  <c r="D35" i="15"/>
  <c r="F35" i="15"/>
  <c r="H35" i="15"/>
  <c r="J35" i="15"/>
  <c r="D43" i="15"/>
  <c r="R49" i="15"/>
  <c r="N55" i="15"/>
  <c r="N56" i="15"/>
  <c r="R68" i="15"/>
  <c r="H70" i="15"/>
  <c r="H83" i="15" s="1"/>
  <c r="J70" i="15"/>
  <c r="J83" i="15" s="1"/>
  <c r="N70" i="15"/>
  <c r="P70" i="15"/>
  <c r="R80" i="15"/>
  <c r="J86" i="15"/>
  <c r="P95" i="15"/>
  <c r="P97" i="15"/>
  <c r="P99" i="15" s="1"/>
  <c r="R95" i="15"/>
  <c r="R96" i="15"/>
  <c r="A102" i="15"/>
  <c r="A103" i="15" s="1"/>
  <c r="A113" i="15"/>
  <c r="A114" i="15" s="1"/>
  <c r="A115" i="15" s="1"/>
  <c r="A116" i="15" s="1"/>
  <c r="A117" i="15" s="1"/>
  <c r="A118" i="15" s="1"/>
  <c r="P121" i="15"/>
  <c r="P128" i="15" s="1"/>
  <c r="B132" i="15"/>
  <c r="B188" i="15" s="1"/>
  <c r="B267" i="15" s="1"/>
  <c r="R136" i="15"/>
  <c r="R144" i="15"/>
  <c r="R147" i="15"/>
  <c r="R149" i="15" s="1"/>
  <c r="R162" i="15"/>
  <c r="P193" i="15"/>
  <c r="N245" i="15"/>
  <c r="O207" i="15" s="1"/>
  <c r="P245" i="15"/>
  <c r="N257" i="15"/>
  <c r="O254" i="15" s="1"/>
  <c r="N233" i="15"/>
  <c r="O226" i="15" s="1"/>
  <c r="P233" i="15"/>
  <c r="Q236" i="15"/>
  <c r="Q239" i="15"/>
  <c r="Q240" i="15"/>
  <c r="Q241" i="15"/>
  <c r="Q242" i="15"/>
  <c r="Q243" i="15"/>
  <c r="Q251" i="15"/>
  <c r="Q253" i="15"/>
  <c r="Q254" i="15"/>
  <c r="Q255" i="15"/>
  <c r="L67" i="14"/>
  <c r="P202" i="14" s="1"/>
  <c r="D35" i="14"/>
  <c r="F35" i="14"/>
  <c r="H35" i="14"/>
  <c r="J35" i="14"/>
  <c r="R90" i="14"/>
  <c r="R95" i="14" s="1"/>
  <c r="R96" i="14"/>
  <c r="R103" i="14"/>
  <c r="N67" i="14"/>
  <c r="R67" i="14"/>
  <c r="R68" i="14"/>
  <c r="L43" i="14"/>
  <c r="H43" i="14"/>
  <c r="P257" i="14"/>
  <c r="Q255" i="14" s="1"/>
  <c r="N245" i="14"/>
  <c r="Q250" i="14" s="1"/>
  <c r="N257" i="14"/>
  <c r="O250" i="14"/>
  <c r="D31" i="14"/>
  <c r="D34" i="14" s="1"/>
  <c r="F31" i="14"/>
  <c r="F34" i="14" s="1"/>
  <c r="H34" i="14"/>
  <c r="J34" i="14"/>
  <c r="D42" i="14"/>
  <c r="H42" i="14"/>
  <c r="L42" i="14"/>
  <c r="H31" i="14"/>
  <c r="J31" i="14"/>
  <c r="D32" i="14"/>
  <c r="F32" i="14"/>
  <c r="H32" i="14"/>
  <c r="J32" i="14"/>
  <c r="R33" i="14"/>
  <c r="R51" i="14" s="1"/>
  <c r="D43" i="14"/>
  <c r="R49" i="14"/>
  <c r="N55" i="14"/>
  <c r="N56" i="14"/>
  <c r="H70" i="14"/>
  <c r="H83" i="14" s="1"/>
  <c r="J70" i="14"/>
  <c r="J83" i="14" s="1"/>
  <c r="N70" i="14"/>
  <c r="P70" i="14"/>
  <c r="R80" i="14"/>
  <c r="J86" i="14"/>
  <c r="P95" i="14"/>
  <c r="P97" i="14"/>
  <c r="A102" i="14"/>
  <c r="A103" i="14" s="1"/>
  <c r="A113" i="14"/>
  <c r="A114" i="14" s="1"/>
  <c r="A115" i="14" s="1"/>
  <c r="A116" i="14" s="1"/>
  <c r="A117" i="14" s="1"/>
  <c r="A118" i="14" s="1"/>
  <c r="P121" i="14"/>
  <c r="P128" i="14" s="1"/>
  <c r="B132" i="14"/>
  <c r="B188" i="14" s="1"/>
  <c r="B267" i="14" s="1"/>
  <c r="R144" i="14"/>
  <c r="R162" i="14"/>
  <c r="R175" i="14"/>
  <c r="P193" i="14"/>
  <c r="O207" i="14"/>
  <c r="P245" i="14"/>
  <c r="P207" i="14" s="1"/>
  <c r="P208" i="14"/>
  <c r="N233" i="14"/>
  <c r="P233" i="14"/>
  <c r="Q224" i="14" s="1"/>
  <c r="O226" i="14"/>
  <c r="Q229" i="14"/>
  <c r="O236" i="14"/>
  <c r="O237" i="14"/>
  <c r="O238" i="14"/>
  <c r="O239" i="14"/>
  <c r="O240" i="14"/>
  <c r="O241" i="14"/>
  <c r="O242" i="14"/>
  <c r="O243" i="14"/>
  <c r="L67" i="13"/>
  <c r="P202" i="13"/>
  <c r="L67" i="12"/>
  <c r="P202" i="12" s="1"/>
  <c r="L67" i="11"/>
  <c r="P201" i="11"/>
  <c r="L67" i="10"/>
  <c r="P201" i="10" s="1"/>
  <c r="L67" i="9"/>
  <c r="P201" i="9"/>
  <c r="R90" i="13"/>
  <c r="R95" i="13" s="1"/>
  <c r="R99" i="13" s="1"/>
  <c r="R96" i="13"/>
  <c r="R103" i="13"/>
  <c r="N67" i="13"/>
  <c r="N70" i="13" s="1"/>
  <c r="L43" i="13"/>
  <c r="H43" i="13"/>
  <c r="D31" i="13"/>
  <c r="D34" i="13" s="1"/>
  <c r="F31" i="13"/>
  <c r="H31" i="13"/>
  <c r="J31" i="13"/>
  <c r="D32" i="13"/>
  <c r="F32" i="13"/>
  <c r="H32" i="13"/>
  <c r="J32" i="13"/>
  <c r="R33" i="13"/>
  <c r="F34" i="13"/>
  <c r="H34" i="13"/>
  <c r="J34" i="13"/>
  <c r="D35" i="13"/>
  <c r="F35" i="13"/>
  <c r="H35" i="13"/>
  <c r="J35" i="13"/>
  <c r="D42" i="13"/>
  <c r="H42" i="13"/>
  <c r="L42" i="13"/>
  <c r="D43" i="13"/>
  <c r="R49" i="13"/>
  <c r="N55" i="13"/>
  <c r="N56" i="13"/>
  <c r="R68" i="13"/>
  <c r="H70" i="13"/>
  <c r="J70" i="13"/>
  <c r="J83" i="13" s="1"/>
  <c r="P70" i="13"/>
  <c r="R80" i="13"/>
  <c r="H83" i="13"/>
  <c r="J86" i="13"/>
  <c r="P95" i="13"/>
  <c r="P97" i="13"/>
  <c r="P99" i="13" s="1"/>
  <c r="P121" i="13"/>
  <c r="P128" i="13" s="1"/>
  <c r="A102" i="13"/>
  <c r="A103" i="13"/>
  <c r="A113" i="13"/>
  <c r="A114" i="13" s="1"/>
  <c r="A115" i="13" s="1"/>
  <c r="A116" i="13" s="1"/>
  <c r="A117" i="13" s="1"/>
  <c r="A118" i="13" s="1"/>
  <c r="B132" i="13"/>
  <c r="B188" i="13"/>
  <c r="B267" i="13" s="1"/>
  <c r="R144" i="13"/>
  <c r="R162" i="13"/>
  <c r="P193" i="13"/>
  <c r="N245" i="13"/>
  <c r="O237" i="13" s="1"/>
  <c r="P245" i="13"/>
  <c r="P207" i="13" s="1"/>
  <c r="N257" i="13"/>
  <c r="O208" i="13" s="1"/>
  <c r="P257" i="13"/>
  <c r="P208" i="13" s="1"/>
  <c r="N233" i="13"/>
  <c r="O225" i="13" s="1"/>
  <c r="O227" i="13"/>
  <c r="O229" i="13"/>
  <c r="P233" i="13"/>
  <c r="Q224" i="13" s="1"/>
  <c r="Q228" i="13"/>
  <c r="O236" i="13"/>
  <c r="O238" i="13"/>
  <c r="O239" i="13"/>
  <c r="O240" i="13"/>
  <c r="O242" i="13"/>
  <c r="O243" i="13"/>
  <c r="O257" i="13"/>
  <c r="Q257" i="13"/>
  <c r="N259" i="13"/>
  <c r="R103" i="12"/>
  <c r="R90" i="12"/>
  <c r="R89" i="12"/>
  <c r="R95" i="12"/>
  <c r="R99" i="12" s="1"/>
  <c r="R96" i="12"/>
  <c r="P88" i="12"/>
  <c r="N67" i="12"/>
  <c r="R67" i="12" s="1"/>
  <c r="L43" i="12"/>
  <c r="H43" i="12"/>
  <c r="D43" i="12"/>
  <c r="D31" i="12"/>
  <c r="D34" i="12" s="1"/>
  <c r="F31" i="12"/>
  <c r="F34" i="12" s="1"/>
  <c r="H34" i="12"/>
  <c r="J34" i="12"/>
  <c r="D42" i="12"/>
  <c r="H42" i="12"/>
  <c r="L42" i="12"/>
  <c r="H31" i="12"/>
  <c r="J31" i="12"/>
  <c r="D32" i="12"/>
  <c r="F32" i="12"/>
  <c r="H32" i="12"/>
  <c r="J32" i="12"/>
  <c r="R33" i="12"/>
  <c r="D35" i="12"/>
  <c r="F35" i="12"/>
  <c r="H35" i="12"/>
  <c r="J35" i="12"/>
  <c r="R49" i="12"/>
  <c r="N55" i="12"/>
  <c r="N56" i="12"/>
  <c r="R68" i="12"/>
  <c r="H70" i="12"/>
  <c r="H83" i="12" s="1"/>
  <c r="J70" i="12"/>
  <c r="J83" i="12"/>
  <c r="L70" i="12"/>
  <c r="N70" i="12"/>
  <c r="P70" i="12"/>
  <c r="R80" i="12"/>
  <c r="J86" i="12"/>
  <c r="P95" i="12"/>
  <c r="P99" i="12" s="1"/>
  <c r="P97" i="12"/>
  <c r="A102" i="12"/>
  <c r="A103" i="12" s="1"/>
  <c r="A113" i="12"/>
  <c r="A114" i="12" s="1"/>
  <c r="A115" i="12" s="1"/>
  <c r="A116" i="12" s="1"/>
  <c r="A117" i="12" s="1"/>
  <c r="A118" i="12" s="1"/>
  <c r="P121" i="12"/>
  <c r="P128" i="12" s="1"/>
  <c r="B132" i="12"/>
  <c r="B188" i="12" s="1"/>
  <c r="B267" i="12" s="1"/>
  <c r="R136" i="12"/>
  <c r="R144" i="12"/>
  <c r="R161" i="12"/>
  <c r="R162" i="12"/>
  <c r="P193" i="12"/>
  <c r="N245" i="12"/>
  <c r="O207" i="12" s="1"/>
  <c r="P245" i="12"/>
  <c r="N257" i="12"/>
  <c r="O208" i="12" s="1"/>
  <c r="P257" i="12"/>
  <c r="P208" i="12"/>
  <c r="N233" i="12"/>
  <c r="O230" i="12"/>
  <c r="P233" i="12"/>
  <c r="Q231" i="12" s="1"/>
  <c r="O236" i="12"/>
  <c r="O237" i="12"/>
  <c r="O238" i="12"/>
  <c r="O239" i="12"/>
  <c r="O240" i="12"/>
  <c r="O241" i="12"/>
  <c r="O242" i="12"/>
  <c r="O243" i="12"/>
  <c r="Q243" i="12"/>
  <c r="O257" i="12"/>
  <c r="Q257" i="12"/>
  <c r="R102" i="11"/>
  <c r="R90" i="11"/>
  <c r="R89" i="11"/>
  <c r="P88" i="11"/>
  <c r="N67" i="11"/>
  <c r="L43" i="11"/>
  <c r="H43" i="11"/>
  <c r="D43" i="11"/>
  <c r="J34" i="11"/>
  <c r="H34" i="11"/>
  <c r="H35" i="11"/>
  <c r="J31" i="11"/>
  <c r="H31" i="11"/>
  <c r="H32" i="11"/>
  <c r="P256" i="11"/>
  <c r="P207" i="11" s="1"/>
  <c r="N256" i="11"/>
  <c r="D31" i="11"/>
  <c r="D34" i="11" s="1"/>
  <c r="R34" i="11" s="1"/>
  <c r="R42" i="11" s="1"/>
  <c r="P194" i="11" s="1"/>
  <c r="P195" i="11" s="1"/>
  <c r="F31" i="11"/>
  <c r="F34" i="11"/>
  <c r="D32" i="11"/>
  <c r="F32" i="11"/>
  <c r="J32" i="11"/>
  <c r="R33" i="11"/>
  <c r="R51" i="11" s="1"/>
  <c r="D42" i="11"/>
  <c r="H42" i="11"/>
  <c r="L42" i="11"/>
  <c r="D35" i="11"/>
  <c r="F35" i="11"/>
  <c r="J35" i="11"/>
  <c r="R49" i="11"/>
  <c r="N55" i="11"/>
  <c r="N56" i="11"/>
  <c r="R68" i="11"/>
  <c r="H70" i="11"/>
  <c r="H83" i="11" s="1"/>
  <c r="J70" i="11"/>
  <c r="J83" i="11" s="1"/>
  <c r="L70" i="11"/>
  <c r="P70" i="11"/>
  <c r="R80" i="11"/>
  <c r="J86" i="11"/>
  <c r="P95" i="11"/>
  <c r="P97" i="11"/>
  <c r="P120" i="11"/>
  <c r="P127" i="11" s="1"/>
  <c r="R96" i="11"/>
  <c r="A101" i="11"/>
  <c r="A102" i="11" s="1"/>
  <c r="A112" i="11"/>
  <c r="A113" i="11" s="1"/>
  <c r="A114" i="11" s="1"/>
  <c r="A115" i="11" s="1"/>
  <c r="A116" i="11" s="1"/>
  <c r="A117" i="11" s="1"/>
  <c r="B131" i="11"/>
  <c r="B187" i="11" s="1"/>
  <c r="B266" i="11" s="1"/>
  <c r="R135" i="11"/>
  <c r="R143" i="11"/>
  <c r="R146" i="11"/>
  <c r="R148" i="11"/>
  <c r="R161" i="11"/>
  <c r="R174" i="11"/>
  <c r="P192" i="11"/>
  <c r="N244" i="11"/>
  <c r="P244" i="11"/>
  <c r="Q240" i="11" s="1"/>
  <c r="N232" i="11"/>
  <c r="O223" i="11" s="1"/>
  <c r="P232" i="11"/>
  <c r="Q227" i="11" s="1"/>
  <c r="Q223" i="11"/>
  <c r="Q230" i="11"/>
  <c r="O237" i="11"/>
  <c r="Q238" i="11"/>
  <c r="O240" i="11"/>
  <c r="Q241" i="11"/>
  <c r="Q242" i="11"/>
  <c r="O256" i="11"/>
  <c r="Q256" i="11"/>
  <c r="N232" i="10"/>
  <c r="N244" i="10"/>
  <c r="N258" i="10" s="1"/>
  <c r="N256" i="10"/>
  <c r="P256" i="10"/>
  <c r="Q254" i="10" s="1"/>
  <c r="Q253" i="10"/>
  <c r="O252" i="10"/>
  <c r="O249" i="10"/>
  <c r="O247" i="10"/>
  <c r="R89" i="10"/>
  <c r="R102" i="10"/>
  <c r="R90" i="10"/>
  <c r="R95" i="10"/>
  <c r="P88" i="10"/>
  <c r="P95" i="10" s="1"/>
  <c r="P97" i="10"/>
  <c r="P98" i="10" s="1"/>
  <c r="P120" i="10"/>
  <c r="P127" i="10" s="1"/>
  <c r="N67" i="10"/>
  <c r="L42" i="10"/>
  <c r="L43" i="10"/>
  <c r="H43" i="10"/>
  <c r="D43" i="10"/>
  <c r="J35" i="10"/>
  <c r="H35" i="10"/>
  <c r="J32" i="10"/>
  <c r="H32" i="10"/>
  <c r="D31" i="10"/>
  <c r="D34" i="10" s="1"/>
  <c r="F31" i="10"/>
  <c r="F34" i="10" s="1"/>
  <c r="D42" i="10"/>
  <c r="H42" i="10"/>
  <c r="D32" i="10"/>
  <c r="F32" i="10"/>
  <c r="R33" i="10"/>
  <c r="R51" i="10" s="1"/>
  <c r="D35" i="10"/>
  <c r="F35" i="10"/>
  <c r="R49" i="10"/>
  <c r="N55" i="10"/>
  <c r="N56" i="10"/>
  <c r="R68" i="10"/>
  <c r="H70" i="10"/>
  <c r="H83" i="10" s="1"/>
  <c r="J70" i="10"/>
  <c r="J83" i="10" s="1"/>
  <c r="L70" i="10"/>
  <c r="P70" i="10"/>
  <c r="R80" i="10"/>
  <c r="J86" i="10"/>
  <c r="R96" i="10"/>
  <c r="A101" i="10"/>
  <c r="A102" i="10" s="1"/>
  <c r="A112" i="10"/>
  <c r="A113" i="10" s="1"/>
  <c r="A114" i="10" s="1"/>
  <c r="A115" i="10" s="1"/>
  <c r="A116" i="10" s="1"/>
  <c r="A117" i="10" s="1"/>
  <c r="B131" i="10"/>
  <c r="B187" i="10" s="1"/>
  <c r="B266" i="10" s="1"/>
  <c r="R143" i="10"/>
  <c r="R146" i="10"/>
  <c r="R148" i="10" s="1"/>
  <c r="R161" i="10"/>
  <c r="R174" i="10"/>
  <c r="P192" i="10"/>
  <c r="O206" i="10"/>
  <c r="P244" i="10"/>
  <c r="Q236" i="10" s="1"/>
  <c r="O207" i="10"/>
  <c r="P207" i="10"/>
  <c r="O223" i="10"/>
  <c r="O224" i="10"/>
  <c r="O225" i="10"/>
  <c r="O226" i="10"/>
  <c r="O227" i="10"/>
  <c r="O228" i="10"/>
  <c r="O229" i="10"/>
  <c r="O230" i="10"/>
  <c r="P232" i="10"/>
  <c r="O235" i="10"/>
  <c r="O237" i="10"/>
  <c r="O239" i="10"/>
  <c r="O241" i="10"/>
  <c r="R89" i="9"/>
  <c r="R102" i="9"/>
  <c r="R90" i="9"/>
  <c r="P88" i="9"/>
  <c r="P95" i="9" s="1"/>
  <c r="N67" i="9"/>
  <c r="R67" i="9" s="1"/>
  <c r="R70" i="9" s="1"/>
  <c r="R68" i="9"/>
  <c r="L43" i="9"/>
  <c r="H43" i="9"/>
  <c r="D43" i="9"/>
  <c r="D31" i="9"/>
  <c r="D34" i="9" s="1"/>
  <c r="F31" i="9"/>
  <c r="F34" i="9" s="1"/>
  <c r="D42" i="9"/>
  <c r="H42" i="9"/>
  <c r="L42" i="9"/>
  <c r="D32" i="9"/>
  <c r="F32" i="9"/>
  <c r="R33" i="9"/>
  <c r="D35" i="9"/>
  <c r="F35" i="9"/>
  <c r="R49" i="9"/>
  <c r="N55" i="9"/>
  <c r="N56" i="9"/>
  <c r="H70" i="9"/>
  <c r="H83" i="9" s="1"/>
  <c r="J70" i="9"/>
  <c r="J83" i="9" s="1"/>
  <c r="L70" i="9"/>
  <c r="P70" i="9"/>
  <c r="R80" i="9"/>
  <c r="J86" i="9"/>
  <c r="P97" i="9"/>
  <c r="P120" i="9"/>
  <c r="P127" i="9" s="1"/>
  <c r="R96" i="9"/>
  <c r="A101" i="9"/>
  <c r="A102" i="9" s="1"/>
  <c r="A112" i="9"/>
  <c r="A113" i="9" s="1"/>
  <c r="A114" i="9" s="1"/>
  <c r="A115" i="9" s="1"/>
  <c r="A116" i="9" s="1"/>
  <c r="A117" i="9" s="1"/>
  <c r="B131" i="9"/>
  <c r="B187" i="9" s="1"/>
  <c r="B267" i="9" s="1"/>
  <c r="R143" i="9"/>
  <c r="R146" i="9"/>
  <c r="R148" i="9" s="1"/>
  <c r="R160" i="9"/>
  <c r="R161" i="9"/>
  <c r="R174" i="9"/>
  <c r="P192" i="9"/>
  <c r="N245" i="9"/>
  <c r="O206" i="9" s="1"/>
  <c r="P245" i="9"/>
  <c r="P206" i="9" s="1"/>
  <c r="N257" i="9"/>
  <c r="O207" i="9" s="1"/>
  <c r="P257" i="9"/>
  <c r="P207" i="9" s="1"/>
  <c r="N233" i="9"/>
  <c r="O228" i="9" s="1"/>
  <c r="O230" i="9"/>
  <c r="P233" i="9"/>
  <c r="Q226" i="9" s="1"/>
  <c r="O236" i="9"/>
  <c r="O237" i="9"/>
  <c r="O240" i="9"/>
  <c r="O241" i="9"/>
  <c r="O248" i="9"/>
  <c r="O249" i="9"/>
  <c r="O250" i="9"/>
  <c r="O252" i="9"/>
  <c r="O253" i="9"/>
  <c r="O254" i="9"/>
  <c r="O255" i="9"/>
  <c r="R89" i="8"/>
  <c r="R90" i="8"/>
  <c r="R94" i="8" s="1"/>
  <c r="R97" i="8" s="1"/>
  <c r="R95" i="8"/>
  <c r="J70" i="8"/>
  <c r="J83" i="8" s="1"/>
  <c r="R142" i="8"/>
  <c r="R89" i="1"/>
  <c r="R92" i="1" s="1"/>
  <c r="R95" i="1" s="1"/>
  <c r="R93" i="1"/>
  <c r="R97" i="1"/>
  <c r="J70" i="1"/>
  <c r="R89" i="2"/>
  <c r="R92" i="2"/>
  <c r="R95" i="2" s="1"/>
  <c r="R93" i="2"/>
  <c r="J70" i="2"/>
  <c r="J83" i="2" s="1"/>
  <c r="R89" i="3"/>
  <c r="R92" i="3" s="1"/>
  <c r="R93" i="3"/>
  <c r="J70" i="3"/>
  <c r="R89" i="4"/>
  <c r="R90" i="4"/>
  <c r="R91" i="4"/>
  <c r="R95" i="4"/>
  <c r="J70" i="4"/>
  <c r="J83" i="4" s="1"/>
  <c r="R89" i="5"/>
  <c r="R90" i="5"/>
  <c r="R95" i="5"/>
  <c r="J70" i="5"/>
  <c r="R89" i="6"/>
  <c r="R90" i="6"/>
  <c r="R95" i="6"/>
  <c r="J70" i="6"/>
  <c r="R89" i="7"/>
  <c r="R90" i="7"/>
  <c r="R95" i="7"/>
  <c r="J70" i="7"/>
  <c r="R101" i="8"/>
  <c r="P88" i="8"/>
  <c r="N67" i="8"/>
  <c r="L67" i="8"/>
  <c r="L70" i="8" s="1"/>
  <c r="L43" i="8"/>
  <c r="H43" i="8"/>
  <c r="D43" i="8"/>
  <c r="D31" i="8"/>
  <c r="D34" i="8" s="1"/>
  <c r="F31" i="8"/>
  <c r="F34" i="8" s="1"/>
  <c r="D42" i="8"/>
  <c r="H42" i="8"/>
  <c r="L42" i="8"/>
  <c r="D32" i="8"/>
  <c r="F32" i="8"/>
  <c r="R33" i="8"/>
  <c r="R51" i="8" s="1"/>
  <c r="D35" i="8"/>
  <c r="F35" i="8"/>
  <c r="R49" i="8"/>
  <c r="N55" i="8"/>
  <c r="N56" i="8"/>
  <c r="R68" i="8"/>
  <c r="H70" i="8"/>
  <c r="H83" i="8" s="1"/>
  <c r="N70" i="8"/>
  <c r="P70" i="8"/>
  <c r="R80" i="8"/>
  <c r="J86" i="8"/>
  <c r="P94" i="8"/>
  <c r="P96" i="8"/>
  <c r="A100" i="8"/>
  <c r="A101" i="8"/>
  <c r="A111" i="8"/>
  <c r="A112" i="8" s="1"/>
  <c r="A113" i="8" s="1"/>
  <c r="A114" i="8" s="1"/>
  <c r="A115" i="8" s="1"/>
  <c r="A116" i="8" s="1"/>
  <c r="P119" i="8"/>
  <c r="P126" i="8"/>
  <c r="B130" i="8"/>
  <c r="B186" i="8" s="1"/>
  <c r="B266" i="8" s="1"/>
  <c r="R145" i="8"/>
  <c r="R147" i="8"/>
  <c r="R159" i="8"/>
  <c r="R161" i="8"/>
  <c r="R160" i="8"/>
  <c r="R173" i="8"/>
  <c r="P191" i="8"/>
  <c r="P200" i="8"/>
  <c r="N244" i="8"/>
  <c r="P244" i="8"/>
  <c r="P205" i="8" s="1"/>
  <c r="N256" i="8"/>
  <c r="P256" i="8"/>
  <c r="N232" i="8"/>
  <c r="O226" i="8" s="1"/>
  <c r="P232" i="8"/>
  <c r="Q230" i="8" s="1"/>
  <c r="Q226" i="8"/>
  <c r="Q236" i="8"/>
  <c r="Q237" i="8"/>
  <c r="Q240" i="8"/>
  <c r="Q241" i="8"/>
  <c r="O248" i="8"/>
  <c r="O252" i="8"/>
  <c r="O254" i="8"/>
  <c r="P256" i="7"/>
  <c r="P206" i="7" s="1"/>
  <c r="N256" i="7"/>
  <c r="N256" i="6"/>
  <c r="O206" i="6" s="1"/>
  <c r="Q254" i="7"/>
  <c r="Q253" i="7"/>
  <c r="Q252" i="7"/>
  <c r="Q251" i="7"/>
  <c r="Q250" i="7"/>
  <c r="Q249" i="7"/>
  <c r="Q248" i="7"/>
  <c r="Q247" i="7"/>
  <c r="Q256" i="7" s="1"/>
  <c r="O254" i="7"/>
  <c r="O250" i="7"/>
  <c r="R160" i="7"/>
  <c r="P244" i="7"/>
  <c r="Q238" i="7" s="1"/>
  <c r="P232" i="7"/>
  <c r="Q225" i="7" s="1"/>
  <c r="R101" i="7"/>
  <c r="P119" i="7"/>
  <c r="P126" i="7" s="1"/>
  <c r="P94" i="7"/>
  <c r="P96" i="7"/>
  <c r="L67" i="7"/>
  <c r="R67" i="7"/>
  <c r="N67" i="7"/>
  <c r="N70" i="7" s="1"/>
  <c r="L43" i="7"/>
  <c r="H43" i="7"/>
  <c r="D43" i="7"/>
  <c r="D31" i="7"/>
  <c r="D34" i="7" s="1"/>
  <c r="F31" i="7"/>
  <c r="F34" i="7" s="1"/>
  <c r="D42" i="7"/>
  <c r="H42" i="7"/>
  <c r="L42" i="7"/>
  <c r="D32" i="7"/>
  <c r="F32" i="7"/>
  <c r="R33" i="7"/>
  <c r="D35" i="7"/>
  <c r="F35" i="7"/>
  <c r="R49" i="7"/>
  <c r="N55" i="7"/>
  <c r="N56" i="7"/>
  <c r="R68" i="7"/>
  <c r="H70" i="7"/>
  <c r="H83" i="7" s="1"/>
  <c r="L70" i="7"/>
  <c r="P70" i="7"/>
  <c r="R80" i="7"/>
  <c r="J83" i="7"/>
  <c r="J86" i="7"/>
  <c r="A100" i="7"/>
  <c r="A101" i="7" s="1"/>
  <c r="A111" i="7"/>
  <c r="A112" i="7" s="1"/>
  <c r="A113" i="7" s="1"/>
  <c r="A114" i="7" s="1"/>
  <c r="A115" i="7" s="1"/>
  <c r="A116" i="7" s="1"/>
  <c r="B130" i="7"/>
  <c r="B186" i="7" s="1"/>
  <c r="B266" i="7" s="1"/>
  <c r="R145" i="7"/>
  <c r="R147" i="7" s="1"/>
  <c r="R173" i="7"/>
  <c r="P191" i="7"/>
  <c r="P200" i="7"/>
  <c r="N244" i="7"/>
  <c r="O205" i="7"/>
  <c r="N232" i="7"/>
  <c r="O223" i="7"/>
  <c r="Q223" i="7"/>
  <c r="Q224" i="7"/>
  <c r="Q226" i="7"/>
  <c r="Q227" i="7"/>
  <c r="Q228" i="7"/>
  <c r="Q230" i="7"/>
  <c r="O235" i="7"/>
  <c r="O238" i="7"/>
  <c r="O240" i="7"/>
  <c r="O241" i="7"/>
  <c r="P256" i="6"/>
  <c r="P206" i="6" s="1"/>
  <c r="R101" i="6"/>
  <c r="L67" i="6"/>
  <c r="L70" i="6"/>
  <c r="N67" i="6"/>
  <c r="N70" i="6"/>
  <c r="R68" i="6"/>
  <c r="L43" i="6"/>
  <c r="H43" i="6"/>
  <c r="D43" i="6"/>
  <c r="D31" i="6"/>
  <c r="D34" i="6"/>
  <c r="F31" i="6"/>
  <c r="F34" i="6" s="1"/>
  <c r="D42" i="6"/>
  <c r="H42" i="6"/>
  <c r="L42" i="6"/>
  <c r="D32" i="6"/>
  <c r="F32" i="6"/>
  <c r="R33" i="6"/>
  <c r="D35" i="6"/>
  <c r="F35" i="6"/>
  <c r="R50" i="6" s="1"/>
  <c r="R49" i="6"/>
  <c r="N55" i="6"/>
  <c r="N56" i="6"/>
  <c r="H70" i="6"/>
  <c r="H83" i="6"/>
  <c r="P70" i="6"/>
  <c r="R80" i="6"/>
  <c r="J83" i="6"/>
  <c r="J86" i="6"/>
  <c r="P94" i="6"/>
  <c r="P96" i="6"/>
  <c r="A100" i="6"/>
  <c r="A101" i="6"/>
  <c r="A111" i="6"/>
  <c r="A112" i="6" s="1"/>
  <c r="A113" i="6" s="1"/>
  <c r="A114" i="6" s="1"/>
  <c r="A115" i="6" s="1"/>
  <c r="A116" i="6" s="1"/>
  <c r="P119" i="6"/>
  <c r="P126" i="6" s="1"/>
  <c r="B130" i="6"/>
  <c r="B186" i="6" s="1"/>
  <c r="B266" i="6" s="1"/>
  <c r="R134" i="6"/>
  <c r="R142" i="6" s="1"/>
  <c r="R159" i="6"/>
  <c r="R160" i="6"/>
  <c r="R173" i="6"/>
  <c r="P191" i="6"/>
  <c r="N244" i="6"/>
  <c r="O205" i="6" s="1"/>
  <c r="P244" i="6"/>
  <c r="P205" i="6"/>
  <c r="N232" i="6"/>
  <c r="O223" i="6" s="1"/>
  <c r="O228" i="6"/>
  <c r="O230" i="6"/>
  <c r="P232" i="6"/>
  <c r="Q230" i="6" s="1"/>
  <c r="O236" i="6"/>
  <c r="O237" i="6"/>
  <c r="O239" i="6"/>
  <c r="O241" i="6"/>
  <c r="O247" i="6"/>
  <c r="O248" i="6"/>
  <c r="O249" i="6"/>
  <c r="O250" i="6"/>
  <c r="O251" i="6"/>
  <c r="O252" i="6"/>
  <c r="O253" i="6"/>
  <c r="O254" i="6"/>
  <c r="P258" i="6"/>
  <c r="P256" i="5"/>
  <c r="N256" i="5"/>
  <c r="O250" i="5" s="1"/>
  <c r="R101" i="5"/>
  <c r="R49" i="5"/>
  <c r="D42" i="5"/>
  <c r="H42" i="5"/>
  <c r="L42" i="5"/>
  <c r="D31" i="5"/>
  <c r="D34" i="5" s="1"/>
  <c r="F31" i="5"/>
  <c r="F34" i="5" s="1"/>
  <c r="R34" i="5" s="1"/>
  <c r="D35" i="5"/>
  <c r="R35" i="5" s="1"/>
  <c r="F35" i="5"/>
  <c r="R50" i="5" s="1"/>
  <c r="L67" i="5"/>
  <c r="R67" i="5"/>
  <c r="R70" i="5" s="1"/>
  <c r="R68" i="5"/>
  <c r="L43" i="5"/>
  <c r="H43" i="5"/>
  <c r="D43" i="5"/>
  <c r="D32" i="5"/>
  <c r="F32" i="5"/>
  <c r="R33" i="5"/>
  <c r="N55" i="5"/>
  <c r="N56" i="5"/>
  <c r="H70" i="5"/>
  <c r="H83" i="5" s="1"/>
  <c r="N70" i="5"/>
  <c r="P70" i="5"/>
  <c r="R80" i="5"/>
  <c r="J83" i="5"/>
  <c r="J86" i="5"/>
  <c r="P94" i="5"/>
  <c r="P97" i="5" s="1"/>
  <c r="P96" i="5"/>
  <c r="A100" i="5"/>
  <c r="A101" i="5" s="1"/>
  <c r="A111" i="5"/>
  <c r="A112" i="5" s="1"/>
  <c r="A113" i="5" s="1"/>
  <c r="A114" i="5" s="1"/>
  <c r="A115" i="5" s="1"/>
  <c r="A116" i="5" s="1"/>
  <c r="P119" i="5"/>
  <c r="P126" i="5" s="1"/>
  <c r="B130" i="5"/>
  <c r="B186" i="5" s="1"/>
  <c r="B266" i="5" s="1"/>
  <c r="R159" i="5"/>
  <c r="R161" i="5"/>
  <c r="R160" i="5"/>
  <c r="R173" i="5"/>
  <c r="P191" i="5"/>
  <c r="N244" i="5"/>
  <c r="O236" i="5" s="1"/>
  <c r="P244" i="5"/>
  <c r="P205" i="5" s="1"/>
  <c r="N232" i="5"/>
  <c r="P232" i="5"/>
  <c r="Q223" i="5" s="1"/>
  <c r="O247" i="5"/>
  <c r="O249" i="5"/>
  <c r="O251" i="5"/>
  <c r="O252" i="5"/>
  <c r="J86" i="4"/>
  <c r="R101" i="4"/>
  <c r="L67" i="4"/>
  <c r="L43" i="4"/>
  <c r="H43" i="4"/>
  <c r="D43" i="4"/>
  <c r="D31" i="4"/>
  <c r="D34" i="4" s="1"/>
  <c r="F31" i="4"/>
  <c r="F34" i="4" s="1"/>
  <c r="D42" i="4"/>
  <c r="H42" i="4"/>
  <c r="L42" i="4"/>
  <c r="D32" i="4"/>
  <c r="F32" i="4"/>
  <c r="R33" i="4"/>
  <c r="D35" i="4"/>
  <c r="F35" i="4"/>
  <c r="R49" i="4"/>
  <c r="N55" i="4"/>
  <c r="N56" i="4"/>
  <c r="R68" i="4"/>
  <c r="H70" i="4"/>
  <c r="N70" i="4"/>
  <c r="P70" i="4"/>
  <c r="R80" i="4"/>
  <c r="H83" i="4"/>
  <c r="P94" i="4"/>
  <c r="P96" i="4"/>
  <c r="P97" i="4" s="1"/>
  <c r="A100" i="4"/>
  <c r="A101" i="4" s="1"/>
  <c r="A111" i="4"/>
  <c r="A112" i="4" s="1"/>
  <c r="A113" i="4" s="1"/>
  <c r="A114" i="4" s="1"/>
  <c r="A115" i="4" s="1"/>
  <c r="A116" i="4" s="1"/>
  <c r="P119" i="4"/>
  <c r="P126" i="4" s="1"/>
  <c r="B130" i="4"/>
  <c r="R159" i="4"/>
  <c r="R160" i="4"/>
  <c r="R173" i="4"/>
  <c r="B186" i="4"/>
  <c r="B266" i="4" s="1"/>
  <c r="P191" i="4"/>
  <c r="N244" i="4"/>
  <c r="O205" i="4" s="1"/>
  <c r="P244" i="4"/>
  <c r="N256" i="4"/>
  <c r="O248" i="4" s="1"/>
  <c r="P256" i="4"/>
  <c r="N232" i="4"/>
  <c r="P232" i="4"/>
  <c r="Q226" i="4" s="1"/>
  <c r="O236" i="4"/>
  <c r="O240" i="4"/>
  <c r="O252" i="4"/>
  <c r="A109" i="3"/>
  <c r="A110" i="3" s="1"/>
  <c r="A111" i="3" s="1"/>
  <c r="A112" i="3" s="1"/>
  <c r="A113" i="3" s="1"/>
  <c r="A114" i="3" s="1"/>
  <c r="A98" i="3"/>
  <c r="A99" i="3" s="1"/>
  <c r="A109" i="2"/>
  <c r="A110" i="2" s="1"/>
  <c r="A111" i="2" s="1"/>
  <c r="A112" i="2" s="1"/>
  <c r="A113" i="2" s="1"/>
  <c r="A114" i="2" s="1"/>
  <c r="A98" i="2"/>
  <c r="A99" i="2" s="1"/>
  <c r="P228" i="3"/>
  <c r="P252" i="3"/>
  <c r="P240" i="3"/>
  <c r="Q233" i="3" s="1"/>
  <c r="R99" i="3"/>
  <c r="L67" i="3"/>
  <c r="L43" i="3"/>
  <c r="H43" i="3"/>
  <c r="D43" i="3"/>
  <c r="D31" i="3"/>
  <c r="D34" i="3" s="1"/>
  <c r="F31" i="3"/>
  <c r="F34" i="3" s="1"/>
  <c r="D32" i="3"/>
  <c r="F32" i="3"/>
  <c r="R33" i="3"/>
  <c r="D35" i="3"/>
  <c r="F35" i="3"/>
  <c r="D42" i="3"/>
  <c r="H42" i="3"/>
  <c r="L42" i="3"/>
  <c r="R49" i="3"/>
  <c r="N55" i="3"/>
  <c r="N56" i="3"/>
  <c r="R68" i="3"/>
  <c r="H70" i="3"/>
  <c r="N70" i="3"/>
  <c r="P70" i="3"/>
  <c r="R80" i="3"/>
  <c r="H83" i="3"/>
  <c r="J83" i="3"/>
  <c r="J88" i="3"/>
  <c r="P92" i="3"/>
  <c r="P94" i="3"/>
  <c r="P117" i="3"/>
  <c r="P124" i="3"/>
  <c r="B128" i="3"/>
  <c r="B184" i="3" s="1"/>
  <c r="B262" i="3" s="1"/>
  <c r="R132" i="3"/>
  <c r="R140" i="3" s="1"/>
  <c r="R157" i="3"/>
  <c r="R158" i="3"/>
  <c r="R171" i="3"/>
  <c r="P189" i="3"/>
  <c r="N240" i="3"/>
  <c r="O203" i="3" s="1"/>
  <c r="N252" i="3"/>
  <c r="O204" i="3"/>
  <c r="P204" i="3"/>
  <c r="N228" i="3"/>
  <c r="O219" i="3" s="1"/>
  <c r="O221" i="3"/>
  <c r="O222" i="3"/>
  <c r="O225" i="3"/>
  <c r="O226" i="3"/>
  <c r="Q221" i="3"/>
  <c r="Q232" i="3"/>
  <c r="Q235" i="3"/>
  <c r="Q238" i="3"/>
  <c r="O244" i="3"/>
  <c r="Q244" i="3"/>
  <c r="O245" i="3"/>
  <c r="Q246" i="3"/>
  <c r="O248" i="3"/>
  <c r="O250" i="3"/>
  <c r="Q250" i="3"/>
  <c r="P252" i="2"/>
  <c r="P240" i="2"/>
  <c r="P228" i="2"/>
  <c r="D42" i="2"/>
  <c r="H42" i="2"/>
  <c r="L42" i="2"/>
  <c r="D31" i="2"/>
  <c r="D34" i="2" s="1"/>
  <c r="F31" i="2"/>
  <c r="F34" i="2"/>
  <c r="N252" i="2"/>
  <c r="O243" i="2" s="1"/>
  <c r="L67" i="2"/>
  <c r="R99" i="2"/>
  <c r="P116" i="1"/>
  <c r="N55" i="2"/>
  <c r="L43" i="2"/>
  <c r="H43" i="2"/>
  <c r="D43" i="2"/>
  <c r="N240" i="2"/>
  <c r="O203" i="2" s="1"/>
  <c r="P204" i="2"/>
  <c r="Q250" i="2"/>
  <c r="Q246" i="2"/>
  <c r="Q244" i="2"/>
  <c r="D32" i="2"/>
  <c r="F32" i="2"/>
  <c r="R33" i="2"/>
  <c r="R143" i="2" s="1"/>
  <c r="R145" i="2" s="1"/>
  <c r="D35" i="2"/>
  <c r="F35" i="2"/>
  <c r="R49" i="2"/>
  <c r="R51" i="2"/>
  <c r="N56" i="2"/>
  <c r="R68" i="2"/>
  <c r="H70" i="2"/>
  <c r="H83" i="2" s="1"/>
  <c r="N70" i="2"/>
  <c r="P70" i="2"/>
  <c r="R80" i="2"/>
  <c r="J88" i="2"/>
  <c r="P92" i="2"/>
  <c r="P94" i="2"/>
  <c r="P117" i="2"/>
  <c r="P124" i="2" s="1"/>
  <c r="B128" i="2"/>
  <c r="B184" i="2" s="1"/>
  <c r="B262" i="2" s="1"/>
  <c r="R157" i="2"/>
  <c r="R158" i="2"/>
  <c r="R171" i="2"/>
  <c r="P189" i="2"/>
  <c r="N228" i="2"/>
  <c r="O226" i="2" s="1"/>
  <c r="Q220" i="2"/>
  <c r="Q225" i="2"/>
  <c r="O232" i="2"/>
  <c r="Q233" i="2"/>
  <c r="O235" i="2"/>
  <c r="O237" i="2"/>
  <c r="N238" i="1"/>
  <c r="O229" i="1" s="1"/>
  <c r="P238" i="1"/>
  <c r="Q233" i="1" s="1"/>
  <c r="N226" i="1"/>
  <c r="O218" i="1" s="1"/>
  <c r="O217" i="1"/>
  <c r="P226" i="1"/>
  <c r="Q217" i="1" s="1"/>
  <c r="P92" i="1"/>
  <c r="P94" i="1"/>
  <c r="N67" i="1"/>
  <c r="N70" i="1" s="1"/>
  <c r="L67" i="1"/>
  <c r="P198" i="1" s="1"/>
  <c r="R100" i="1"/>
  <c r="D42" i="1"/>
  <c r="H42" i="1"/>
  <c r="L42" i="1"/>
  <c r="R33" i="1"/>
  <c r="R51" i="1" s="1"/>
  <c r="R99" i="1"/>
  <c r="P117" i="1"/>
  <c r="P124" i="1" s="1"/>
  <c r="F35" i="1"/>
  <c r="F32" i="1"/>
  <c r="D35" i="1"/>
  <c r="R35" i="1"/>
  <c r="D32" i="1"/>
  <c r="R49" i="1"/>
  <c r="J88" i="1"/>
  <c r="A109" i="1"/>
  <c r="A110" i="1" s="1"/>
  <c r="A111" i="1" s="1"/>
  <c r="A112" i="1" s="1"/>
  <c r="A113" i="1" s="1"/>
  <c r="A114" i="1" s="1"/>
  <c r="R80" i="1"/>
  <c r="R34" i="1"/>
  <c r="H70" i="1"/>
  <c r="H83" i="1" s="1"/>
  <c r="R68" i="1"/>
  <c r="A98" i="1"/>
  <c r="A99" i="1" s="1"/>
  <c r="N56" i="1"/>
  <c r="R170" i="1"/>
  <c r="J83" i="1"/>
  <c r="P70" i="1"/>
  <c r="B128" i="1"/>
  <c r="B184" i="1" s="1"/>
  <c r="B247" i="1" s="1"/>
  <c r="R157" i="1"/>
  <c r="R158" i="1"/>
  <c r="R159" i="1" s="1"/>
  <c r="R171" i="1"/>
  <c r="R160" i="24"/>
  <c r="R162" i="24" s="1"/>
  <c r="P212" i="24"/>
  <c r="R117" i="24"/>
  <c r="R127" i="24" s="1"/>
  <c r="R128" i="24" s="1"/>
  <c r="R183" i="24"/>
  <c r="R181" i="24"/>
  <c r="P197" i="24"/>
  <c r="R35" i="24"/>
  <c r="R34" i="24"/>
  <c r="R42" i="24"/>
  <c r="P195" i="24" s="1"/>
  <c r="P196" i="24" s="1"/>
  <c r="L70" i="1"/>
  <c r="Q223" i="1"/>
  <c r="Q221" i="1"/>
  <c r="Q219" i="1"/>
  <c r="O221" i="1"/>
  <c r="Q231" i="1"/>
  <c r="O235" i="1"/>
  <c r="O231" i="1"/>
  <c r="O225" i="2"/>
  <c r="O221" i="2"/>
  <c r="Q243" i="2"/>
  <c r="Q245" i="2"/>
  <c r="Q247" i="2"/>
  <c r="Q249" i="2"/>
  <c r="O238" i="3"/>
  <c r="O237" i="3"/>
  <c r="O236" i="3"/>
  <c r="O235" i="3"/>
  <c r="O234" i="3"/>
  <c r="O233" i="3"/>
  <c r="O232" i="3"/>
  <c r="O231" i="3"/>
  <c r="R145" i="4"/>
  <c r="R147" i="4" s="1"/>
  <c r="Q242" i="5"/>
  <c r="Q241" i="5"/>
  <c r="Q240" i="5"/>
  <c r="Q239" i="5"/>
  <c r="Q238" i="5"/>
  <c r="Q237" i="5"/>
  <c r="Q236" i="5"/>
  <c r="Q235" i="5"/>
  <c r="Q230" i="5"/>
  <c r="Q229" i="5"/>
  <c r="Q228" i="5"/>
  <c r="Q227" i="5"/>
  <c r="Q226" i="5"/>
  <c r="Q225" i="5"/>
  <c r="Q224" i="5"/>
  <c r="P212" i="16"/>
  <c r="R50" i="9"/>
  <c r="Q248" i="10"/>
  <c r="Q250" i="10"/>
  <c r="Q252" i="10"/>
  <c r="R50" i="11"/>
  <c r="P259" i="12"/>
  <c r="Q241" i="12"/>
  <c r="Q240" i="12"/>
  <c r="Q239" i="12"/>
  <c r="Q238" i="12"/>
  <c r="Q237" i="12"/>
  <c r="Q236" i="12"/>
  <c r="L70" i="13"/>
  <c r="R67" i="13"/>
  <c r="R70" i="13"/>
  <c r="R168" i="13" s="1"/>
  <c r="L70" i="14"/>
  <c r="R50" i="14"/>
  <c r="N259" i="15"/>
  <c r="O255" i="15"/>
  <c r="O253" i="15"/>
  <c r="O252" i="15"/>
  <c r="O251" i="15"/>
  <c r="O250" i="15"/>
  <c r="O249" i="15"/>
  <c r="O248" i="15"/>
  <c r="O243" i="15"/>
  <c r="O242" i="15"/>
  <c r="O241" i="15"/>
  <c r="O240" i="15"/>
  <c r="O239" i="15"/>
  <c r="O238" i="15"/>
  <c r="O237" i="15"/>
  <c r="O236" i="15"/>
  <c r="P197" i="18"/>
  <c r="P212" i="19"/>
  <c r="R161" i="19"/>
  <c r="R163" i="19" s="1"/>
  <c r="O237" i="17"/>
  <c r="O236" i="17"/>
  <c r="O236" i="18"/>
  <c r="O231" i="18"/>
  <c r="O230" i="18"/>
  <c r="O229" i="18"/>
  <c r="O228" i="18"/>
  <c r="O227" i="18"/>
  <c r="O226" i="18"/>
  <c r="O225" i="18"/>
  <c r="Q230" i="19"/>
  <c r="Q226" i="19"/>
  <c r="Q232" i="21"/>
  <c r="Q231" i="21"/>
  <c r="Q230" i="21"/>
  <c r="Q229" i="21"/>
  <c r="Q228" i="21"/>
  <c r="Q227" i="21"/>
  <c r="Q226" i="21"/>
  <c r="R50" i="21"/>
  <c r="R83" i="13"/>
  <c r="R169" i="13" s="1"/>
  <c r="R34" i="25"/>
  <c r="R42" i="25" s="1"/>
  <c r="P195" i="25" s="1"/>
  <c r="P196" i="25" s="1"/>
  <c r="O223" i="4"/>
  <c r="O224" i="4"/>
  <c r="O225" i="4"/>
  <c r="O226" i="4"/>
  <c r="O227" i="4"/>
  <c r="O228" i="4"/>
  <c r="O229" i="4"/>
  <c r="O230" i="4"/>
  <c r="L70" i="4"/>
  <c r="R67" i="4"/>
  <c r="R70" i="4" s="1"/>
  <c r="R166" i="4" s="1"/>
  <c r="P200" i="4"/>
  <c r="Q224" i="1"/>
  <c r="Q220" i="1"/>
  <c r="O224" i="1"/>
  <c r="O220" i="1"/>
  <c r="O236" i="1"/>
  <c r="O232" i="1"/>
  <c r="R50" i="2"/>
  <c r="Q251" i="4"/>
  <c r="Q247" i="4"/>
  <c r="R50" i="13"/>
  <c r="R35" i="13"/>
  <c r="R51" i="13"/>
  <c r="R136" i="13"/>
  <c r="R147" i="13"/>
  <c r="R149" i="13" s="1"/>
  <c r="P212" i="15"/>
  <c r="R161" i="15"/>
  <c r="R163" i="15"/>
  <c r="P212" i="22"/>
  <c r="R160" i="22"/>
  <c r="R162" i="22" s="1"/>
  <c r="Q254" i="5"/>
  <c r="Q250" i="5"/>
  <c r="Q247" i="5"/>
  <c r="R145" i="5"/>
  <c r="R147" i="5" s="1"/>
  <c r="Q254" i="6"/>
  <c r="Q253" i="6"/>
  <c r="Q252" i="6"/>
  <c r="Q251" i="6"/>
  <c r="Q250" i="6"/>
  <c r="Q249" i="6"/>
  <c r="Q248" i="6"/>
  <c r="Q247" i="6"/>
  <c r="Q242" i="6"/>
  <c r="Q241" i="6"/>
  <c r="Q240" i="6"/>
  <c r="Q239" i="6"/>
  <c r="Q238" i="6"/>
  <c r="Q237" i="6"/>
  <c r="Q236" i="6"/>
  <c r="Q235" i="6"/>
  <c r="Q244" i="6" s="1"/>
  <c r="O230" i="7"/>
  <c r="O229" i="7"/>
  <c r="O228" i="7"/>
  <c r="O227" i="7"/>
  <c r="O226" i="7"/>
  <c r="O225" i="7"/>
  <c r="O224" i="7"/>
  <c r="Q255" i="9"/>
  <c r="Q254" i="9"/>
  <c r="Q253" i="9"/>
  <c r="Q252" i="9"/>
  <c r="Q251" i="9"/>
  <c r="Q250" i="9"/>
  <c r="Q249" i="9"/>
  <c r="Q248" i="9"/>
  <c r="Q241" i="9"/>
  <c r="Q237" i="9"/>
  <c r="N70" i="9"/>
  <c r="R50" i="10"/>
  <c r="Q247" i="10"/>
  <c r="Q251" i="10"/>
  <c r="R34" i="13"/>
  <c r="R42" i="13" s="1"/>
  <c r="P195" i="13" s="1"/>
  <c r="P196" i="13" s="1"/>
  <c r="R161" i="20"/>
  <c r="R163" i="20" s="1"/>
  <c r="P213" i="20"/>
  <c r="P213" i="21"/>
  <c r="R161" i="21"/>
  <c r="R163" i="21" s="1"/>
  <c r="P259" i="13"/>
  <c r="Q243" i="13"/>
  <c r="Q242" i="13"/>
  <c r="Q241" i="13"/>
  <c r="Q240" i="13"/>
  <c r="Q239" i="13"/>
  <c r="Q238" i="13"/>
  <c r="Q237" i="13"/>
  <c r="Q236" i="13"/>
  <c r="O251" i="14"/>
  <c r="O253" i="14"/>
  <c r="Q249" i="14"/>
  <c r="Q251" i="14"/>
  <c r="Q254" i="14"/>
  <c r="Q231" i="15"/>
  <c r="Q230" i="15"/>
  <c r="Q229" i="15"/>
  <c r="Q228" i="15"/>
  <c r="Q227" i="15"/>
  <c r="Q226" i="15"/>
  <c r="Q225" i="15"/>
  <c r="O255" i="16"/>
  <c r="Q231" i="16"/>
  <c r="Q230" i="16"/>
  <c r="Q229" i="16"/>
  <c r="Q228" i="16"/>
  <c r="Q227" i="16"/>
  <c r="Q226" i="16"/>
  <c r="Q225" i="16"/>
  <c r="R35" i="16"/>
  <c r="P259" i="17"/>
  <c r="O243" i="17"/>
  <c r="O242" i="17"/>
  <c r="O241" i="17"/>
  <c r="O240" i="17"/>
  <c r="O239" i="17"/>
  <c r="O238" i="17"/>
  <c r="Q236" i="17"/>
  <c r="Q231" i="17"/>
  <c r="Q230" i="17"/>
  <c r="Q229" i="17"/>
  <c r="Q228" i="17"/>
  <c r="Q227" i="17"/>
  <c r="Q226" i="17"/>
  <c r="Q225" i="17"/>
  <c r="Q227" i="14"/>
  <c r="Q226" i="14"/>
  <c r="Q225" i="14"/>
  <c r="R50" i="18"/>
  <c r="L70" i="21"/>
  <c r="P271" i="22"/>
  <c r="Q267" i="22"/>
  <c r="Q266" i="22"/>
  <c r="Q265" i="22"/>
  <c r="Q264" i="22"/>
  <c r="Q263" i="22"/>
  <c r="Q262" i="22"/>
  <c r="Q261" i="22"/>
  <c r="Q260" i="22"/>
  <c r="Q255" i="22"/>
  <c r="Q254" i="22"/>
  <c r="Q253" i="22"/>
  <c r="Q252" i="22"/>
  <c r="Q251" i="22"/>
  <c r="Q250" i="22"/>
  <c r="Q249" i="22"/>
  <c r="Q248" i="22"/>
  <c r="O243" i="22"/>
  <c r="O242" i="22"/>
  <c r="O241" i="22"/>
  <c r="O240" i="22"/>
  <c r="O239" i="22"/>
  <c r="O238" i="22"/>
  <c r="O237" i="22"/>
  <c r="O245" i="22" s="1"/>
  <c r="Q237" i="24"/>
  <c r="R82" i="25"/>
  <c r="R169" i="25" s="1"/>
  <c r="R168" i="25"/>
  <c r="P202" i="25"/>
  <c r="L69" i="25"/>
  <c r="R50" i="26"/>
  <c r="R35" i="26"/>
  <c r="R34" i="26"/>
  <c r="R42" i="26" s="1"/>
  <c r="P195" i="26" s="1"/>
  <c r="P196" i="26" s="1"/>
  <c r="P195" i="8"/>
  <c r="R118" i="13"/>
  <c r="R128" i="13" s="1"/>
  <c r="P197" i="13"/>
  <c r="P193" i="2"/>
  <c r="R167" i="9"/>
  <c r="R183" i="12"/>
  <c r="R181" i="12"/>
  <c r="R118" i="12"/>
  <c r="R128" i="12" s="1"/>
  <c r="R129" i="12" s="1"/>
  <c r="P197" i="12"/>
  <c r="P129" i="12"/>
  <c r="R160" i="23"/>
  <c r="R162" i="23" s="1"/>
  <c r="P212" i="23"/>
  <c r="Q222" i="1"/>
  <c r="O222" i="1"/>
  <c r="O234" i="1"/>
  <c r="O241" i="4"/>
  <c r="O239" i="4"/>
  <c r="O237" i="4"/>
  <c r="O235" i="4"/>
  <c r="Q229" i="4"/>
  <c r="Q227" i="4"/>
  <c r="Q225" i="4"/>
  <c r="O224" i="15"/>
  <c r="O225" i="15"/>
  <c r="O227" i="15"/>
  <c r="O229" i="15"/>
  <c r="O231" i="15"/>
  <c r="P207" i="15"/>
  <c r="Q237" i="15"/>
  <c r="Q238" i="15"/>
  <c r="R181" i="17"/>
  <c r="R118" i="17"/>
  <c r="R128" i="17" s="1"/>
  <c r="R129" i="17" s="1"/>
  <c r="R183" i="17"/>
  <c r="P197" i="17"/>
  <c r="R161" i="17"/>
  <c r="R163" i="17" s="1"/>
  <c r="P212" i="17"/>
  <c r="Q231" i="9"/>
  <c r="Q229" i="9"/>
  <c r="Q227" i="9"/>
  <c r="Q225" i="9"/>
  <c r="Q230" i="10"/>
  <c r="Q249" i="10"/>
  <c r="Q256" i="10" s="1"/>
  <c r="Q237" i="11"/>
  <c r="Q236" i="11"/>
  <c r="Q235" i="11"/>
  <c r="O230" i="11"/>
  <c r="O229" i="11"/>
  <c r="O228" i="11"/>
  <c r="O227" i="11"/>
  <c r="O226" i="11"/>
  <c r="O225" i="11"/>
  <c r="O224" i="11"/>
  <c r="P259" i="14"/>
  <c r="Q243" i="14"/>
  <c r="Q242" i="14"/>
  <c r="Q241" i="14"/>
  <c r="Q240" i="14"/>
  <c r="Q239" i="14"/>
  <c r="Q238" i="14"/>
  <c r="Q237" i="14"/>
  <c r="Q236" i="14"/>
  <c r="Q245" i="14" s="1"/>
  <c r="O227" i="14"/>
  <c r="O225" i="14"/>
  <c r="R147" i="14"/>
  <c r="R149" i="14" s="1"/>
  <c r="R136" i="14"/>
  <c r="Q252" i="15"/>
  <c r="Q250" i="15"/>
  <c r="Q248" i="15"/>
  <c r="R35" i="15"/>
  <c r="P259" i="16"/>
  <c r="Q243" i="17"/>
  <c r="Q241" i="17"/>
  <c r="Q239" i="17"/>
  <c r="Q237" i="17"/>
  <c r="Q237" i="25"/>
  <c r="Q237" i="26"/>
  <c r="O254" i="17"/>
  <c r="O252" i="17"/>
  <c r="O250" i="17"/>
  <c r="Q254" i="17"/>
  <c r="Q252" i="17"/>
  <c r="Q249" i="17"/>
  <c r="O255" i="18"/>
  <c r="O254" i="18"/>
  <c r="O253" i="18"/>
  <c r="O252" i="18"/>
  <c r="O251" i="18"/>
  <c r="O250" i="18"/>
  <c r="O249" i="18"/>
  <c r="O248" i="18"/>
  <c r="Q254" i="20"/>
  <c r="Q253" i="20"/>
  <c r="Q252" i="20"/>
  <c r="Q251" i="20"/>
  <c r="Q250" i="20"/>
  <c r="Q249" i="20"/>
  <c r="Q244" i="20"/>
  <c r="Q243" i="20"/>
  <c r="Q242" i="20"/>
  <c r="Q241" i="20"/>
  <c r="Q240" i="20"/>
  <c r="Q239" i="20"/>
  <c r="Q238" i="20"/>
  <c r="Q237" i="20"/>
  <c r="Q232" i="20"/>
  <c r="Q231" i="20"/>
  <c r="Q228" i="20"/>
  <c r="Q227" i="20"/>
  <c r="O266" i="22"/>
  <c r="O264" i="22"/>
  <c r="O262" i="22"/>
  <c r="O260" i="22"/>
  <c r="O255" i="22"/>
  <c r="O253" i="22"/>
  <c r="O251" i="22"/>
  <c r="O249" i="22"/>
  <c r="Q243" i="22"/>
  <c r="Q241" i="22"/>
  <c r="Q239" i="22"/>
  <c r="Q237" i="22"/>
  <c r="R175" i="27"/>
  <c r="R98" i="27"/>
  <c r="R183" i="27" s="1"/>
  <c r="R50" i="27"/>
  <c r="Q232" i="2"/>
  <c r="Q234" i="2"/>
  <c r="Q236" i="2"/>
  <c r="Q238" i="2"/>
  <c r="P198" i="3"/>
  <c r="R67" i="3"/>
  <c r="R70" i="3" s="1"/>
  <c r="R83" i="3" s="1"/>
  <c r="R165" i="3" s="1"/>
  <c r="L70" i="3"/>
  <c r="O226" i="5"/>
  <c r="O230" i="5"/>
  <c r="O227" i="5"/>
  <c r="O223" i="5"/>
  <c r="O225" i="5"/>
  <c r="O229" i="5"/>
  <c r="R83" i="4"/>
  <c r="R167" i="4" s="1"/>
  <c r="Q236" i="9"/>
  <c r="Q240" i="9"/>
  <c r="Q236" i="1"/>
  <c r="Q231" i="2"/>
  <c r="O224" i="2"/>
  <c r="O220" i="2"/>
  <c r="O219" i="2"/>
  <c r="P203" i="2"/>
  <c r="Q243" i="3"/>
  <c r="Q245" i="3"/>
  <c r="Q247" i="3"/>
  <c r="Q249" i="3"/>
  <c r="R134" i="4"/>
  <c r="R142" i="4"/>
  <c r="R51" i="4"/>
  <c r="O238" i="5"/>
  <c r="O242" i="5"/>
  <c r="O235" i="5"/>
  <c r="O239" i="5"/>
  <c r="O205" i="5"/>
  <c r="O237" i="5"/>
  <c r="O241" i="5"/>
  <c r="O256" i="6"/>
  <c r="Q224" i="6"/>
  <c r="Q228" i="6"/>
  <c r="Q225" i="6"/>
  <c r="Q229" i="6"/>
  <c r="Q223" i="6"/>
  <c r="Q227" i="6"/>
  <c r="O247" i="8"/>
  <c r="O249" i="8"/>
  <c r="O251" i="8"/>
  <c r="O253" i="8"/>
  <c r="O206" i="8"/>
  <c r="O245" i="14"/>
  <c r="O228" i="5"/>
  <c r="P170" i="2"/>
  <c r="O173" i="1"/>
  <c r="Q245" i="18"/>
  <c r="Q234" i="1"/>
  <c r="Q238" i="9"/>
  <c r="Q242" i="9"/>
  <c r="R172" i="1"/>
  <c r="Q235" i="2"/>
  <c r="P254" i="2"/>
  <c r="R161" i="4"/>
  <c r="O224" i="5"/>
  <c r="R51" i="5"/>
  <c r="R134" i="5"/>
  <c r="R142" i="5" s="1"/>
  <c r="R134" i="7"/>
  <c r="R142" i="7"/>
  <c r="R51" i="7"/>
  <c r="R34" i="7"/>
  <c r="R42" i="7" s="1"/>
  <c r="P193" i="7" s="1"/>
  <c r="P194" i="7" s="1"/>
  <c r="R94" i="4"/>
  <c r="R97" i="4" s="1"/>
  <c r="Q230" i="1"/>
  <c r="Q235" i="1"/>
  <c r="Q229" i="1"/>
  <c r="O224" i="8"/>
  <c r="O228" i="8"/>
  <c r="O225" i="8"/>
  <c r="O229" i="8"/>
  <c r="O223" i="8"/>
  <c r="O227" i="8"/>
  <c r="O238" i="18"/>
  <c r="O240" i="18"/>
  <c r="O242" i="18"/>
  <c r="O243" i="18"/>
  <c r="O207" i="18"/>
  <c r="O239" i="18"/>
  <c r="O245" i="18" s="1"/>
  <c r="O241" i="18"/>
  <c r="N259" i="18"/>
  <c r="Q239" i="9"/>
  <c r="Q243" i="9"/>
  <c r="Q232" i="1"/>
  <c r="O222" i="2"/>
  <c r="Q237" i="2"/>
  <c r="R67" i="2"/>
  <c r="R70" i="2" s="1"/>
  <c r="L70" i="2"/>
  <c r="P198" i="2"/>
  <c r="Q248" i="3"/>
  <c r="O250" i="4"/>
  <c r="O254" i="4"/>
  <c r="O247" i="4"/>
  <c r="O251" i="4"/>
  <c r="O206" i="4"/>
  <c r="O249" i="4"/>
  <c r="O253" i="4"/>
  <c r="O240" i="5"/>
  <c r="Q226" i="6"/>
  <c r="R145" i="6"/>
  <c r="R147" i="6" s="1"/>
  <c r="R51" i="6"/>
  <c r="P258" i="7"/>
  <c r="Q235" i="7"/>
  <c r="Q237" i="7"/>
  <c r="Q239" i="7"/>
  <c r="Q241" i="7"/>
  <c r="P205" i="7"/>
  <c r="O252" i="7"/>
  <c r="O248" i="7"/>
  <c r="O251" i="7"/>
  <c r="O247" i="7"/>
  <c r="O206" i="7"/>
  <c r="O253" i="7"/>
  <c r="O249" i="7"/>
  <c r="O250" i="8"/>
  <c r="O230" i="8"/>
  <c r="O238" i="8"/>
  <c r="P259" i="9"/>
  <c r="N70" i="11"/>
  <c r="R67" i="11"/>
  <c r="R70" i="11" s="1"/>
  <c r="R167" i="11" s="1"/>
  <c r="R67" i="6"/>
  <c r="R70" i="6" s="1"/>
  <c r="R50" i="8"/>
  <c r="O242" i="9"/>
  <c r="O238" i="9"/>
  <c r="Q225" i="12"/>
  <c r="Q229" i="12"/>
  <c r="Q226" i="12"/>
  <c r="Q230" i="12"/>
  <c r="Q224" i="12"/>
  <c r="Q228" i="12"/>
  <c r="N259" i="14"/>
  <c r="O229" i="14"/>
  <c r="O231" i="14"/>
  <c r="O224" i="14"/>
  <c r="O228" i="14"/>
  <c r="O230" i="14"/>
  <c r="Q238" i="17"/>
  <c r="P207" i="17"/>
  <c r="Q242" i="17"/>
  <c r="R51" i="18"/>
  <c r="R147" i="18"/>
  <c r="R149" i="18" s="1"/>
  <c r="R34" i="18"/>
  <c r="R42" i="18" s="1"/>
  <c r="P195" i="18" s="1"/>
  <c r="P196" i="18" s="1"/>
  <c r="P211" i="11"/>
  <c r="R160" i="11"/>
  <c r="R162" i="11" s="1"/>
  <c r="O208" i="21"/>
  <c r="O237" i="21"/>
  <c r="O239" i="21"/>
  <c r="O241" i="21"/>
  <c r="O243" i="21"/>
  <c r="N260" i="21"/>
  <c r="O238" i="21"/>
  <c r="O244" i="21"/>
  <c r="O242" i="21"/>
  <c r="Q224" i="4"/>
  <c r="O232" i="10"/>
  <c r="R67" i="10"/>
  <c r="R70" i="10" s="1"/>
  <c r="N70" i="10"/>
  <c r="P98" i="11"/>
  <c r="P128" i="11" s="1"/>
  <c r="O207" i="11"/>
  <c r="N258" i="11"/>
  <c r="R34" i="14"/>
  <c r="R42" i="14"/>
  <c r="P195" i="14" s="1"/>
  <c r="P196" i="14" s="1"/>
  <c r="O254" i="14"/>
  <c r="O208" i="14"/>
  <c r="O255" i="14"/>
  <c r="R99" i="14"/>
  <c r="R34" i="15"/>
  <c r="R42" i="15"/>
  <c r="P195" i="15" s="1"/>
  <c r="P196" i="15" s="1"/>
  <c r="L70" i="15"/>
  <c r="R67" i="15"/>
  <c r="R70" i="15" s="1"/>
  <c r="R83" i="15" s="1"/>
  <c r="R169" i="15" s="1"/>
  <c r="R50" i="17"/>
  <c r="R35" i="17"/>
  <c r="Q250" i="17"/>
  <c r="P208" i="17"/>
  <c r="Q251" i="17"/>
  <c r="Q248" i="17"/>
  <c r="Q257" i="17" s="1"/>
  <c r="Q255" i="17"/>
  <c r="O233" i="1"/>
  <c r="R67" i="1"/>
  <c r="R70" i="1" s="1"/>
  <c r="Q223" i="2"/>
  <c r="Q248" i="2"/>
  <c r="Q237" i="3"/>
  <c r="O223" i="3"/>
  <c r="O242" i="4"/>
  <c r="Q230" i="4"/>
  <c r="O254" i="5"/>
  <c r="Q229" i="7"/>
  <c r="Q232" i="7" s="1"/>
  <c r="R134" i="8"/>
  <c r="O243" i="9"/>
  <c r="O239" i="9"/>
  <c r="O229" i="9"/>
  <c r="O225" i="9"/>
  <c r="R135" i="9"/>
  <c r="R51" i="9"/>
  <c r="R34" i="9"/>
  <c r="O236" i="10"/>
  <c r="O238" i="10"/>
  <c r="O240" i="10"/>
  <c r="O242" i="10"/>
  <c r="R35" i="11"/>
  <c r="O245" i="12"/>
  <c r="Q227" i="12"/>
  <c r="Q242" i="12"/>
  <c r="Q245" i="12" s="1"/>
  <c r="P207" i="12"/>
  <c r="P129" i="13"/>
  <c r="P129" i="15"/>
  <c r="R66" i="23"/>
  <c r="R69" i="23" s="1"/>
  <c r="N69" i="23"/>
  <c r="Q224" i="11"/>
  <c r="O226" i="12"/>
  <c r="Q229" i="13"/>
  <c r="Q225" i="13"/>
  <c r="Q252" i="14"/>
  <c r="O229" i="17"/>
  <c r="O226" i="20"/>
  <c r="O230" i="20"/>
  <c r="O227" i="20"/>
  <c r="O231" i="20"/>
  <c r="O225" i="20"/>
  <c r="O229" i="20"/>
  <c r="O229" i="16"/>
  <c r="O225" i="16"/>
  <c r="O239" i="20"/>
  <c r="O243" i="20"/>
  <c r="O240" i="20"/>
  <c r="O244" i="20"/>
  <c r="O208" i="20"/>
  <c r="O238" i="20"/>
  <c r="O242" i="20"/>
  <c r="Q250" i="21"/>
  <c r="Q252" i="21"/>
  <c r="Q254" i="21"/>
  <c r="Q256" i="21"/>
  <c r="P260" i="21"/>
  <c r="P209" i="21"/>
  <c r="Q249" i="21"/>
  <c r="Q251" i="21"/>
  <c r="Q253" i="21"/>
  <c r="Q255" i="21"/>
  <c r="R35" i="23"/>
  <c r="O250" i="10"/>
  <c r="O241" i="11"/>
  <c r="O239" i="11"/>
  <c r="O236" i="11"/>
  <c r="Q229" i="11"/>
  <c r="Q230" i="13"/>
  <c r="O228" i="13"/>
  <c r="O248" i="14"/>
  <c r="Q249" i="15"/>
  <c r="Q257" i="15" s="1"/>
  <c r="Q236" i="16"/>
  <c r="Q245" i="16" s="1"/>
  <c r="O228" i="16"/>
  <c r="O237" i="20"/>
  <c r="O250" i="20"/>
  <c r="O254" i="20"/>
  <c r="O251" i="20"/>
  <c r="O255" i="20"/>
  <c r="O209" i="20"/>
  <c r="O249" i="20"/>
  <c r="O253" i="20"/>
  <c r="O256" i="20"/>
  <c r="R51" i="22"/>
  <c r="R135" i="22"/>
  <c r="R146" i="22"/>
  <c r="R135" i="23"/>
  <c r="R146" i="23"/>
  <c r="N233" i="23"/>
  <c r="Q236" i="22"/>
  <c r="Q238" i="22"/>
  <c r="R66" i="22"/>
  <c r="R69" i="22" s="1"/>
  <c r="N69" i="22"/>
  <c r="P233" i="23"/>
  <c r="N233" i="22"/>
  <c r="O231" i="22" s="1"/>
  <c r="Q236" i="23"/>
  <c r="Q238" i="23"/>
  <c r="Q240" i="23"/>
  <c r="Q242" i="23"/>
  <c r="R66" i="24"/>
  <c r="R69" i="24" s="1"/>
  <c r="P202" i="24"/>
  <c r="L69" i="24"/>
  <c r="R35" i="25"/>
  <c r="Q248" i="26"/>
  <c r="Q250" i="26"/>
  <c r="Q252" i="26"/>
  <c r="Q254" i="26"/>
  <c r="P207" i="26"/>
  <c r="Q253" i="26"/>
  <c r="Q251" i="26"/>
  <c r="R135" i="26"/>
  <c r="R51" i="26"/>
  <c r="O261" i="27"/>
  <c r="O263" i="27"/>
  <c r="O265" i="27"/>
  <c r="O267" i="27"/>
  <c r="O208" i="27"/>
  <c r="O262" i="27"/>
  <c r="O266" i="27"/>
  <c r="O249" i="27"/>
  <c r="O251" i="27"/>
  <c r="O253" i="27"/>
  <c r="O255" i="27"/>
  <c r="O250" i="27"/>
  <c r="O254" i="27"/>
  <c r="N233" i="27"/>
  <c r="O231" i="27" s="1"/>
  <c r="Q239" i="21"/>
  <c r="Q237" i="21"/>
  <c r="R35" i="21"/>
  <c r="Q242" i="22"/>
  <c r="R98" i="22"/>
  <c r="Q249" i="23"/>
  <c r="Q251" i="23"/>
  <c r="Q253" i="23"/>
  <c r="Q255" i="23"/>
  <c r="O236" i="23"/>
  <c r="O238" i="23"/>
  <c r="O240" i="23"/>
  <c r="O242" i="23"/>
  <c r="P120" i="22"/>
  <c r="P127" i="22" s="1"/>
  <c r="R175" i="22"/>
  <c r="P207" i="24"/>
  <c r="Q249" i="24"/>
  <c r="Q251" i="24"/>
  <c r="Q253" i="24"/>
  <c r="Q252" i="24"/>
  <c r="Q250" i="24"/>
  <c r="Q255" i="24"/>
  <c r="Q238" i="25"/>
  <c r="Q242" i="25"/>
  <c r="Q236" i="25"/>
  <c r="Q241" i="25"/>
  <c r="P271" i="25"/>
  <c r="Q240" i="25"/>
  <c r="Q243" i="25"/>
  <c r="Q261" i="26"/>
  <c r="Q263" i="26"/>
  <c r="Q265" i="26"/>
  <c r="Q267" i="26"/>
  <c r="P271" i="26"/>
  <c r="Q264" i="26"/>
  <c r="Q262" i="26"/>
  <c r="O260" i="27"/>
  <c r="O248" i="27"/>
  <c r="Q254" i="19"/>
  <c r="Q252" i="19"/>
  <c r="Q250" i="19"/>
  <c r="Q248" i="19"/>
  <c r="Q243" i="19"/>
  <c r="Q241" i="19"/>
  <c r="Q239" i="19"/>
  <c r="Q237" i="19"/>
  <c r="O230" i="19"/>
  <c r="O256" i="21"/>
  <c r="O254" i="21"/>
  <c r="O252" i="21"/>
  <c r="O250" i="21"/>
  <c r="O258" i="21" s="1"/>
  <c r="R34" i="21"/>
  <c r="R42" i="21" s="1"/>
  <c r="P196" i="21" s="1"/>
  <c r="P197" i="21" s="1"/>
  <c r="Q240" i="22"/>
  <c r="R50" i="22"/>
  <c r="Q254" i="23"/>
  <c r="Q260" i="23"/>
  <c r="Q262" i="23"/>
  <c r="Q264" i="23"/>
  <c r="Q266" i="23"/>
  <c r="P208" i="24"/>
  <c r="Q260" i="24"/>
  <c r="Q262" i="24"/>
  <c r="Q264" i="24"/>
  <c r="Q266" i="24"/>
  <c r="P271" i="24"/>
  <c r="O260" i="25"/>
  <c r="O262" i="25"/>
  <c r="O264" i="25"/>
  <c r="O266" i="25"/>
  <c r="O208" i="25"/>
  <c r="O261" i="25"/>
  <c r="N271" i="25"/>
  <c r="O267" i="25"/>
  <c r="O269" i="26"/>
  <c r="R146" i="26"/>
  <c r="O264" i="27"/>
  <c r="O252" i="27"/>
  <c r="O207" i="27"/>
  <c r="R160" i="27"/>
  <c r="R162" i="27" s="1"/>
  <c r="P212" i="27"/>
  <c r="O250" i="25"/>
  <c r="N233" i="26"/>
  <c r="O229" i="26" s="1"/>
  <c r="O228" i="27"/>
  <c r="P120" i="27"/>
  <c r="P127" i="27" s="1"/>
  <c r="R66" i="27"/>
  <c r="R69" i="27" s="1"/>
  <c r="L69" i="27"/>
  <c r="P202" i="27"/>
  <c r="O237" i="24"/>
  <c r="O241" i="24"/>
  <c r="N271" i="24"/>
  <c r="O236" i="24"/>
  <c r="O240" i="24"/>
  <c r="N233" i="24"/>
  <c r="O228" i="24" s="1"/>
  <c r="O249" i="25"/>
  <c r="O251" i="25"/>
  <c r="O253" i="25"/>
  <c r="O255" i="25"/>
  <c r="Q238" i="26"/>
  <c r="Q242" i="26"/>
  <c r="Q236" i="26"/>
  <c r="Q241" i="26"/>
  <c r="R160" i="26"/>
  <c r="R162" i="26" s="1"/>
  <c r="P212" i="26"/>
  <c r="O237" i="27"/>
  <c r="O239" i="27"/>
  <c r="O241" i="27"/>
  <c r="O243" i="27"/>
  <c r="O240" i="27"/>
  <c r="O236" i="27"/>
  <c r="R35" i="27"/>
  <c r="P271" i="27"/>
  <c r="Q266" i="27"/>
  <c r="Q264" i="27"/>
  <c r="Q262" i="27"/>
  <c r="Q260" i="27"/>
  <c r="Q254" i="27"/>
  <c r="Q252" i="27"/>
  <c r="Q250" i="27"/>
  <c r="Q242" i="27"/>
  <c r="Q240" i="27"/>
  <c r="Q238" i="27"/>
  <c r="R181" i="27"/>
  <c r="P197" i="27"/>
  <c r="R117" i="27"/>
  <c r="R127" i="27" s="1"/>
  <c r="R128" i="27" s="1"/>
  <c r="O244" i="10"/>
  <c r="R116" i="4"/>
  <c r="R126" i="4" s="1"/>
  <c r="R179" i="4"/>
  <c r="Q245" i="9"/>
  <c r="O229" i="27"/>
  <c r="O231" i="26"/>
  <c r="P197" i="22"/>
  <c r="R117" i="22"/>
  <c r="R127" i="22" s="1"/>
  <c r="R128" i="22" s="1"/>
  <c r="R181" i="22"/>
  <c r="R183" i="22"/>
  <c r="O228" i="22"/>
  <c r="O225" i="22"/>
  <c r="O224" i="22"/>
  <c r="O226" i="24"/>
  <c r="O230" i="24"/>
  <c r="O225" i="24"/>
  <c r="O229" i="24"/>
  <c r="O231" i="24"/>
  <c r="O224" i="24"/>
  <c r="O225" i="26"/>
  <c r="Q228" i="23"/>
  <c r="Q227" i="23"/>
  <c r="Q226" i="23"/>
  <c r="Q229" i="23"/>
  <c r="Q224" i="23"/>
  <c r="Q230" i="23"/>
  <c r="Q231" i="23"/>
  <c r="Q225" i="23"/>
  <c r="O225" i="23"/>
  <c r="O224" i="23"/>
  <c r="O227" i="22"/>
  <c r="P197" i="14"/>
  <c r="R118" i="14"/>
  <c r="R128" i="14" s="1"/>
  <c r="R129" i="14" s="1"/>
  <c r="R181" i="14"/>
  <c r="R183" i="14"/>
  <c r="R66" i="28"/>
  <c r="R69" i="28" s="1"/>
  <c r="L69" i="28"/>
  <c r="R51" i="28"/>
  <c r="R135" i="28"/>
  <c r="R168" i="15"/>
  <c r="R34" i="2"/>
  <c r="R34" i="4"/>
  <c r="R42" i="4" s="1"/>
  <c r="P193" i="4" s="1"/>
  <c r="P194" i="4" s="1"/>
  <c r="O229" i="22"/>
  <c r="O226" i="22"/>
  <c r="O230" i="22"/>
  <c r="O226" i="26"/>
  <c r="O223" i="2"/>
  <c r="O219" i="1"/>
  <c r="O223" i="1"/>
  <c r="O238" i="2"/>
  <c r="O236" i="2"/>
  <c r="O234" i="2"/>
  <c r="O233" i="2"/>
  <c r="O231" i="2"/>
  <c r="O240" i="2"/>
  <c r="O204" i="2"/>
  <c r="O249" i="2"/>
  <c r="O247" i="2"/>
  <c r="O245" i="2"/>
  <c r="O249" i="3"/>
  <c r="O247" i="3"/>
  <c r="O246" i="3"/>
  <c r="O243" i="3"/>
  <c r="O252" i="3" s="1"/>
  <c r="Q236" i="3"/>
  <c r="Q234" i="3"/>
  <c r="Q231" i="3"/>
  <c r="P203" i="3"/>
  <c r="Q228" i="4"/>
  <c r="P258" i="5"/>
  <c r="P200" i="5"/>
  <c r="L70" i="5"/>
  <c r="O242" i="6"/>
  <c r="O240" i="6"/>
  <c r="O238" i="6"/>
  <c r="O244" i="6" s="1"/>
  <c r="O235" i="6"/>
  <c r="O229" i="6"/>
  <c r="O227" i="6"/>
  <c r="O225" i="6"/>
  <c r="P200" i="6"/>
  <c r="O242" i="7"/>
  <c r="O239" i="7"/>
  <c r="O237" i="7"/>
  <c r="O236" i="7"/>
  <c r="R34" i="8"/>
  <c r="R42" i="8" s="1"/>
  <c r="P193" i="8" s="1"/>
  <c r="P194" i="8" s="1"/>
  <c r="Q242" i="8"/>
  <c r="Q239" i="8"/>
  <c r="Q238" i="8"/>
  <c r="Q244" i="8" s="1"/>
  <c r="Q235" i="8"/>
  <c r="O227" i="9"/>
  <c r="O248" i="10"/>
  <c r="O251" i="10"/>
  <c r="O253" i="10"/>
  <c r="O254" i="10"/>
  <c r="Q228" i="11"/>
  <c r="Q226" i="11"/>
  <c r="Q225" i="11"/>
  <c r="O231" i="12"/>
  <c r="O229" i="12"/>
  <c r="O227" i="12"/>
  <c r="Q230" i="14"/>
  <c r="Q228" i="14"/>
  <c r="O249" i="14"/>
  <c r="O252" i="14"/>
  <c r="Q248" i="14"/>
  <c r="O230" i="15"/>
  <c r="N70" i="16"/>
  <c r="P259" i="19"/>
  <c r="Q253" i="19"/>
  <c r="O252" i="19"/>
  <c r="O251" i="19"/>
  <c r="Q249" i="19"/>
  <c r="O248" i="19"/>
  <c r="Q242" i="19"/>
  <c r="O241" i="19"/>
  <c r="O240" i="19"/>
  <c r="O239" i="19"/>
  <c r="O238" i="19"/>
  <c r="O245" i="19" s="1"/>
  <c r="Q236" i="19"/>
  <c r="O231" i="19"/>
  <c r="O228" i="19"/>
  <c r="O225" i="19"/>
  <c r="P203" i="20"/>
  <c r="O231" i="21"/>
  <c r="O229" i="21"/>
  <c r="O227" i="21"/>
  <c r="O208" i="22"/>
  <c r="O261" i="22"/>
  <c r="O269" i="22" s="1"/>
  <c r="O265" i="22"/>
  <c r="O207" i="22"/>
  <c r="O248" i="22"/>
  <c r="O252" i="22"/>
  <c r="P98" i="22"/>
  <c r="P128" i="22" s="1"/>
  <c r="R34" i="22"/>
  <c r="R42" i="22" s="1"/>
  <c r="P195" i="22" s="1"/>
  <c r="P196" i="22" s="1"/>
  <c r="O267" i="23"/>
  <c r="O254" i="23"/>
  <c r="P208" i="23"/>
  <c r="Q263" i="23"/>
  <c r="Q267" i="23"/>
  <c r="P271" i="23"/>
  <c r="P207" i="23"/>
  <c r="Q250" i="23"/>
  <c r="R35" i="22"/>
  <c r="O208" i="23"/>
  <c r="O261" i="23"/>
  <c r="O262" i="23"/>
  <c r="O265" i="23"/>
  <c r="O266" i="23"/>
  <c r="O207" i="23"/>
  <c r="O249" i="23"/>
  <c r="O252" i="23"/>
  <c r="O253" i="23"/>
  <c r="O255" i="23"/>
  <c r="O242" i="24"/>
  <c r="O242" i="25"/>
  <c r="O240" i="25"/>
  <c r="O238" i="25"/>
  <c r="Q243" i="26"/>
  <c r="O242" i="26"/>
  <c r="O240" i="26"/>
  <c r="O238" i="26"/>
  <c r="Q267" i="27"/>
  <c r="N271" i="27"/>
  <c r="Q243" i="27"/>
  <c r="Q241" i="27"/>
  <c r="Q269" i="23"/>
  <c r="N271" i="28"/>
  <c r="P271" i="28"/>
  <c r="O226" i="28"/>
  <c r="O228" i="28"/>
  <c r="O230" i="28"/>
  <c r="O225" i="28"/>
  <c r="O227" i="28"/>
  <c r="O229" i="28"/>
  <c r="O231" i="28"/>
  <c r="O224" i="28"/>
  <c r="Q239" i="28"/>
  <c r="Q237" i="28"/>
  <c r="Q241" i="28"/>
  <c r="Q236" i="28"/>
  <c r="Q238" i="28"/>
  <c r="Q240" i="28"/>
  <c r="Q242" i="28"/>
  <c r="O237" i="28"/>
  <c r="O238" i="28"/>
  <c r="O239" i="28"/>
  <c r="O240" i="28"/>
  <c r="O241" i="28"/>
  <c r="O242" i="28"/>
  <c r="O243" i="28"/>
  <c r="R160" i="28"/>
  <c r="R162" i="28" s="1"/>
  <c r="R42" i="28"/>
  <c r="P195" i="28" s="1"/>
  <c r="P196" i="28" s="1"/>
  <c r="R50" i="28"/>
  <c r="R35" i="28"/>
  <c r="P212" i="29"/>
  <c r="R160" i="29"/>
  <c r="R162" i="29" s="1"/>
  <c r="R51" i="29"/>
  <c r="R175" i="29"/>
  <c r="R66" i="29"/>
  <c r="R69" i="29" s="1"/>
  <c r="R135" i="29"/>
  <c r="O207" i="29"/>
  <c r="Q261" i="29"/>
  <c r="Q262" i="29"/>
  <c r="Q263" i="29"/>
  <c r="Q264" i="29"/>
  <c r="Q265" i="29"/>
  <c r="Q266" i="29"/>
  <c r="P271" i="29"/>
  <c r="O257" i="29"/>
  <c r="N271" i="29"/>
  <c r="Q239" i="29"/>
  <c r="Q236" i="29"/>
  <c r="Q237" i="29"/>
  <c r="Q241" i="29"/>
  <c r="Q230" i="29"/>
  <c r="Q228" i="29"/>
  <c r="Q226" i="29"/>
  <c r="Q224" i="29"/>
  <c r="Q231" i="29"/>
  <c r="Q229" i="29"/>
  <c r="Q227" i="29"/>
  <c r="Q225" i="29"/>
  <c r="Q238" i="29"/>
  <c r="Q240" i="29"/>
  <c r="Q242" i="29"/>
  <c r="O236" i="29"/>
  <c r="N233" i="29"/>
  <c r="O228" i="29" s="1"/>
  <c r="O238" i="29"/>
  <c r="O239" i="29"/>
  <c r="O240" i="29"/>
  <c r="O241" i="29"/>
  <c r="O242" i="29"/>
  <c r="O243" i="29"/>
  <c r="O230" i="29"/>
  <c r="O225" i="29"/>
  <c r="P197" i="29"/>
  <c r="R117" i="29"/>
  <c r="R127" i="29"/>
  <c r="R128" i="29" s="1"/>
  <c r="R183" i="29"/>
  <c r="R181" i="29"/>
  <c r="R50" i="29"/>
  <c r="R35" i="29"/>
  <c r="P212" i="30"/>
  <c r="R160" i="30"/>
  <c r="R162" i="30" s="1"/>
  <c r="R66" i="30"/>
  <c r="R69" i="30" s="1"/>
  <c r="L69" i="30"/>
  <c r="R135" i="30"/>
  <c r="R146" i="30"/>
  <c r="R175" i="30"/>
  <c r="O225" i="30"/>
  <c r="O227" i="30"/>
  <c r="O229" i="30"/>
  <c r="O231" i="30"/>
  <c r="O224" i="30"/>
  <c r="O226" i="30"/>
  <c r="O228" i="30"/>
  <c r="O230" i="30"/>
  <c r="N271" i="30"/>
  <c r="P233" i="30"/>
  <c r="Q228" i="30" s="1"/>
  <c r="Q237" i="30"/>
  <c r="Q239" i="30"/>
  <c r="P271" i="30"/>
  <c r="Q236" i="30"/>
  <c r="Q238" i="30"/>
  <c r="Q240" i="30"/>
  <c r="Q242" i="30"/>
  <c r="O237" i="30"/>
  <c r="O238" i="30"/>
  <c r="O239" i="30"/>
  <c r="O240" i="30"/>
  <c r="O241" i="30"/>
  <c r="O242" i="30"/>
  <c r="O243" i="30"/>
  <c r="O236" i="30"/>
  <c r="Q224" i="30"/>
  <c r="R50" i="30"/>
  <c r="R35" i="30"/>
  <c r="P212" i="31"/>
  <c r="R160" i="31"/>
  <c r="R162" i="31" s="1"/>
  <c r="R66" i="31"/>
  <c r="R69" i="31" s="1"/>
  <c r="R82" i="31" s="1"/>
  <c r="R169" i="31" s="1"/>
  <c r="L69" i="31"/>
  <c r="R135" i="31"/>
  <c r="R146" i="31"/>
  <c r="R175" i="31"/>
  <c r="R42" i="31"/>
  <c r="P195" i="31" s="1"/>
  <c r="P196" i="31" s="1"/>
  <c r="Q237" i="31"/>
  <c r="Q239" i="31"/>
  <c r="P271" i="31"/>
  <c r="P233" i="31"/>
  <c r="Q231" i="31" s="1"/>
  <c r="Q236" i="31"/>
  <c r="Q238" i="31"/>
  <c r="Q240" i="31"/>
  <c r="Q242" i="31"/>
  <c r="O237" i="31"/>
  <c r="O238" i="31"/>
  <c r="O239" i="31"/>
  <c r="O240" i="31"/>
  <c r="O241" i="31"/>
  <c r="O242" i="31"/>
  <c r="O243" i="31"/>
  <c r="O225" i="31"/>
  <c r="O227" i="31"/>
  <c r="O229" i="31"/>
  <c r="O231" i="31"/>
  <c r="O224" i="31"/>
  <c r="O226" i="31"/>
  <c r="O228" i="31"/>
  <c r="O230" i="31"/>
  <c r="O236" i="31"/>
  <c r="Q269" i="31"/>
  <c r="R51" i="32"/>
  <c r="R66" i="32"/>
  <c r="R69" i="32"/>
  <c r="L69" i="32"/>
  <c r="R175" i="32"/>
  <c r="Q236" i="32"/>
  <c r="Q237" i="32"/>
  <c r="Q238" i="32"/>
  <c r="Q239" i="32"/>
  <c r="Q240" i="32"/>
  <c r="Q241" i="32"/>
  <c r="Q242" i="32"/>
  <c r="Q248" i="32"/>
  <c r="Q249" i="32"/>
  <c r="Q250" i="32"/>
  <c r="Q251" i="32"/>
  <c r="Q252" i="32"/>
  <c r="Q253" i="32"/>
  <c r="Q254" i="32"/>
  <c r="R135" i="32"/>
  <c r="P271" i="32"/>
  <c r="N271" i="32"/>
  <c r="O248" i="32"/>
  <c r="O252" i="32"/>
  <c r="O250" i="32"/>
  <c r="O254" i="32"/>
  <c r="O226" i="32"/>
  <c r="O228" i="32"/>
  <c r="O230" i="32"/>
  <c r="O224" i="32"/>
  <c r="O225" i="32"/>
  <c r="O227" i="32"/>
  <c r="O229" i="32"/>
  <c r="O233" i="32" s="1"/>
  <c r="O231" i="32"/>
  <c r="O249" i="32"/>
  <c r="O251" i="32"/>
  <c r="O253" i="32"/>
  <c r="Q243" i="32"/>
  <c r="O237" i="32"/>
  <c r="O241" i="32"/>
  <c r="O236" i="32"/>
  <c r="O239" i="32"/>
  <c r="O243" i="32"/>
  <c r="O238" i="32"/>
  <c r="O240" i="32"/>
  <c r="O242" i="32"/>
  <c r="R183" i="32"/>
  <c r="R117" i="32"/>
  <c r="R127" i="32" s="1"/>
  <c r="R128" i="32" s="1"/>
  <c r="P197" i="32"/>
  <c r="P212" i="32"/>
  <c r="R160" i="32"/>
  <c r="R162" i="32" s="1"/>
  <c r="P128" i="32"/>
  <c r="R50" i="32"/>
  <c r="R35" i="32"/>
  <c r="R35" i="33"/>
  <c r="P203" i="33"/>
  <c r="L69" i="33"/>
  <c r="R66" i="33"/>
  <c r="R69" i="33"/>
  <c r="R169" i="33" s="1"/>
  <c r="N234" i="33"/>
  <c r="O227" i="33"/>
  <c r="O229" i="33"/>
  <c r="O231" i="33"/>
  <c r="P213" i="33"/>
  <c r="R161" i="33"/>
  <c r="R163" i="33" s="1"/>
  <c r="O226" i="33"/>
  <c r="P234" i="33"/>
  <c r="Q231" i="33" s="1"/>
  <c r="R176" i="33"/>
  <c r="P208" i="33"/>
  <c r="P209" i="33"/>
  <c r="Q237" i="33"/>
  <c r="Q238" i="33"/>
  <c r="Q239" i="33"/>
  <c r="Q240" i="33"/>
  <c r="Q241" i="33"/>
  <c r="Q242" i="33"/>
  <c r="Q243" i="33"/>
  <c r="Q249" i="33"/>
  <c r="Q250" i="33"/>
  <c r="Q251" i="33"/>
  <c r="Q252" i="33"/>
  <c r="Q253" i="33"/>
  <c r="Q254" i="33"/>
  <c r="Q255" i="33"/>
  <c r="Q229" i="33"/>
  <c r="O225" i="33"/>
  <c r="R82" i="33"/>
  <c r="R170" i="33" s="1"/>
  <c r="O232" i="33"/>
  <c r="O230" i="33"/>
  <c r="O228" i="33"/>
  <c r="R51" i="34"/>
  <c r="R66" i="34"/>
  <c r="R69" i="34" s="1"/>
  <c r="R82" i="34" s="1"/>
  <c r="R170" i="34" s="1"/>
  <c r="L69" i="34"/>
  <c r="R136" i="34"/>
  <c r="R176" i="34"/>
  <c r="R118" i="34"/>
  <c r="R128" i="34" s="1"/>
  <c r="R129" i="34" s="1"/>
  <c r="R184" i="34"/>
  <c r="R182" i="34"/>
  <c r="P213" i="34"/>
  <c r="R161" i="34"/>
  <c r="R163" i="34" s="1"/>
  <c r="P129" i="34"/>
  <c r="P198" i="34"/>
  <c r="R35" i="34"/>
  <c r="Q250" i="34"/>
  <c r="P272" i="34"/>
  <c r="Q252" i="34"/>
  <c r="Q249" i="34"/>
  <c r="Q251" i="34"/>
  <c r="Q253" i="34"/>
  <c r="Q255" i="34"/>
  <c r="N272" i="34"/>
  <c r="O249" i="34"/>
  <c r="O226" i="34"/>
  <c r="O228" i="34"/>
  <c r="O230" i="34"/>
  <c r="O232" i="34"/>
  <c r="O225" i="34"/>
  <c r="O227" i="34"/>
  <c r="O229" i="34"/>
  <c r="O231" i="34"/>
  <c r="O250" i="34"/>
  <c r="O251" i="34"/>
  <c r="O252" i="34"/>
  <c r="O253" i="34"/>
  <c r="O254" i="34"/>
  <c r="O255" i="34"/>
  <c r="Q240" i="34"/>
  <c r="Q238" i="34"/>
  <c r="Q242" i="34"/>
  <c r="Q226" i="34"/>
  <c r="Q228" i="34"/>
  <c r="Q230" i="34"/>
  <c r="Q232" i="34"/>
  <c r="Q225" i="34"/>
  <c r="Q227" i="34"/>
  <c r="Q229" i="34"/>
  <c r="Q231" i="34"/>
  <c r="Q237" i="34"/>
  <c r="Q239" i="34"/>
  <c r="Q241" i="34"/>
  <c r="Q243" i="34"/>
  <c r="O234" i="34"/>
  <c r="O238" i="34"/>
  <c r="O239" i="34"/>
  <c r="O240" i="34"/>
  <c r="O241" i="34"/>
  <c r="O242" i="34"/>
  <c r="O243" i="34"/>
  <c r="O244" i="34"/>
  <c r="Q258" i="34"/>
  <c r="O174" i="4"/>
  <c r="P198" i="35"/>
  <c r="R182" i="35"/>
  <c r="R118" i="35"/>
  <c r="R128" i="35" s="1"/>
  <c r="R129" i="35" s="1"/>
  <c r="R184" i="35"/>
  <c r="P213" i="35"/>
  <c r="R161" i="35"/>
  <c r="R163" i="35"/>
  <c r="O226" i="35"/>
  <c r="O227" i="35"/>
  <c r="O228" i="35"/>
  <c r="O229" i="35"/>
  <c r="O230" i="35"/>
  <c r="O231" i="35"/>
  <c r="O232" i="35"/>
  <c r="Q226" i="35"/>
  <c r="Q227" i="35"/>
  <c r="Q228" i="35"/>
  <c r="Q229" i="35"/>
  <c r="Q230" i="35"/>
  <c r="Q231" i="35"/>
  <c r="Q232" i="35"/>
  <c r="R51" i="35"/>
  <c r="R66" i="35"/>
  <c r="R69" i="35" s="1"/>
  <c r="L69" i="35"/>
  <c r="R136" i="35"/>
  <c r="O225" i="35"/>
  <c r="O234" i="35" s="1"/>
  <c r="Q225" i="35"/>
  <c r="O172" i="5"/>
  <c r="R51" i="36"/>
  <c r="R66" i="36"/>
  <c r="R69" i="36" s="1"/>
  <c r="R169" i="36" s="1"/>
  <c r="L69" i="36"/>
  <c r="R136" i="36"/>
  <c r="P272" i="36"/>
  <c r="Q240" i="36"/>
  <c r="Q238" i="36"/>
  <c r="Q242" i="36"/>
  <c r="Q226" i="36"/>
  <c r="Q228" i="36"/>
  <c r="Q230" i="36"/>
  <c r="Q232" i="36"/>
  <c r="Q225" i="36"/>
  <c r="Q227" i="36"/>
  <c r="Q229" i="36"/>
  <c r="Q231" i="36"/>
  <c r="Q237" i="36"/>
  <c r="Q239" i="36"/>
  <c r="Q241" i="36"/>
  <c r="Q243" i="36"/>
  <c r="N234" i="36"/>
  <c r="O226" i="36" s="1"/>
  <c r="O238" i="36"/>
  <c r="O239" i="36"/>
  <c r="O240" i="36"/>
  <c r="O241" i="36"/>
  <c r="O242" i="36"/>
  <c r="O243" i="36"/>
  <c r="O244" i="36"/>
  <c r="O230" i="36"/>
  <c r="P129" i="36"/>
  <c r="P213" i="36"/>
  <c r="R161" i="36"/>
  <c r="R163" i="36"/>
  <c r="R50" i="36"/>
  <c r="R35" i="36"/>
  <c r="R179" i="1" l="1"/>
  <c r="R177" i="1"/>
  <c r="R114" i="1"/>
  <c r="R124" i="1" s="1"/>
  <c r="R125" i="1" s="1"/>
  <c r="P193" i="1"/>
  <c r="R34" i="12"/>
  <c r="R42" i="12" s="1"/>
  <c r="P195" i="12" s="1"/>
  <c r="P196" i="12" s="1"/>
  <c r="Q231" i="26"/>
  <c r="Q227" i="26"/>
  <c r="Q225" i="26"/>
  <c r="Q228" i="26"/>
  <c r="Q230" i="26"/>
  <c r="Q226" i="26"/>
  <c r="Q229" i="26"/>
  <c r="Q224" i="26"/>
  <c r="Q233" i="26" s="1"/>
  <c r="Q246" i="34"/>
  <c r="Q234" i="34"/>
  <c r="Q245" i="29"/>
  <c r="Q245" i="28"/>
  <c r="O257" i="22"/>
  <c r="R161" i="18"/>
  <c r="R163" i="18" s="1"/>
  <c r="P212" i="18"/>
  <c r="Q245" i="17"/>
  <c r="Q257" i="22"/>
  <c r="Q233" i="16"/>
  <c r="P95" i="1"/>
  <c r="R35" i="2"/>
  <c r="R35" i="3"/>
  <c r="R35" i="6"/>
  <c r="P97" i="7"/>
  <c r="P97" i="8"/>
  <c r="R94" i="6"/>
  <c r="R97" i="6" s="1"/>
  <c r="R94" i="5"/>
  <c r="R97" i="5" s="1"/>
  <c r="P195" i="5" s="1"/>
  <c r="R95" i="3"/>
  <c r="O226" i="9"/>
  <c r="R35" i="9"/>
  <c r="R70" i="12"/>
  <c r="P99" i="14"/>
  <c r="P129" i="14" s="1"/>
  <c r="O229" i="19"/>
  <c r="R34" i="20"/>
  <c r="P99" i="21"/>
  <c r="P129" i="21" s="1"/>
  <c r="R99" i="21"/>
  <c r="P233" i="22"/>
  <c r="Q242" i="24"/>
  <c r="Q240" i="24"/>
  <c r="Q236" i="24"/>
  <c r="Q245" i="24" s="1"/>
  <c r="P98" i="24"/>
  <c r="P128" i="24" s="1"/>
  <c r="R50" i="25"/>
  <c r="P98" i="27"/>
  <c r="P128" i="27" s="1"/>
  <c r="P233" i="28"/>
  <c r="P98" i="31"/>
  <c r="P128" i="31" s="1"/>
  <c r="O257" i="14"/>
  <c r="Q232" i="11"/>
  <c r="Q245" i="25"/>
  <c r="O257" i="27"/>
  <c r="O258" i="20"/>
  <c r="O257" i="16"/>
  <c r="R159" i="2"/>
  <c r="O220" i="3"/>
  <c r="Q223" i="4"/>
  <c r="Q232" i="4" s="1"/>
  <c r="O226" i="6"/>
  <c r="P97" i="6"/>
  <c r="P127" i="7"/>
  <c r="R35" i="8"/>
  <c r="R162" i="9"/>
  <c r="R83" i="9"/>
  <c r="R168" i="9" s="1"/>
  <c r="R95" i="9"/>
  <c r="R98" i="9" s="1"/>
  <c r="R50" i="15"/>
  <c r="R70" i="16"/>
  <c r="N259" i="17"/>
  <c r="O231" i="17"/>
  <c r="O228" i="17"/>
  <c r="O225" i="17"/>
  <c r="P209" i="2"/>
  <c r="P209" i="3" s="1"/>
  <c r="P211" i="4" s="1"/>
  <c r="P211" i="5" s="1"/>
  <c r="P211" i="6" s="1"/>
  <c r="R95" i="20"/>
  <c r="R99" i="20" s="1"/>
  <c r="P233" i="24"/>
  <c r="O238" i="27"/>
  <c r="P98" i="29"/>
  <c r="P128" i="29" s="1"/>
  <c r="R98" i="31"/>
  <c r="R34" i="36"/>
  <c r="R42" i="36" s="1"/>
  <c r="P196" i="36" s="1"/>
  <c r="P197" i="36" s="1"/>
  <c r="R98" i="36"/>
  <c r="R168" i="23"/>
  <c r="R82" i="23"/>
  <c r="R169" i="23" s="1"/>
  <c r="R169" i="35"/>
  <c r="R82" i="35"/>
  <c r="R170" i="35" s="1"/>
  <c r="Q234" i="36"/>
  <c r="Q234" i="35"/>
  <c r="Q230" i="33"/>
  <c r="Q225" i="33"/>
  <c r="O257" i="32"/>
  <c r="Q245" i="32"/>
  <c r="O227" i="29"/>
  <c r="O224" i="29"/>
  <c r="Q245" i="22"/>
  <c r="Q245" i="15"/>
  <c r="O233" i="18"/>
  <c r="Q246" i="36"/>
  <c r="R82" i="36"/>
  <c r="R170" i="36" s="1"/>
  <c r="O232" i="36"/>
  <c r="Q232" i="33"/>
  <c r="Q227" i="33"/>
  <c r="Q226" i="33"/>
  <c r="Q228" i="31"/>
  <c r="O226" i="29"/>
  <c r="O245" i="29"/>
  <c r="O231" i="29"/>
  <c r="O257" i="19"/>
  <c r="O256" i="10"/>
  <c r="O244" i="7"/>
  <c r="Q240" i="3"/>
  <c r="O224" i="26"/>
  <c r="O227" i="26"/>
  <c r="O230" i="26"/>
  <c r="O245" i="24"/>
  <c r="Q257" i="23"/>
  <c r="Q233" i="12"/>
  <c r="O256" i="7"/>
  <c r="O269" i="23"/>
  <c r="Q233" i="23"/>
  <c r="O269" i="27"/>
  <c r="O232" i="8"/>
  <c r="Q238" i="1"/>
  <c r="Q232" i="6"/>
  <c r="Q252" i="3"/>
  <c r="Q245" i="13"/>
  <c r="Q232" i="5"/>
  <c r="P212" i="14"/>
  <c r="R161" i="14"/>
  <c r="R163" i="14" s="1"/>
  <c r="O231" i="36"/>
  <c r="O246" i="34"/>
  <c r="Q228" i="33"/>
  <c r="O234" i="33"/>
  <c r="O233" i="31"/>
  <c r="O245" i="30"/>
  <c r="O233" i="30"/>
  <c r="O229" i="29"/>
  <c r="Q269" i="29"/>
  <c r="Q245" i="19"/>
  <c r="O226" i="1"/>
  <c r="O228" i="26"/>
  <c r="O269" i="25"/>
  <c r="Q257" i="24"/>
  <c r="Q257" i="26"/>
  <c r="O233" i="14"/>
  <c r="R83" i="11"/>
  <c r="R168" i="11" s="1"/>
  <c r="O232" i="5"/>
  <c r="Q246" i="20"/>
  <c r="Q269" i="22"/>
  <c r="Q257" i="9"/>
  <c r="Q252" i="2"/>
  <c r="R34" i="10"/>
  <c r="R42" i="10" s="1"/>
  <c r="P194" i="10" s="1"/>
  <c r="P195" i="10" s="1"/>
  <c r="Q218" i="1"/>
  <c r="R161" i="6"/>
  <c r="R70" i="7"/>
  <c r="Q231" i="14"/>
  <c r="Q233" i="14" s="1"/>
  <c r="R35" i="14"/>
  <c r="O228" i="15"/>
  <c r="O233" i="15" s="1"/>
  <c r="O231" i="16"/>
  <c r="O224" i="17"/>
  <c r="O233" i="17" s="1"/>
  <c r="O251" i="17"/>
  <c r="R175" i="15"/>
  <c r="O226" i="19"/>
  <c r="N260" i="20"/>
  <c r="Q242" i="21"/>
  <c r="Q238" i="21"/>
  <c r="O230" i="21"/>
  <c r="R98" i="26"/>
  <c r="Q265" i="27"/>
  <c r="P233" i="27"/>
  <c r="R34" i="27"/>
  <c r="R42" i="27" s="1"/>
  <c r="P195" i="27" s="1"/>
  <c r="P196" i="27" s="1"/>
  <c r="Q251" i="29"/>
  <c r="Q253" i="29"/>
  <c r="O264" i="30"/>
  <c r="P233" i="32"/>
  <c r="O242" i="33"/>
  <c r="R35" i="35"/>
  <c r="O250" i="35"/>
  <c r="O253" i="35"/>
  <c r="O256" i="35"/>
  <c r="O248" i="2"/>
  <c r="R159" i="3"/>
  <c r="R34" i="3"/>
  <c r="P127" i="5"/>
  <c r="O206" i="5"/>
  <c r="R67" i="8"/>
  <c r="R70" i="8" s="1"/>
  <c r="O251" i="9"/>
  <c r="O257" i="9" s="1"/>
  <c r="Q230" i="9"/>
  <c r="O231" i="9"/>
  <c r="O224" i="9"/>
  <c r="O233" i="9" s="1"/>
  <c r="R163" i="12"/>
  <c r="Q231" i="13"/>
  <c r="O207" i="13"/>
  <c r="R99" i="15"/>
  <c r="O230" i="16"/>
  <c r="O208" i="17"/>
  <c r="O249" i="17"/>
  <c r="Q233" i="18"/>
  <c r="R163" i="16"/>
  <c r="Q256" i="20"/>
  <c r="Q241" i="21"/>
  <c r="O228" i="21"/>
  <c r="O243" i="25"/>
  <c r="R98" i="25"/>
  <c r="R66" i="26"/>
  <c r="R69" i="26" s="1"/>
  <c r="P208" i="27"/>
  <c r="O252" i="28"/>
  <c r="O255" i="28"/>
  <c r="O253" i="30"/>
  <c r="P129" i="33"/>
  <c r="O237" i="36"/>
  <c r="O246" i="36" s="1"/>
  <c r="Q258" i="36"/>
  <c r="O230" i="1"/>
  <c r="O238" i="1" s="1"/>
  <c r="O246" i="2"/>
  <c r="R50" i="3"/>
  <c r="P127" i="4"/>
  <c r="O224" i="6"/>
  <c r="O232" i="6" s="1"/>
  <c r="R34" i="6"/>
  <c r="R42" i="6" s="1"/>
  <c r="P193" i="6" s="1"/>
  <c r="P194" i="6" s="1"/>
  <c r="Q228" i="9"/>
  <c r="R135" i="10"/>
  <c r="R95" i="11"/>
  <c r="O224" i="16"/>
  <c r="R34" i="16"/>
  <c r="R42" i="16" s="1"/>
  <c r="P195" i="16" s="1"/>
  <c r="P196" i="16" s="1"/>
  <c r="P99" i="16"/>
  <c r="P99" i="17"/>
  <c r="P129" i="17" s="1"/>
  <c r="R99" i="19"/>
  <c r="R42" i="20"/>
  <c r="P196" i="20" s="1"/>
  <c r="P197" i="20" s="1"/>
  <c r="N271" i="22"/>
  <c r="R34" i="23"/>
  <c r="R42" i="23" s="1"/>
  <c r="P195" i="23" s="1"/>
  <c r="P196" i="23" s="1"/>
  <c r="R175" i="23"/>
  <c r="N233" i="25"/>
  <c r="O227" i="25" s="1"/>
  <c r="Q257" i="27"/>
  <c r="Q245" i="27"/>
  <c r="R98" i="28"/>
  <c r="O250" i="28"/>
  <c r="O253" i="28"/>
  <c r="Q255" i="28"/>
  <c r="Q261" i="28"/>
  <c r="Q263" i="28"/>
  <c r="Q265" i="28"/>
  <c r="Q267" i="28"/>
  <c r="Q257" i="29"/>
  <c r="O266" i="30"/>
  <c r="R98" i="30"/>
  <c r="R94" i="33"/>
  <c r="O249" i="35"/>
  <c r="O254" i="35"/>
  <c r="O246" i="37"/>
  <c r="P95" i="3"/>
  <c r="P125" i="3" s="1"/>
  <c r="R94" i="7"/>
  <c r="R97" i="7" s="1"/>
  <c r="P195" i="7" s="1"/>
  <c r="Q224" i="9"/>
  <c r="P98" i="9"/>
  <c r="P128" i="9" s="1"/>
  <c r="O241" i="13"/>
  <c r="O245" i="13" s="1"/>
  <c r="Q226" i="13"/>
  <c r="O224" i="13"/>
  <c r="O253" i="17"/>
  <c r="P99" i="18"/>
  <c r="P129" i="18" s="1"/>
  <c r="O224" i="19"/>
  <c r="O233" i="19" s="1"/>
  <c r="Q243" i="21"/>
  <c r="P98" i="23"/>
  <c r="P128" i="23" s="1"/>
  <c r="O236" i="25"/>
  <c r="O207" i="26"/>
  <c r="O251" i="28"/>
  <c r="Q253" i="28"/>
  <c r="P98" i="35"/>
  <c r="N272" i="35"/>
  <c r="O252" i="35"/>
  <c r="O225" i="25"/>
  <c r="O231" i="25"/>
  <c r="O229" i="25"/>
  <c r="O228" i="25"/>
  <c r="R168" i="27"/>
  <c r="R82" i="27"/>
  <c r="R169" i="27" s="1"/>
  <c r="R50" i="20"/>
  <c r="P121" i="20"/>
  <c r="P128" i="20" s="1"/>
  <c r="R176" i="20"/>
  <c r="Q230" i="22"/>
  <c r="Q225" i="22"/>
  <c r="Q228" i="22"/>
  <c r="Q224" i="22"/>
  <c r="Q227" i="22"/>
  <c r="Q226" i="22"/>
  <c r="Q229" i="22"/>
  <c r="Q231" i="22"/>
  <c r="O230" i="25"/>
  <c r="P120" i="26"/>
  <c r="P127" i="26" s="1"/>
  <c r="P128" i="26" s="1"/>
  <c r="R175" i="26"/>
  <c r="R168" i="22"/>
  <c r="R82" i="22"/>
  <c r="R169" i="22" s="1"/>
  <c r="R83" i="10"/>
  <c r="R168" i="10" s="1"/>
  <c r="R167" i="10"/>
  <c r="R182" i="9"/>
  <c r="R180" i="9"/>
  <c r="P196" i="9"/>
  <c r="R117" i="9"/>
  <c r="R127" i="9" s="1"/>
  <c r="R128" i="9" s="1"/>
  <c r="O258" i="34"/>
  <c r="R168" i="31"/>
  <c r="R168" i="30"/>
  <c r="R82" i="30"/>
  <c r="R169" i="30" s="1"/>
  <c r="O233" i="29"/>
  <c r="O226" i="25"/>
  <c r="O245" i="27"/>
  <c r="R168" i="24"/>
  <c r="R82" i="24"/>
  <c r="R169" i="24" s="1"/>
  <c r="O246" i="20"/>
  <c r="R42" i="9"/>
  <c r="P194" i="9" s="1"/>
  <c r="P195" i="9" s="1"/>
  <c r="O246" i="21"/>
  <c r="Q240" i="2"/>
  <c r="O232" i="4"/>
  <c r="R35" i="12"/>
  <c r="R50" i="12"/>
  <c r="R181" i="16"/>
  <c r="R118" i="16"/>
  <c r="P197" i="16"/>
  <c r="R183" i="16"/>
  <c r="R166" i="6"/>
  <c r="R83" i="6"/>
  <c r="R167" i="6" s="1"/>
  <c r="R179" i="2"/>
  <c r="O225" i="36"/>
  <c r="O228" i="36"/>
  <c r="O245" i="32"/>
  <c r="Q233" i="29"/>
  <c r="O245" i="28"/>
  <c r="O233" i="28"/>
  <c r="O233" i="26"/>
  <c r="R42" i="2"/>
  <c r="P191" i="2" s="1"/>
  <c r="P192" i="2" s="1"/>
  <c r="R168" i="28"/>
  <c r="R82" i="28"/>
  <c r="R169" i="28" s="1"/>
  <c r="O233" i="22"/>
  <c r="R164" i="3"/>
  <c r="O227" i="23"/>
  <c r="O228" i="23"/>
  <c r="O231" i="23"/>
  <c r="O229" i="23"/>
  <c r="O226" i="23"/>
  <c r="O230" i="23"/>
  <c r="Q258" i="21"/>
  <c r="R181" i="4"/>
  <c r="R127" i="4"/>
  <c r="P195" i="4"/>
  <c r="P172" i="2"/>
  <c r="R170" i="2"/>
  <c r="O256" i="8"/>
  <c r="O228" i="2"/>
  <c r="Q226" i="1"/>
  <c r="R42" i="3"/>
  <c r="P191" i="3" s="1"/>
  <c r="P192" i="3" s="1"/>
  <c r="Q236" i="4"/>
  <c r="Q237" i="4"/>
  <c r="Q240" i="4"/>
  <c r="Q242" i="4"/>
  <c r="P205" i="4"/>
  <c r="Q238" i="4"/>
  <c r="Q241" i="4"/>
  <c r="Q235" i="4"/>
  <c r="Q239" i="4"/>
  <c r="P206" i="8"/>
  <c r="Q247" i="8"/>
  <c r="Q250" i="8"/>
  <c r="Q253" i="8"/>
  <c r="P258" i="8"/>
  <c r="Q251" i="8"/>
  <c r="Q248" i="8"/>
  <c r="Q254" i="8"/>
  <c r="Q249" i="8"/>
  <c r="O235" i="8"/>
  <c r="O239" i="8"/>
  <c r="O237" i="8"/>
  <c r="O241" i="8"/>
  <c r="O240" i="8"/>
  <c r="O236" i="8"/>
  <c r="O242" i="8"/>
  <c r="O205" i="8"/>
  <c r="R116" i="5"/>
  <c r="R126" i="5" s="1"/>
  <c r="R127" i="5" s="1"/>
  <c r="R179" i="5"/>
  <c r="R181" i="5"/>
  <c r="O245" i="9"/>
  <c r="Q223" i="10"/>
  <c r="Q229" i="10"/>
  <c r="Q225" i="10"/>
  <c r="Q228" i="10"/>
  <c r="Q224" i="10"/>
  <c r="Q227" i="10"/>
  <c r="Q226" i="10"/>
  <c r="P258" i="10"/>
  <c r="O174" i="5"/>
  <c r="R168" i="32"/>
  <c r="R82" i="32"/>
  <c r="R169" i="32" s="1"/>
  <c r="O229" i="36"/>
  <c r="O227" i="36"/>
  <c r="R169" i="34"/>
  <c r="Q258" i="33"/>
  <c r="Q246" i="33"/>
  <c r="O245" i="31"/>
  <c r="Q225" i="31"/>
  <c r="Q230" i="31"/>
  <c r="Q229" i="31"/>
  <c r="Q227" i="31"/>
  <c r="Q226" i="31"/>
  <c r="Q224" i="31"/>
  <c r="Q226" i="30"/>
  <c r="Q229" i="30"/>
  <c r="Q231" i="30"/>
  <c r="Q230" i="30"/>
  <c r="Q227" i="30"/>
  <c r="Q225" i="30"/>
  <c r="R82" i="29"/>
  <c r="R169" i="29" s="1"/>
  <c r="R168" i="29"/>
  <c r="Q245" i="26"/>
  <c r="O257" i="25"/>
  <c r="Q269" i="24"/>
  <c r="Q245" i="23"/>
  <c r="R164" i="1"/>
  <c r="R83" i="1"/>
  <c r="R165" i="1" s="1"/>
  <c r="R164" i="2"/>
  <c r="R83" i="2"/>
  <c r="R165" i="2" s="1"/>
  <c r="O244" i="5"/>
  <c r="Q222" i="3"/>
  <c r="Q223" i="3"/>
  <c r="Q219" i="3"/>
  <c r="Q224" i="3"/>
  <c r="Q220" i="3"/>
  <c r="Q225" i="3"/>
  <c r="P254" i="3"/>
  <c r="Q226" i="3"/>
  <c r="R166" i="5"/>
  <c r="R83" i="5"/>
  <c r="R167" i="5" s="1"/>
  <c r="R42" i="5"/>
  <c r="P193" i="5" s="1"/>
  <c r="P194" i="5" s="1"/>
  <c r="Q252" i="8"/>
  <c r="O227" i="24"/>
  <c r="O233" i="24" s="1"/>
  <c r="O230" i="27"/>
  <c r="O225" i="27"/>
  <c r="O226" i="27"/>
  <c r="O227" i="27"/>
  <c r="O232" i="11"/>
  <c r="Q234" i="21"/>
  <c r="O257" i="15"/>
  <c r="Q244" i="5"/>
  <c r="R50" i="1"/>
  <c r="P206" i="4"/>
  <c r="Q250" i="4"/>
  <c r="Q254" i="4"/>
  <c r="Q253" i="4"/>
  <c r="Q249" i="4"/>
  <c r="P258" i="4"/>
  <c r="Q252" i="4"/>
  <c r="Q248" i="4"/>
  <c r="R181" i="8"/>
  <c r="R179" i="8"/>
  <c r="R116" i="8"/>
  <c r="R126" i="8" s="1"/>
  <c r="R127" i="8" s="1"/>
  <c r="P128" i="10"/>
  <c r="R50" i="19"/>
  <c r="R35" i="19"/>
  <c r="Q225" i="20"/>
  <c r="P260" i="20"/>
  <c r="Q230" i="20"/>
  <c r="Q226" i="20"/>
  <c r="Q229" i="20"/>
  <c r="O224" i="27"/>
  <c r="O257" i="18"/>
  <c r="Q256" i="6"/>
  <c r="O245" i="17"/>
  <c r="O245" i="15"/>
  <c r="O240" i="3"/>
  <c r="R42" i="1"/>
  <c r="R132" i="1"/>
  <c r="R140" i="1" s="1"/>
  <c r="R143" i="1"/>
  <c r="R145" i="1" s="1"/>
  <c r="P125" i="1"/>
  <c r="P95" i="2"/>
  <c r="P125" i="2" s="1"/>
  <c r="R51" i="3"/>
  <c r="R143" i="3"/>
  <c r="R145" i="3" s="1"/>
  <c r="R35" i="4"/>
  <c r="R50" i="4"/>
  <c r="P206" i="5"/>
  <c r="Q253" i="5"/>
  <c r="Q249" i="5"/>
  <c r="Q252" i="5"/>
  <c r="Q248" i="5"/>
  <c r="Q256" i="5" s="1"/>
  <c r="Q251" i="5"/>
  <c r="R50" i="7"/>
  <c r="R35" i="7"/>
  <c r="Q223" i="8"/>
  <c r="Q227" i="8"/>
  <c r="Q224" i="8"/>
  <c r="Q228" i="8"/>
  <c r="Q225" i="8"/>
  <c r="Q229" i="8"/>
  <c r="P127" i="8"/>
  <c r="R114" i="2"/>
  <c r="R124" i="2" s="1"/>
  <c r="R125" i="2" s="1"/>
  <c r="R177" i="2"/>
  <c r="Q241" i="10"/>
  <c r="R35" i="10"/>
  <c r="R183" i="15"/>
  <c r="R181" i="15"/>
  <c r="R118" i="15"/>
  <c r="R128" i="15" s="1"/>
  <c r="R129" i="15" s="1"/>
  <c r="P197" i="15"/>
  <c r="O256" i="4"/>
  <c r="Q258" i="20"/>
  <c r="Q219" i="2"/>
  <c r="Q221" i="2"/>
  <c r="Q226" i="2"/>
  <c r="Q222" i="2"/>
  <c r="Q224" i="2"/>
  <c r="P127" i="6"/>
  <c r="O232" i="7"/>
  <c r="R181" i="7"/>
  <c r="R179" i="7"/>
  <c r="R116" i="7"/>
  <c r="R126" i="7" s="1"/>
  <c r="R127" i="7" s="1"/>
  <c r="Q233" i="9"/>
  <c r="P206" i="10"/>
  <c r="Q239" i="10"/>
  <c r="Q242" i="10"/>
  <c r="Q237" i="10"/>
  <c r="Q240" i="10"/>
  <c r="Q235" i="10"/>
  <c r="Q238" i="10"/>
  <c r="R183" i="13"/>
  <c r="R129" i="13"/>
  <c r="R181" i="13"/>
  <c r="R168" i="16"/>
  <c r="R83" i="16"/>
  <c r="R169" i="16" s="1"/>
  <c r="R128" i="16"/>
  <c r="R129" i="16" s="1"/>
  <c r="Q233" i="17"/>
  <c r="R51" i="17"/>
  <c r="R147" i="17"/>
  <c r="R149" i="17" s="1"/>
  <c r="O257" i="17"/>
  <c r="R183" i="18"/>
  <c r="R118" i="18"/>
  <c r="R128" i="18" s="1"/>
  <c r="R129" i="18" s="1"/>
  <c r="R181" i="18"/>
  <c r="P212" i="13"/>
  <c r="R161" i="13"/>
  <c r="R163" i="13" s="1"/>
  <c r="P211" i="10"/>
  <c r="R160" i="10"/>
  <c r="R162" i="10" s="1"/>
  <c r="P210" i="7"/>
  <c r="P211" i="7" s="1"/>
  <c r="P211" i="8" s="1"/>
  <c r="P212" i="9" s="1"/>
  <c r="R159" i="7"/>
  <c r="R161" i="7" s="1"/>
  <c r="Q224" i="19"/>
  <c r="Q229" i="19"/>
  <c r="Q225" i="19"/>
  <c r="Q228" i="19"/>
  <c r="Q231" i="19"/>
  <c r="Q227" i="19"/>
  <c r="R132" i="2"/>
  <c r="R140" i="2" s="1"/>
  <c r="O244" i="2"/>
  <c r="O224" i="3"/>
  <c r="O228" i="3" s="1"/>
  <c r="O238" i="4"/>
  <c r="O244" i="4" s="1"/>
  <c r="O253" i="5"/>
  <c r="O248" i="5"/>
  <c r="Q240" i="7"/>
  <c r="Q236" i="7"/>
  <c r="O224" i="12"/>
  <c r="O225" i="12"/>
  <c r="N259" i="12"/>
  <c r="O228" i="12"/>
  <c r="R70" i="14"/>
  <c r="O245" i="16"/>
  <c r="R51" i="16"/>
  <c r="R136" i="16"/>
  <c r="Q257" i="18"/>
  <c r="R67" i="20"/>
  <c r="R70" i="20" s="1"/>
  <c r="O207" i="24"/>
  <c r="O249" i="24"/>
  <c r="O253" i="24"/>
  <c r="O250" i="24"/>
  <c r="O254" i="24"/>
  <c r="O248" i="24"/>
  <c r="O251" i="24"/>
  <c r="O255" i="24"/>
  <c r="O252" i="24"/>
  <c r="O256" i="33"/>
  <c r="O252" i="33"/>
  <c r="O255" i="33"/>
  <c r="O251" i="33"/>
  <c r="O254" i="33"/>
  <c r="O250" i="33"/>
  <c r="O208" i="33"/>
  <c r="O253" i="33"/>
  <c r="N272" i="33"/>
  <c r="O249" i="33"/>
  <c r="O250" i="2"/>
  <c r="R98" i="10"/>
  <c r="R98" i="11"/>
  <c r="R67" i="17"/>
  <c r="R70" i="17" s="1"/>
  <c r="N70" i="17"/>
  <c r="Q243" i="30"/>
  <c r="Q241" i="30"/>
  <c r="Q243" i="31"/>
  <c r="Q241" i="31"/>
  <c r="Q242" i="7"/>
  <c r="O206" i="11"/>
  <c r="O238" i="11"/>
  <c r="O235" i="11"/>
  <c r="O242" i="11"/>
  <c r="R51" i="12"/>
  <c r="R147" i="12"/>
  <c r="R149" i="12" s="1"/>
  <c r="Q224" i="15"/>
  <c r="Q233" i="15" s="1"/>
  <c r="P259" i="15"/>
  <c r="R34" i="17"/>
  <c r="R42" i="17" s="1"/>
  <c r="P195" i="17" s="1"/>
  <c r="P196" i="17" s="1"/>
  <c r="P121" i="16"/>
  <c r="P128" i="16" s="1"/>
  <c r="P129" i="16" s="1"/>
  <c r="R175" i="16"/>
  <c r="P202" i="18"/>
  <c r="L70" i="18"/>
  <c r="R67" i="18"/>
  <c r="R70" i="18" s="1"/>
  <c r="R51" i="19"/>
  <c r="R147" i="19"/>
  <c r="P99" i="20"/>
  <c r="P129" i="20" s="1"/>
  <c r="P98" i="25"/>
  <c r="P128" i="25" s="1"/>
  <c r="Q239" i="11"/>
  <c r="Q244" i="11" s="1"/>
  <c r="P258" i="11"/>
  <c r="P206" i="11"/>
  <c r="Q253" i="14"/>
  <c r="Q257" i="14" s="1"/>
  <c r="R67" i="19"/>
  <c r="R70" i="19" s="1"/>
  <c r="O232" i="20"/>
  <c r="O225" i="21"/>
  <c r="O226" i="21"/>
  <c r="O237" i="23"/>
  <c r="O241" i="23"/>
  <c r="N271" i="23"/>
  <c r="P233" i="25"/>
  <c r="Q228" i="25" s="1"/>
  <c r="R160" i="25"/>
  <c r="R162" i="25" s="1"/>
  <c r="O236" i="26"/>
  <c r="O243" i="26"/>
  <c r="N271" i="26"/>
  <c r="O237" i="26"/>
  <c r="O239" i="26"/>
  <c r="N69" i="26"/>
  <c r="P98" i="28"/>
  <c r="P128" i="28" s="1"/>
  <c r="P207" i="30"/>
  <c r="Q254" i="30"/>
  <c r="Q252" i="30"/>
  <c r="Q250" i="30"/>
  <c r="Q248" i="30"/>
  <c r="Q255" i="30"/>
  <c r="Q249" i="30"/>
  <c r="Q251" i="30"/>
  <c r="P129" i="35"/>
  <c r="Q227" i="13"/>
  <c r="Q233" i="13" s="1"/>
  <c r="O231" i="13"/>
  <c r="O226" i="13"/>
  <c r="O227" i="16"/>
  <c r="O233" i="16" s="1"/>
  <c r="Q255" i="19"/>
  <c r="Q251" i="19"/>
  <c r="O228" i="20"/>
  <c r="O234" i="20" s="1"/>
  <c r="R136" i="20"/>
  <c r="P207" i="25"/>
  <c r="Q249" i="25"/>
  <c r="Q252" i="25"/>
  <c r="Q255" i="25"/>
  <c r="Q250" i="25"/>
  <c r="Q253" i="25"/>
  <c r="Q251" i="25"/>
  <c r="O230" i="13"/>
  <c r="R51" i="21"/>
  <c r="R147" i="21"/>
  <c r="R136" i="21"/>
  <c r="R67" i="21"/>
  <c r="R70" i="21" s="1"/>
  <c r="O251" i="23"/>
  <c r="O248" i="23"/>
  <c r="R98" i="23"/>
  <c r="Q269" i="25"/>
  <c r="P208" i="26"/>
  <c r="Q266" i="26"/>
  <c r="Q269" i="26" s="1"/>
  <c r="P202" i="29"/>
  <c r="L69" i="29"/>
  <c r="R34" i="30"/>
  <c r="R42" i="30" s="1"/>
  <c r="P195" i="30" s="1"/>
  <c r="P196" i="30" s="1"/>
  <c r="P208" i="30"/>
  <c r="Q267" i="30"/>
  <c r="Q265" i="30"/>
  <c r="Q263" i="30"/>
  <c r="Q261" i="30"/>
  <c r="Q257" i="31"/>
  <c r="R50" i="33"/>
  <c r="R34" i="35"/>
  <c r="R42" i="35" s="1"/>
  <c r="P196" i="35" s="1"/>
  <c r="P197" i="35" s="1"/>
  <c r="P272" i="35"/>
  <c r="P209" i="35"/>
  <c r="O239" i="25"/>
  <c r="O245" i="25" s="1"/>
  <c r="O252" i="26"/>
  <c r="O249" i="26"/>
  <c r="Q263" i="27"/>
  <c r="Q269" i="27" s="1"/>
  <c r="Q248" i="28"/>
  <c r="Q250" i="28"/>
  <c r="Q252" i="28"/>
  <c r="O267" i="29"/>
  <c r="O263" i="29"/>
  <c r="O260" i="29"/>
  <c r="O266" i="29"/>
  <c r="O262" i="29"/>
  <c r="O265" i="29"/>
  <c r="O261" i="29"/>
  <c r="O208" i="29"/>
  <c r="P98" i="30"/>
  <c r="P128" i="30" s="1"/>
  <c r="R50" i="34"/>
  <c r="P208" i="35"/>
  <c r="Q256" i="35"/>
  <c r="Q254" i="35"/>
  <c r="Q252" i="35"/>
  <c r="Q250" i="35"/>
  <c r="O255" i="26"/>
  <c r="O251" i="26"/>
  <c r="Q262" i="30"/>
  <c r="Q266" i="30"/>
  <c r="R50" i="31"/>
  <c r="Q255" i="32"/>
  <c r="Q257" i="32" s="1"/>
  <c r="P207" i="32"/>
  <c r="R34" i="33"/>
  <c r="R42" i="33" s="1"/>
  <c r="P196" i="33" s="1"/>
  <c r="P197" i="33" s="1"/>
  <c r="R98" i="33"/>
  <c r="R34" i="34"/>
  <c r="R42" i="34" s="1"/>
  <c r="P196" i="34" s="1"/>
  <c r="P197" i="34" s="1"/>
  <c r="R50" i="35"/>
  <c r="Q243" i="35"/>
  <c r="Q241" i="35"/>
  <c r="Q239" i="35"/>
  <c r="Q237" i="35"/>
  <c r="Q244" i="35"/>
  <c r="Q242" i="35"/>
  <c r="Q240" i="35"/>
  <c r="Q238" i="35"/>
  <c r="Q255" i="35"/>
  <c r="O249" i="36"/>
  <c r="O255" i="36"/>
  <c r="O253" i="36"/>
  <c r="O251" i="36"/>
  <c r="O256" i="36"/>
  <c r="O254" i="36"/>
  <c r="O252" i="36"/>
  <c r="O250" i="36"/>
  <c r="O208" i="36"/>
  <c r="R176" i="36"/>
  <c r="O254" i="30"/>
  <c r="O257" i="30" s="1"/>
  <c r="O261" i="30"/>
  <c r="O263" i="30"/>
  <c r="O265" i="30"/>
  <c r="O267" i="30"/>
  <c r="O250" i="31"/>
  <c r="O252" i="31"/>
  <c r="O254" i="31"/>
  <c r="O207" i="32"/>
  <c r="R51" i="33"/>
  <c r="R147" i="33"/>
  <c r="Q246" i="37"/>
  <c r="O239" i="33"/>
  <c r="O243" i="33"/>
  <c r="O243" i="35"/>
  <c r="O246" i="35" s="1"/>
  <c r="O229" i="37"/>
  <c r="O240" i="33"/>
  <c r="Q232" i="37"/>
  <c r="Q230" i="37"/>
  <c r="Q228" i="37"/>
  <c r="O231" i="37"/>
  <c r="O227" i="37"/>
  <c r="O232" i="37"/>
  <c r="O230" i="37"/>
  <c r="O228" i="37"/>
  <c r="R82" i="37"/>
  <c r="R170" i="37" s="1"/>
  <c r="R169" i="37"/>
  <c r="Q244" i="4" l="1"/>
  <c r="P198" i="36"/>
  <c r="R118" i="36"/>
  <c r="R128" i="36" s="1"/>
  <c r="R129" i="36" s="1"/>
  <c r="R184" i="36"/>
  <c r="R182" i="36"/>
  <c r="R181" i="31"/>
  <c r="R117" i="31"/>
  <c r="R127" i="31" s="1"/>
  <c r="R128" i="31" s="1"/>
  <c r="R183" i="31"/>
  <c r="P197" i="31"/>
  <c r="R118" i="20"/>
  <c r="R128" i="20" s="1"/>
  <c r="R129" i="20" s="1"/>
  <c r="P198" i="20"/>
  <c r="R182" i="20"/>
  <c r="R184" i="20"/>
  <c r="R168" i="12"/>
  <c r="R83" i="12"/>
  <c r="R169" i="12" s="1"/>
  <c r="O233" i="13"/>
  <c r="Q269" i="28"/>
  <c r="Q246" i="21"/>
  <c r="Q224" i="24"/>
  <c r="Q226" i="24"/>
  <c r="Q228" i="24"/>
  <c r="Q230" i="24"/>
  <c r="Q225" i="24"/>
  <c r="Q227" i="24"/>
  <c r="Q229" i="24"/>
  <c r="Q231" i="24"/>
  <c r="Q227" i="28"/>
  <c r="Q231" i="28"/>
  <c r="Q228" i="28"/>
  <c r="Q224" i="28"/>
  <c r="Q225" i="28"/>
  <c r="Q229" i="28"/>
  <c r="Q226" i="28"/>
  <c r="Q230" i="28"/>
  <c r="P198" i="21"/>
  <c r="R184" i="21"/>
  <c r="R182" i="21"/>
  <c r="R118" i="21"/>
  <c r="R128" i="21" s="1"/>
  <c r="R129" i="21" s="1"/>
  <c r="R179" i="3"/>
  <c r="R114" i="3"/>
  <c r="R124" i="3" s="1"/>
  <c r="R125" i="3" s="1"/>
  <c r="R177" i="3"/>
  <c r="P193" i="3"/>
  <c r="P195" i="6"/>
  <c r="R179" i="6"/>
  <c r="R181" i="6"/>
  <c r="R116" i="6"/>
  <c r="R126" i="6" s="1"/>
  <c r="R127" i="6" s="1"/>
  <c r="O257" i="26"/>
  <c r="Q269" i="30"/>
  <c r="P212" i="10"/>
  <c r="P212" i="11" s="1"/>
  <c r="P213" i="12" s="1"/>
  <c r="P213" i="13" s="1"/>
  <c r="P213" i="14" s="1"/>
  <c r="P213" i="15" s="1"/>
  <c r="P213" i="16" s="1"/>
  <c r="P213" i="17" s="1"/>
  <c r="P213" i="18" s="1"/>
  <c r="P213" i="19" s="1"/>
  <c r="P214" i="20" s="1"/>
  <c r="P214" i="21" s="1"/>
  <c r="P213" i="22" s="1"/>
  <c r="P213" i="23" s="1"/>
  <c r="P213" i="24" s="1"/>
  <c r="P213" i="25" s="1"/>
  <c r="P213" i="26" s="1"/>
  <c r="P213" i="27" s="1"/>
  <c r="P213" i="28" s="1"/>
  <c r="P213" i="29" s="1"/>
  <c r="P213" i="30" s="1"/>
  <c r="P213" i="31" s="1"/>
  <c r="P213" i="32" s="1"/>
  <c r="P214" i="33" s="1"/>
  <c r="P214" i="34" s="1"/>
  <c r="P214" i="35" s="1"/>
  <c r="P214" i="36" s="1"/>
  <c r="P214" i="37" s="1"/>
  <c r="P214" i="38" s="1"/>
  <c r="P214" i="39" s="1"/>
  <c r="P214" i="40" s="1"/>
  <c r="P214" i="41" s="1"/>
  <c r="P214" i="42" s="1"/>
  <c r="P214" i="43" s="1"/>
  <c r="P214" i="44" s="1"/>
  <c r="P214" i="45" s="1"/>
  <c r="P214" i="46" s="1"/>
  <c r="P214" i="47" s="1"/>
  <c r="R168" i="26"/>
  <c r="R82" i="26"/>
  <c r="R169" i="26" s="1"/>
  <c r="Q227" i="27"/>
  <c r="Q231" i="27"/>
  <c r="Q224" i="27"/>
  <c r="Q228" i="27"/>
  <c r="Q225" i="27"/>
  <c r="Q229" i="27"/>
  <c r="Q226" i="27"/>
  <c r="Q230" i="27"/>
  <c r="Q234" i="33"/>
  <c r="O269" i="30"/>
  <c r="Q258" i="35"/>
  <c r="O257" i="23"/>
  <c r="Q257" i="25"/>
  <c r="Q257" i="19"/>
  <c r="O234" i="21"/>
  <c r="Q245" i="30"/>
  <c r="Q256" i="4"/>
  <c r="Q233" i="30"/>
  <c r="O233" i="23"/>
  <c r="O224" i="25"/>
  <c r="R181" i="30"/>
  <c r="P197" i="30"/>
  <c r="R183" i="30"/>
  <c r="R117" i="30"/>
  <c r="R127" i="30" s="1"/>
  <c r="R128" i="30" s="1"/>
  <c r="R117" i="25"/>
  <c r="R127" i="25" s="1"/>
  <c r="R128" i="25" s="1"/>
  <c r="P197" i="25"/>
  <c r="R181" i="25"/>
  <c r="R183" i="25"/>
  <c r="O246" i="33"/>
  <c r="O257" i="28"/>
  <c r="Q230" i="32"/>
  <c r="Q231" i="32"/>
  <c r="Q225" i="32"/>
  <c r="Q224" i="32"/>
  <c r="Q226" i="32"/>
  <c r="Q227" i="32"/>
  <c r="Q228" i="32"/>
  <c r="Q229" i="32"/>
  <c r="P197" i="26"/>
  <c r="R183" i="26"/>
  <c r="R117" i="26"/>
  <c r="R127" i="26" s="1"/>
  <c r="R128" i="26" s="1"/>
  <c r="R181" i="26"/>
  <c r="O245" i="23"/>
  <c r="Q245" i="31"/>
  <c r="O256" i="5"/>
  <c r="O252" i="2"/>
  <c r="O258" i="35"/>
  <c r="R183" i="28"/>
  <c r="P197" i="28"/>
  <c r="R117" i="28"/>
  <c r="R127" i="28" s="1"/>
  <c r="R128" i="28" s="1"/>
  <c r="R181" i="28"/>
  <c r="R181" i="19"/>
  <c r="P197" i="19"/>
  <c r="R183" i="19"/>
  <c r="R118" i="19"/>
  <c r="R128" i="19" s="1"/>
  <c r="R129" i="19" s="1"/>
  <c r="R83" i="8"/>
  <c r="R167" i="8" s="1"/>
  <c r="R166" i="8"/>
  <c r="R83" i="7"/>
  <c r="R167" i="7" s="1"/>
  <c r="R166" i="7"/>
  <c r="O257" i="31"/>
  <c r="R184" i="33"/>
  <c r="P198" i="33"/>
  <c r="R118" i="33"/>
  <c r="R128" i="33" s="1"/>
  <c r="R129" i="33" s="1"/>
  <c r="R182" i="33"/>
  <c r="Q257" i="28"/>
  <c r="R83" i="21"/>
  <c r="R170" i="21" s="1"/>
  <c r="R169" i="21"/>
  <c r="Q257" i="30"/>
  <c r="R168" i="19"/>
  <c r="R83" i="19"/>
  <c r="R169" i="19" s="1"/>
  <c r="O244" i="11"/>
  <c r="R169" i="20"/>
  <c r="R83" i="20"/>
  <c r="R170" i="20" s="1"/>
  <c r="Q246" i="35"/>
  <c r="O258" i="36"/>
  <c r="P197" i="23"/>
  <c r="R183" i="23"/>
  <c r="R117" i="23"/>
  <c r="R127" i="23" s="1"/>
  <c r="R128" i="23" s="1"/>
  <c r="R181" i="23"/>
  <c r="Q226" i="25"/>
  <c r="Q227" i="25"/>
  <c r="Q230" i="25"/>
  <c r="Q224" i="25"/>
  <c r="Q225" i="25"/>
  <c r="Q229" i="25"/>
  <c r="R83" i="18"/>
  <c r="R169" i="18" s="1"/>
  <c r="R168" i="18"/>
  <c r="R168" i="17"/>
  <c r="R83" i="17"/>
  <c r="R169" i="17" s="1"/>
  <c r="O258" i="33"/>
  <c r="R83" i="14"/>
  <c r="R169" i="14" s="1"/>
  <c r="R168" i="14"/>
  <c r="O233" i="12"/>
  <c r="O233" i="27"/>
  <c r="P196" i="11"/>
  <c r="R117" i="11"/>
  <c r="R127" i="11" s="1"/>
  <c r="R128" i="11" s="1"/>
  <c r="R180" i="11"/>
  <c r="R182" i="11"/>
  <c r="O257" i="24"/>
  <c r="Q244" i="7"/>
  <c r="Q244" i="10"/>
  <c r="Q232" i="8"/>
  <c r="Q234" i="20"/>
  <c r="O172" i="6"/>
  <c r="Q232" i="10"/>
  <c r="Q233" i="22"/>
  <c r="O269" i="29"/>
  <c r="O245" i="26"/>
  <c r="R117" i="10"/>
  <c r="R127" i="10" s="1"/>
  <c r="R128" i="10" s="1"/>
  <c r="R180" i="10"/>
  <c r="P196" i="10"/>
  <c r="R182" i="10"/>
  <c r="Q233" i="19"/>
  <c r="Q228" i="2"/>
  <c r="P191" i="1"/>
  <c r="P192" i="1" s="1"/>
  <c r="P188" i="1"/>
  <c r="P189" i="1" s="1"/>
  <c r="Q228" i="3"/>
  <c r="Q233" i="31"/>
  <c r="O244" i="8"/>
  <c r="Q256" i="8"/>
  <c r="O173" i="2"/>
  <c r="R172" i="2"/>
  <c r="P170" i="3"/>
  <c r="O234" i="36"/>
  <c r="Q231" i="25"/>
  <c r="O233" i="25"/>
  <c r="Q234" i="37"/>
  <c r="O234" i="37"/>
  <c r="Q233" i="28" l="1"/>
  <c r="Q233" i="24"/>
  <c r="Q233" i="27"/>
  <c r="Q233" i="32"/>
  <c r="O174" i="6"/>
  <c r="P172" i="3"/>
  <c r="R170" i="3"/>
  <c r="Q233" i="25"/>
  <c r="O173" i="3" l="1"/>
  <c r="P172" i="4"/>
  <c r="R172" i="3"/>
  <c r="O172" i="7"/>
  <c r="O174" i="7" l="1"/>
  <c r="P174" i="4"/>
  <c r="R172" i="4"/>
  <c r="O172" i="8" l="1"/>
  <c r="R174" i="4"/>
  <c r="P172" i="5"/>
  <c r="O175" i="4"/>
  <c r="O174" i="8" l="1"/>
  <c r="P174" i="5"/>
  <c r="R172" i="5"/>
  <c r="O173" i="9" l="1"/>
  <c r="P172" i="6"/>
  <c r="R174" i="5"/>
  <c r="O175" i="5"/>
  <c r="P174" i="6" l="1"/>
  <c r="R172" i="6"/>
  <c r="O175" i="9"/>
  <c r="O173" i="10" l="1"/>
  <c r="P172" i="7"/>
  <c r="R174" i="6"/>
  <c r="O175" i="6"/>
  <c r="P174" i="7" l="1"/>
  <c r="R172" i="7"/>
  <c r="O175" i="10"/>
  <c r="O173" i="11" l="1"/>
  <c r="P172" i="8"/>
  <c r="O175" i="7"/>
  <c r="R174" i="7"/>
  <c r="P174" i="8" l="1"/>
  <c r="R172" i="8"/>
  <c r="O175" i="11"/>
  <c r="O174" i="12" l="1"/>
  <c r="P173" i="9"/>
  <c r="O175" i="8"/>
  <c r="R174" i="8"/>
  <c r="P175" i="9" l="1"/>
  <c r="R173" i="9"/>
  <c r="O176" i="12"/>
  <c r="O174" i="13" l="1"/>
  <c r="P173" i="10"/>
  <c r="O176" i="9"/>
  <c r="R175" i="9"/>
  <c r="P175" i="10" l="1"/>
  <c r="R173" i="10"/>
  <c r="O176" i="13"/>
  <c r="O174" i="14" l="1"/>
  <c r="P173" i="11"/>
  <c r="R175" i="10"/>
  <c r="O176" i="10"/>
  <c r="P175" i="11" l="1"/>
  <c r="R173" i="11"/>
  <c r="O176" i="14"/>
  <c r="O174" i="15" l="1"/>
  <c r="P174" i="12"/>
  <c r="R175" i="11"/>
  <c r="O176" i="11"/>
  <c r="P176" i="12" l="1"/>
  <c r="R174" i="12"/>
  <c r="O176" i="15"/>
  <c r="O174" i="16" l="1"/>
  <c r="P174" i="13"/>
  <c r="R176" i="12"/>
  <c r="O177" i="12"/>
  <c r="P176" i="13" l="1"/>
  <c r="R174" i="13"/>
  <c r="O176" i="16"/>
  <c r="O174" i="17" l="1"/>
  <c r="P174" i="14"/>
  <c r="O177" i="13"/>
  <c r="R176" i="13"/>
  <c r="P176" i="14" l="1"/>
  <c r="R174" i="14"/>
  <c r="O176" i="17"/>
  <c r="O174" i="18" l="1"/>
  <c r="P174" i="15"/>
  <c r="R176" i="14"/>
  <c r="O177" i="14"/>
  <c r="O176" i="18" l="1"/>
  <c r="P176" i="15"/>
  <c r="R174" i="15"/>
  <c r="O174" i="19" l="1"/>
  <c r="P174" i="16"/>
  <c r="O177" i="15"/>
  <c r="R176" i="15"/>
  <c r="O176" i="19" l="1"/>
  <c r="P176" i="16"/>
  <c r="R174" i="16"/>
  <c r="P174" i="17" l="1"/>
  <c r="O177" i="16"/>
  <c r="R176" i="16"/>
  <c r="O175" i="20"/>
  <c r="O177" i="20" l="1"/>
  <c r="P176" i="17"/>
  <c r="R174" i="17"/>
  <c r="P174" i="18" l="1"/>
  <c r="O177" i="17"/>
  <c r="R176" i="17"/>
  <c r="O175" i="21"/>
  <c r="O177" i="21" l="1"/>
  <c r="P176" i="18"/>
  <c r="R174" i="18"/>
  <c r="P174" i="19" l="1"/>
  <c r="O177" i="18"/>
  <c r="R176" i="18"/>
  <c r="O174" i="22"/>
  <c r="O176" i="22" l="1"/>
  <c r="P176" i="19"/>
  <c r="R174" i="19"/>
  <c r="P175" i="20" l="1"/>
  <c r="R176" i="19"/>
  <c r="O177" i="19"/>
  <c r="O174" i="23"/>
  <c r="O176" i="23" l="1"/>
  <c r="P177" i="20"/>
  <c r="R175" i="20"/>
  <c r="P175" i="21" l="1"/>
  <c r="R177" i="20"/>
  <c r="O178" i="20"/>
  <c r="O174" i="24"/>
  <c r="O176" i="24" l="1"/>
  <c r="P177" i="21"/>
  <c r="R175" i="21"/>
  <c r="P174" i="22" l="1"/>
  <c r="O178" i="21"/>
  <c r="R177" i="21"/>
  <c r="O174" i="25"/>
  <c r="O176" i="25" l="1"/>
  <c r="P176" i="22"/>
  <c r="R174" i="22"/>
  <c r="P174" i="23" l="1"/>
  <c r="O177" i="22"/>
  <c r="R176" i="22"/>
  <c r="O174" i="26"/>
  <c r="O176" i="26" l="1"/>
  <c r="P176" i="23"/>
  <c r="R174" i="23"/>
  <c r="P174" i="24" l="1"/>
  <c r="R176" i="23"/>
  <c r="O177" i="23"/>
  <c r="O174" i="27"/>
  <c r="O176" i="27" l="1"/>
  <c r="P176" i="24"/>
  <c r="R174" i="24"/>
  <c r="P174" i="25" l="1"/>
  <c r="O177" i="24"/>
  <c r="R176" i="24"/>
  <c r="O174" i="28"/>
  <c r="O176" i="28" l="1"/>
  <c r="P176" i="25"/>
  <c r="R174" i="25"/>
  <c r="P174" i="26" l="1"/>
  <c r="O177" i="25"/>
  <c r="R176" i="25"/>
  <c r="O174" i="29"/>
  <c r="O176" i="29" l="1"/>
  <c r="P176" i="26"/>
  <c r="R174" i="26"/>
  <c r="O174" i="30" l="1"/>
  <c r="P174" i="27"/>
  <c r="R176" i="26"/>
  <c r="O177" i="26"/>
  <c r="O176" i="30" l="1"/>
  <c r="P176" i="27"/>
  <c r="R174" i="27"/>
  <c r="P174" i="28" l="1"/>
  <c r="R176" i="27"/>
  <c r="O177" i="27"/>
  <c r="O174" i="31"/>
  <c r="O176" i="31" l="1"/>
  <c r="P176" i="28"/>
  <c r="R174" i="28"/>
  <c r="P174" i="29" l="1"/>
  <c r="R176" i="28"/>
  <c r="O177" i="28"/>
  <c r="O174" i="32"/>
  <c r="O176" i="32" l="1"/>
  <c r="P176" i="29"/>
  <c r="R174" i="29"/>
  <c r="P174" i="30" l="1"/>
  <c r="R176" i="29"/>
  <c r="O177" i="29"/>
  <c r="O175" i="33"/>
  <c r="O177" i="33" l="1"/>
  <c r="P176" i="30"/>
  <c r="R174" i="30"/>
  <c r="P174" i="31" l="1"/>
  <c r="R176" i="30"/>
  <c r="O177" i="30"/>
  <c r="O175" i="34"/>
  <c r="O177" i="34" l="1"/>
  <c r="P176" i="31"/>
  <c r="R174" i="31"/>
  <c r="P174" i="32" l="1"/>
  <c r="R176" i="31"/>
  <c r="O177" i="31"/>
  <c r="O175" i="35"/>
  <c r="O177" i="35" l="1"/>
  <c r="P176" i="32"/>
  <c r="R174" i="32"/>
  <c r="P175" i="33" l="1"/>
  <c r="R176" i="32"/>
  <c r="O177" i="32"/>
  <c r="O175" i="36"/>
  <c r="O177" i="36" l="1"/>
  <c r="P177" i="33"/>
  <c r="R175" i="33"/>
  <c r="P175" i="34" l="1"/>
  <c r="O178" i="33"/>
  <c r="R177" i="33"/>
  <c r="O175" i="37"/>
  <c r="O177" i="37" l="1"/>
  <c r="P177" i="34"/>
  <c r="R175" i="34"/>
  <c r="P175" i="35" l="1"/>
  <c r="R177" i="34"/>
  <c r="O178" i="34"/>
  <c r="O175" i="38"/>
  <c r="O177" i="38" l="1"/>
  <c r="P177" i="35"/>
  <c r="R175" i="35"/>
  <c r="P175" i="36" l="1"/>
  <c r="R177" i="35"/>
  <c r="O178" i="35"/>
  <c r="O175" i="39"/>
  <c r="O177" i="39" l="1"/>
  <c r="P177" i="36"/>
  <c r="R175" i="36"/>
  <c r="P175" i="37" l="1"/>
  <c r="R177" i="36"/>
  <c r="O178" i="36"/>
  <c r="O175" i="40"/>
  <c r="O177" i="40" l="1"/>
  <c r="P177" i="37"/>
  <c r="R175" i="37"/>
  <c r="P175" i="38" l="1"/>
  <c r="O178" i="37"/>
  <c r="R177" i="37"/>
  <c r="O175" i="41"/>
  <c r="O177" i="41" l="1"/>
  <c r="O175" i="42" s="1"/>
  <c r="P177" i="38"/>
  <c r="R175" i="38"/>
  <c r="O177" i="42" l="1"/>
  <c r="O175" i="43" s="1"/>
  <c r="O177" i="43" s="1"/>
  <c r="P175" i="39"/>
  <c r="R177" i="38"/>
  <c r="O178" i="38"/>
  <c r="O175" i="44" l="1"/>
  <c r="P177" i="39"/>
  <c r="R175" i="39"/>
  <c r="O177" i="44" l="1"/>
  <c r="P175" i="40"/>
  <c r="O178" i="39"/>
  <c r="R177" i="39"/>
  <c r="O175" i="45" l="1"/>
  <c r="P177" i="40"/>
  <c r="R175" i="40"/>
  <c r="O177" i="45" l="1"/>
  <c r="P175" i="41"/>
  <c r="R177" i="40"/>
  <c r="O178" i="40"/>
  <c r="O175" i="46" l="1"/>
  <c r="P177" i="41"/>
  <c r="P175" i="42" s="1"/>
  <c r="R175" i="41"/>
  <c r="O177" i="46" l="1"/>
  <c r="P177" i="42"/>
  <c r="P175" i="43" s="1"/>
  <c r="R175" i="42"/>
  <c r="R177" i="41"/>
  <c r="O178" i="41"/>
  <c r="R175" i="43" l="1"/>
  <c r="P177" i="43"/>
  <c r="O175" i="47"/>
  <c r="O178" i="42"/>
  <c r="R177" i="42"/>
  <c r="P175" i="44" l="1"/>
  <c r="O178" i="43"/>
  <c r="R177" i="43"/>
  <c r="O177" i="47"/>
  <c r="P177" i="44" l="1"/>
  <c r="R175" i="44"/>
  <c r="P175" i="45" l="1"/>
  <c r="R177" i="44"/>
  <c r="O178" i="44"/>
  <c r="P177" i="45" l="1"/>
  <c r="R175" i="45"/>
  <c r="P175" i="46" l="1"/>
  <c r="R177" i="45"/>
  <c r="O178" i="45"/>
  <c r="P177" i="46" l="1"/>
  <c r="R175" i="46"/>
  <c r="P175" i="47" l="1"/>
  <c r="O178" i="46"/>
  <c r="R177" i="46"/>
  <c r="P177" i="47" l="1"/>
  <c r="R175" i="47"/>
  <c r="R177" i="47" l="1"/>
  <c r="O178" i="47"/>
</calcChain>
</file>

<file path=xl/sharedStrings.xml><?xml version="1.0" encoding="utf-8"?>
<sst xmlns="http://schemas.openxmlformats.org/spreadsheetml/2006/main" count="18873" uniqueCount="348">
  <si>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</si>
  <si>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</si>
  <si>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</si>
  <si>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</si>
  <si>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</si>
  <si>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</si>
  <si>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</si>
  <si>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</si>
  <si>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</si>
  <si>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</si>
  <si>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Current Standard &amp; Poors Rating</t>
  </si>
  <si>
    <t>ISIN</t>
  </si>
  <si>
    <t xml:space="preserve">Note Interest Margins: </t>
  </si>
  <si>
    <t>Current Note Interest Rates:</t>
  </si>
  <si>
    <t>Previous Note Interest Rates:</t>
  </si>
  <si>
    <t>Optional Redemption (Call) Dates</t>
  </si>
  <si>
    <t>Step-up Dates</t>
  </si>
  <si>
    <t>Class B Notes as a percentage Class A Notes at issue</t>
  </si>
  <si>
    <t>Outstanding Class B Notes as a percentage of Outstanding Class A Notes</t>
  </si>
  <si>
    <t>Determination Event for Paying Class B Notes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</si>
  <si>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</si>
  <si>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</si>
  <si>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</si>
  <si>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</si>
  <si>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</si>
  <si>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</si>
  <si>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</si>
  <si>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</si>
  <si>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</si>
  <si>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</si>
  <si>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</si>
  <si>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</si>
  <si>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</si>
  <si>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</si>
  <si>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Total revenue cash received this period from assets</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</si>
  <si>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</si>
  <si>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</si>
  <si>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</si>
  <si>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</si>
  <si>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</si>
  <si>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Trustee Fee</t>
  </si>
  <si>
    <t>Third Party payments for Corporation Tax and VAT</t>
  </si>
  <si>
    <t>Termination Fees to Swap Provider</t>
  </si>
  <si>
    <t>Cap/Swap Retention fund</t>
  </si>
  <si>
    <t>Principal payments made from Principal Income:</t>
  </si>
  <si>
    <t>Mandatory Further Advances</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</si>
  <si>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</si>
  <si>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</si>
  <si>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</si>
  <si>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</si>
  <si>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</si>
  <si>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</si>
  <si>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</si>
  <si>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</si>
  <si>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</si>
  <si>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</si>
  <si>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</si>
  <si>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</si>
  <si>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</si>
  <si>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</si>
  <si>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</si>
  <si>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</si>
  <si>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</si>
  <si>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</si>
  <si>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</si>
  <si>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</si>
  <si>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</si>
  <si>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</si>
  <si>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</si>
  <si>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</si>
  <si>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</si>
  <si>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</si>
  <si>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</si>
  <si>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</si>
  <si>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</si>
  <si>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</si>
  <si>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</si>
  <si>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</si>
  <si>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</si>
  <si>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</si>
  <si>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</si>
  <si>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</si>
  <si>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</si>
  <si>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</si>
  <si>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</si>
  <si>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</si>
  <si>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</si>
  <si>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</si>
  <si>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</si>
  <si>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</si>
  <si>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</si>
  <si>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</si>
  <si>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</si>
  <si>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</si>
  <si>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</si>
  <si>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Cumulative Recoveries</t>
  </si>
  <si>
    <t>Properties Sold</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</si>
  <si>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</si>
  <si>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</si>
  <si>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</si>
  <si>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</si>
  <si>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</si>
  <si>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</si>
  <si>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</si>
  <si>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</si>
  <si>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</si>
  <si>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</si>
  <si>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</si>
  <si>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</si>
  <si>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</si>
  <si>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</si>
  <si>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</si>
  <si>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</si>
  <si>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</si>
  <si>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</si>
  <si>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</si>
  <si>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</si>
  <si>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</si>
  <si>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</si>
  <si>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</si>
  <si>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MFA's</t>
  </si>
  <si>
    <t>£'000 Value</t>
  </si>
  <si>
    <t>n/a</t>
  </si>
  <si>
    <t>£'000 Principal</t>
  </si>
  <si>
    <t>=</t>
  </si>
  <si>
    <t>years</t>
  </si>
  <si>
    <t>Quarterly</t>
  </si>
  <si>
    <t>Current Principal Outstanding</t>
  </si>
  <si>
    <t>Revenue (£'000)</t>
  </si>
  <si>
    <t>Total</t>
  </si>
  <si>
    <t>x</t>
  </si>
  <si>
    <t>Payments to Swap Counterparty</t>
  </si>
  <si>
    <t>Pre Funding Reserve</t>
  </si>
  <si>
    <t>Class B1a Notes</t>
  </si>
  <si>
    <t>Class B1b Notes</t>
  </si>
  <si>
    <t>Fitch Rating at Closing</t>
  </si>
  <si>
    <t>Current Fitch Rating</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</si>
  <si>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</si>
  <si>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</si>
  <si>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</si>
  <si>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</si>
  <si>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</si>
  <si>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</si>
  <si>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</si>
  <si>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</si>
  <si>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</si>
  <si>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</si>
  <si>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</si>
  <si>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</si>
  <si>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</si>
  <si>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</si>
  <si>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</si>
  <si>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</si>
  <si>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</si>
  <si>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</si>
  <si>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</si>
  <si>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</si>
  <si>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</si>
  <si>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</si>
  <si>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Class A1a Notes</t>
  </si>
  <si>
    <t>Class A1b Notes</t>
  </si>
  <si>
    <t>MTL</t>
  </si>
  <si>
    <t>Aaa</t>
  </si>
  <si>
    <t>A2</t>
  </si>
  <si>
    <t>AAA</t>
  </si>
  <si>
    <t>A</t>
  </si>
  <si>
    <t>Class A and B Interest Payment Cycle</t>
  </si>
  <si>
    <t>Interest Payment Date</t>
  </si>
  <si>
    <t>B1b Swap Currency Interest</t>
  </si>
  <si>
    <t>Appointment of a Receiver of Rent</t>
  </si>
  <si>
    <t>Available Redemption Funds</t>
  </si>
  <si>
    <t>+44 (0) 121 712 2315</t>
  </si>
  <si>
    <t>+44 (0) 121 712 3894</t>
  </si>
  <si>
    <t>B1b Note Swap Currency repayments</t>
  </si>
  <si>
    <t>Senior Administration Fee to PFPLC and MTS/Substitute Administrators Commitment Fee</t>
  </si>
  <si>
    <t xml:space="preserve">Junior Administration Fee to PFPLC and MTS </t>
  </si>
  <si>
    <t>4 (c)</t>
  </si>
  <si>
    <t>4 (d)</t>
  </si>
  <si>
    <t>Original Weighted Average Note Coupon and Currency Swap Rate</t>
  </si>
  <si>
    <t>Paragon Mortgages (No.8) PLC</t>
  </si>
  <si>
    <t>This performance report is issued by Paragon Finance PLC for and on behalf of Paragon Mortgages (No.8) PLC</t>
  </si>
  <si>
    <t>PM8 PLC</t>
  </si>
  <si>
    <t>Class A2a Notes</t>
  </si>
  <si>
    <t>Class A2b Notes</t>
  </si>
  <si>
    <t>XS0203410336</t>
  </si>
  <si>
    <t>XS0203410922</t>
  </si>
  <si>
    <t>XS0203411144</t>
  </si>
  <si>
    <t>XS0203411730</t>
  </si>
  <si>
    <t>XS0203412548</t>
  </si>
  <si>
    <t>11 bp</t>
  </si>
  <si>
    <t>19 bp</t>
  </si>
  <si>
    <t>22 bp</t>
  </si>
  <si>
    <t>18 bp</t>
  </si>
  <si>
    <t>65 bp</t>
  </si>
  <si>
    <t>60 bp</t>
  </si>
  <si>
    <t>120 bp</t>
  </si>
  <si>
    <t>130 bp</t>
  </si>
  <si>
    <t>36 bp</t>
  </si>
  <si>
    <t>38 bp</t>
  </si>
  <si>
    <t>Drawing on the PFPLC/PM8 Subordinated Loan for Interest Shortfalls</t>
  </si>
  <si>
    <t>john.harvey@paragon-group.co.uk</t>
  </si>
  <si>
    <t>jimmy.giles@paragon-group.co.uk</t>
  </si>
  <si>
    <t>PM8 INVESTOR REPORT QUARTER ENDING MARCH 2005</t>
  </si>
  <si>
    <t>Replenishments from drawings on the PFPLC / PM8 Subordinated Loan</t>
  </si>
  <si>
    <t>ACTUAL/365</t>
  </si>
  <si>
    <t>4 (f)</t>
  </si>
  <si>
    <t>Facility at Closing</t>
  </si>
  <si>
    <t>Closing Redraw Facility balance</t>
  </si>
  <si>
    <t>Stated Maturity - Class A Notes</t>
  </si>
  <si>
    <t>Stated Maturity - Class B1 Notes</t>
  </si>
  <si>
    <t>&gt;3&lt;=4 Months</t>
  </si>
  <si>
    <t>&gt;4&lt;=5 Months</t>
  </si>
  <si>
    <t>&gt;5&lt;=6 Months</t>
  </si>
  <si>
    <t>&gt;6&lt;=12 Months</t>
  </si>
  <si>
    <t>&gt;12 Months</t>
  </si>
  <si>
    <t>13 bp</t>
  </si>
  <si>
    <t>23 bp</t>
  </si>
  <si>
    <t>69 bp</t>
  </si>
  <si>
    <t>Payments to Redraw Facility Provider's commitment Fee and interest</t>
  </si>
  <si>
    <t>A1a Note repayments</t>
  </si>
  <si>
    <t>A1b Note Swap Currency repayments</t>
  </si>
  <si>
    <t>A2a Note repayments</t>
  </si>
  <si>
    <t>A2b Note Swap Currency repayments</t>
  </si>
  <si>
    <t>B1a Note repayments</t>
  </si>
  <si>
    <t>XS0203410500</t>
  </si>
  <si>
    <t>26 bp</t>
  </si>
  <si>
    <t>46 bp</t>
  </si>
  <si>
    <t>138 bp</t>
  </si>
  <si>
    <t>Class A1a, A2a and B1a Interest Calculated on</t>
  </si>
  <si>
    <t>Class A1b, A2b and B1b Interest Calculated on</t>
  </si>
  <si>
    <t>A1a Note Interest</t>
  </si>
  <si>
    <t>A1b Swap Currency Interest</t>
  </si>
  <si>
    <t>A2a Note Interest</t>
  </si>
  <si>
    <t>A2b Swap Currency Interest</t>
  </si>
  <si>
    <t>B1a Note Interest</t>
  </si>
  <si>
    <t>Funding of MTL payment holidays</t>
  </si>
  <si>
    <t>Delinquency Summary (Excluding Receiver of Rent and Possession Cases)</t>
  </si>
  <si>
    <t>Delinquency Summary (For Receiver of Rent and Possession Cases)</t>
  </si>
  <si>
    <t>PM8 INVESTOR REPORT QUARTER ENDING JUNE 2005</t>
  </si>
  <si>
    <t>Delinquency Summary (For Possession Cases)</t>
  </si>
  <si>
    <t>Total Assets</t>
  </si>
  <si>
    <t>Delinquency Summary (For Receiver of Rent Cases)</t>
  </si>
  <si>
    <t>FOR FURTHER ASSISTANCE ON THE INVESTOR REPORTS, PLEASE REFER TO THE "INVESTOR TERMS" POSTED ON THE PARAGON WEBSITE   http:\\www.paragon-group.co.uk</t>
  </si>
  <si>
    <t>FOR ADDITIONAL INFORMATION ON THE UNDERLYING ASSETS, PLEASE REFER TO THE "POOL TABLES" AND "SUMMARY" SECTIONS POSTED ON THE PARAGON WEBSITE   http:\\www.paragon-group.co.uk</t>
  </si>
  <si>
    <t>PM8 INVESTOR REPORT QUARTER ENDING SEPTEMBER 2005</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</si>
  <si>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</si>
  <si>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</si>
  <si>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</si>
  <si>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4 (e)</t>
  </si>
  <si>
    <t>5 (a)</t>
  </si>
  <si>
    <t>5 (b)</t>
  </si>
  <si>
    <t>PM8 INVESTOR REPORT QUARTER ENDING DECEMBER 2005</t>
  </si>
  <si>
    <t>Redemption Income</t>
  </si>
  <si>
    <t>Investment Income</t>
  </si>
  <si>
    <t>Quarterly Interest Income</t>
  </si>
  <si>
    <t xml:space="preserve"> </t>
  </si>
  <si>
    <t>Possession Properties Sold</t>
  </si>
  <si>
    <t>Receiver of Rent Properties Sold</t>
  </si>
  <si>
    <t>Average number of months in Arrears @ Sale date</t>
  </si>
  <si>
    <t>PM8 INVESTOR REPORT QUARTER ENDING MARCH 2006</t>
  </si>
  <si>
    <t>Drawings used to fund Mandatory Further Advances during the period</t>
  </si>
  <si>
    <t>Current Weighted Average Note Coupon and Currency Swap Rate</t>
  </si>
  <si>
    <t>PM8 INVESTOR REPORT QUARTER ENDING JUNE 2006</t>
  </si>
  <si>
    <t>PM8 INVESTOR REPORT QUARTER ENDING SEPTEMBER 2006</t>
  </si>
  <si>
    <t>Flexible Drawing Facility</t>
  </si>
  <si>
    <t>Closing Flexible Drawing Facility Balance</t>
  </si>
  <si>
    <t>PM8 INVESTOR REPORT QUARTER ENDING DECEMBER 2006</t>
  </si>
  <si>
    <t>Total Income as a % of the Total Assets</t>
  </si>
  <si>
    <t>PM8 INVESTOR REPORT QUARTER ENDING MARCH 2007</t>
  </si>
  <si>
    <t>Swap Receipts</t>
  </si>
  <si>
    <t>PM8 INVESTOR REPORT QUARTER ENDING JUNE 2007</t>
  </si>
  <si>
    <t>Andrew Kitching, St. Catherines Court, Herbert Road, Solihull, West Midlands, B91 3QE</t>
  </si>
  <si>
    <t>+44 (0) 121 712 3896</t>
  </si>
  <si>
    <t>andrew.kitching@paragon-group.co.uk</t>
  </si>
  <si>
    <t>PM8 INVESTOR REPORT QUARTER ENDING SEPTEMBER 2007</t>
  </si>
  <si>
    <t>PM8 INVESTOR REPORT QUARTER ENDING DECEMBER 2007</t>
  </si>
  <si>
    <t>Accrual from Revenue for potential Losses</t>
  </si>
  <si>
    <t>PM8 INVESTOR REPORT QUARTER ENDING MARCH 2008</t>
  </si>
  <si>
    <t>PM8 INVESTOR REPORT QUARTER ENDING JUNE 2008</t>
  </si>
  <si>
    <t>PM8 INVESTOR REPORT QUARTER ENDING SEPTEMBER 2008</t>
  </si>
  <si>
    <t>PM8 INVESTOR REPORT QUARTER ENDING DECEMBER 2008</t>
  </si>
  <si>
    <t>PM8 INVESTOR REPORT QUARTER ENDING MARCH 2009</t>
  </si>
  <si>
    <t xml:space="preserve">or the IPD falling  in January 2010, whichever is the later </t>
  </si>
  <si>
    <t>Properties Sold by Mortgagee - Outstanding Principal Balance</t>
  </si>
  <si>
    <t>PM8 INVESTOR REPORT QUARTER ENDING JUNE 2009</t>
  </si>
  <si>
    <t>Original GBP Equivalent Note Principal</t>
  </si>
  <si>
    <t>Previous GBP Equivalent Note Principal</t>
  </si>
  <si>
    <t>Current GBP Equivalent Note Principal</t>
  </si>
  <si>
    <t>GBP Note Margin</t>
  </si>
  <si>
    <t>Current GBP Interest Rates</t>
  </si>
  <si>
    <t>Previous GBP Interest Rates</t>
  </si>
  <si>
    <t>GBP Step -Up Margins</t>
  </si>
  <si>
    <t>PM8 INVESTOR REPORT QUARTER ENDING SEPTEMBER 2009</t>
  </si>
  <si>
    <t>PM8 INVESTOR REPORT QUARTER ENDING DECEMBER 2009</t>
  </si>
  <si>
    <t>Closing Flexible Drawing Facility Balance (with effect from 15th October 2009)</t>
  </si>
  <si>
    <t>PM8 INVESTOR REPORT QUARTER ENDING MARCH 2010</t>
  </si>
  <si>
    <t>PM8 INVESTOR REPORT QUARTER ENDING JUNE 2010</t>
  </si>
  <si>
    <t>PM8 INVESTOR REPORT QUARTER ENDING SEPTEMBER 2010</t>
  </si>
  <si>
    <t xml:space="preserve">Delinquency Summary </t>
  </si>
  <si>
    <t>Delinquency Summary</t>
  </si>
  <si>
    <t>PM8 INVESTOR REPORT QUARTER ENDING DECEMBER 2010</t>
  </si>
  <si>
    <t>PM8 INVESTOR REPORT QUARTER ENDING MARCH 2011</t>
  </si>
  <si>
    <t>N.B. This data fact sheet and its notes can only be a summary of certain features of the bonds and their structure. No representation can be made that the information herein is accurate or complete and no liability is accepted therefor. Reference should b</t>
  </si>
  <si>
    <t>documentation for a full description of the bonds and their structure. This data fact sheet and its notes are for information purposes only and are not intended as an offer or invitation with respect to the purchase or sale of any security. Reliance shoul</t>
  </si>
  <si>
    <t>PM8 INVESTOR REPORT QUARTER ENDING JUNE 2011</t>
  </si>
  <si>
    <t>AA+</t>
  </si>
  <si>
    <t>PM8 INVESTOR REPORT QUARTER ENDING SEPTEMBER 2011</t>
  </si>
  <si>
    <t>PM8 INVESTOR REPORT QUARTER ENDING DECEMBER 2011</t>
  </si>
  <si>
    <t>PDL replenishment (-) from Revenue income / Recovery (+) to Revenue income</t>
  </si>
  <si>
    <t>PM8 INVESTOR REPORT QUARTER ENDING MARCH 2012</t>
  </si>
  <si>
    <t>AA</t>
  </si>
  <si>
    <t>PM8 INVESTOR REPORT QUARTER ENDING JUNE 2012</t>
  </si>
  <si>
    <t>A-</t>
  </si>
  <si>
    <t>PM8 INVESTOR REPORT QUARTER ENDING SEPTEMBER 2012</t>
  </si>
  <si>
    <t>PM8 INVESTOR REPORT QUARTER ENDING DECEMBER 2012</t>
  </si>
  <si>
    <t>PM8 INVESTOR REPORT QUARTER ENDING MARCH 2013</t>
  </si>
  <si>
    <t>Trustee Fee/ Costs and expenses claimed by the Substitute Administrator</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</si>
  <si>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</si>
  <si>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</si>
  <si>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PM8 INVESTOR REPORT QUARTER ENDING JUNE 2013</t>
  </si>
  <si>
    <t>John Harvey, 51 Homer Road, Solihull, West Midlands, B91 3QJ</t>
  </si>
  <si>
    <t>Andrew Kitching, 51 Homer Road, Solihull, West Midlands, B91 3QJ</t>
  </si>
  <si>
    <t>Jimmy Giles, 51 Homer Road, Solihull, West Midlands, B91 3QJ</t>
  </si>
  <si>
    <t>PM8 INVESTOR REPORT QUARTER ENDING SEPTEMBER 2013</t>
  </si>
  <si>
    <t>PM8 INVESTOR REPORT QUARTER ENDING DECEMBER 2013</t>
  </si>
  <si>
    <t>PM8 INVESTOR REPORT QUARTER ENDING MARCH 2014</t>
  </si>
  <si>
    <t>Closing Flexible Drawing Facility Balance (with effect from 15th April 2014)</t>
  </si>
  <si>
    <t>PM8 INVESTOR REPORT QUARTER ENDING JUNE 2014</t>
  </si>
  <si>
    <t>PM8 INVESTOR REPORT QUARTER ENDING SEPTEMBER 2014</t>
  </si>
  <si>
    <t>PM8 INVESTOR REPORT QUARTER ENDING DECEMBER 2014</t>
  </si>
  <si>
    <t>PM8 INVESTOR REPORT QUARTER ENDING MARCH 2015</t>
  </si>
  <si>
    <t>PM8 INVESTOR REPORT QUARTER ENDING JUNE 2015</t>
  </si>
  <si>
    <t>PM8 INVESTOR REPORT QUARTER ENDING SEPTEMBER 2015</t>
  </si>
  <si>
    <t>PM8 INVESTOR REPORT QUARTER ENDING DECEMBER 2015</t>
  </si>
  <si>
    <t>PM8 INVESTOR REPORT QUARTER ENDING MARCH 2016</t>
  </si>
  <si>
    <t>PM8 INVESTOR REPORT QUARTER ENDING JUNE 2016</t>
  </si>
  <si>
    <t>PM8 INVESTOR REPORT QUARTER ENDING SEPTEMBER 2016</t>
  </si>
  <si>
    <t>PM8 INVESTOR REPORT QUARTER ENDING DECEMBER 2016</t>
  </si>
  <si>
    <t>PM8 INVESTOR REPORT QUARTER ENDING MARCH 2017</t>
  </si>
  <si>
    <t>PM8 INVESTOR REPORT QUARTER ENDING JUNE 2017</t>
  </si>
  <si>
    <t>PM8 INVESTOR REPORT QUARTER ENDING SEPTEMBER 2017</t>
  </si>
  <si>
    <t>http://www.paragonbankinggroup.co.uk</t>
  </si>
  <si>
    <t>andrew.kitching@paragonbank.co.uk</t>
  </si>
  <si>
    <t>jimmy.giles@paragonbank.co.uk</t>
  </si>
  <si>
    <t xml:space="preserve">documentation for a full description of the bonds and their structure. This data fact sheet and its notes are for information purposes only and are not intended as an offer or invitation with respect to the purchase or sale of any security. Reliance should not be placed on the </t>
  </si>
  <si>
    <t>PM8 INVESTOR REPORT QUARTER ENDING DECEMBER 2017</t>
  </si>
  <si>
    <t>Release of the First Loss Fund following repayment of the Notes</t>
  </si>
  <si>
    <t>Release of the First Loss Fund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</si>
</sst>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809]#,##0"/>
    <numFmt numFmtId="165" formatCode="0.00000%"/>
    <numFmt numFmtId="166" formatCode="0.0%"/>
    <numFmt numFmtId="167" formatCode="d\-mmm\-yy"/>
    <numFmt numFmtId="168" formatCode="[$€-2]\ #,##0"/>
    <numFmt numFmtId="169" formatCode="&quot;£&quot;#,##0"/>
    <numFmt numFmtId="170" formatCode="0.000000"/>
    <numFmt numFmtId="171" formatCode="0.0000000"/>
  </numFmts>
  <fonts count="82"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sz val="12"/>
      <color indexed="10"/>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sz val="12"/>
      <color indexed="9"/>
      <name val="Times New Roman"/>
      <family val="1"/>
    </font>
    <font>
      <b/>
      <u/>
      <sz val="16"/>
      <color indexed="18"/>
      <name val="Times New Roman"/>
      <family val="1"/>
    </font>
    <font>
      <b/>
      <i/>
      <sz val="10"/>
      <color indexed="18"/>
      <name val="Times New Roman"/>
      <family val="1"/>
    </font>
    <font>
      <b/>
      <sz val="12"/>
      <color indexed="18"/>
      <name val="Times New Roman"/>
      <family val="1"/>
    </font>
    <font>
      <sz val="12"/>
      <color indexed="18"/>
      <name val="Times New Roman"/>
      <family val="1"/>
    </font>
    <font>
      <b/>
      <u/>
      <sz val="12"/>
      <color indexed="18"/>
      <name val="Times New Roman"/>
      <family val="1"/>
    </font>
    <font>
      <sz val="12"/>
      <color indexed="18"/>
      <name val="Arial"/>
      <family val="2"/>
    </font>
    <font>
      <b/>
      <sz val="12"/>
      <color indexed="18"/>
      <name val="Times New Roman"/>
      <family val="1"/>
    </font>
    <font>
      <b/>
      <sz val="12"/>
      <color indexed="18"/>
      <name val="Arial"/>
      <family val="2"/>
    </font>
    <font>
      <b/>
      <sz val="14"/>
      <color indexed="18"/>
      <name val="Times New Roman"/>
      <family val="1"/>
    </font>
    <font>
      <sz val="12"/>
      <color indexed="18"/>
      <name val="Times New Roman"/>
      <family val="1"/>
    </font>
    <font>
      <sz val="12"/>
      <color indexed="53"/>
      <name val="Times New Roman"/>
      <family val="1"/>
    </font>
    <font>
      <sz val="12"/>
      <color indexed="53"/>
      <name val="Arial"/>
      <family val="2"/>
    </font>
    <font>
      <b/>
      <u/>
      <sz val="12"/>
      <color indexed="53"/>
      <name val="Times New Roman"/>
      <family val="1"/>
    </font>
    <font>
      <b/>
      <sz val="12"/>
      <name val="Times New Roman"/>
      <family val="1"/>
    </font>
    <font>
      <sz val="12"/>
      <name val="Arial"/>
      <family val="2"/>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2"/>
      <color indexed="53"/>
      <name val="Calibri"/>
      <family val="2"/>
      <scheme val="minor"/>
    </font>
    <font>
      <b/>
      <u/>
      <sz val="12"/>
      <color rgb="FF89CB31"/>
      <name val="Calibri"/>
      <family val="2"/>
      <scheme val="minor"/>
    </font>
    <font>
      <b/>
      <sz val="12"/>
      <name val="Calibri"/>
      <family val="2"/>
      <scheme val="minor"/>
    </font>
    <font>
      <b/>
      <sz val="12"/>
      <color rgb="FF2D2926"/>
      <name val="Calibri"/>
      <family val="2"/>
      <scheme val="minor"/>
    </font>
    <font>
      <sz val="12"/>
      <color rgb="FF2D2926"/>
      <name val="Calibri"/>
      <family val="2"/>
      <scheme val="minor"/>
    </font>
    <font>
      <b/>
      <u/>
      <sz val="12"/>
      <color rgb="FF2D2926"/>
      <name val="Calibri"/>
      <family val="2"/>
      <scheme val="minor"/>
    </font>
    <font>
      <sz val="12"/>
      <color indexed="12"/>
      <name val="Calibri"/>
      <family val="2"/>
      <scheme val="minor"/>
    </font>
    <font>
      <sz val="12"/>
      <color indexed="18"/>
      <name val="Calibri"/>
      <family val="2"/>
      <scheme val="minor"/>
    </font>
    <font>
      <b/>
      <sz val="12"/>
      <color theme="0"/>
      <name val="Calibri"/>
      <family val="2"/>
      <scheme val="minor"/>
    </font>
    <font>
      <b/>
      <sz val="12"/>
      <color indexed="18"/>
      <name val="Calibri"/>
      <family val="2"/>
      <scheme val="minor"/>
    </font>
    <font>
      <b/>
      <sz val="12"/>
      <color indexed="12"/>
      <name val="Calibri"/>
      <family val="2"/>
      <scheme val="minor"/>
    </font>
    <font>
      <b/>
      <sz val="12"/>
      <color indexed="53"/>
      <name val="Calibri"/>
      <family val="2"/>
      <scheme val="minor"/>
    </font>
    <font>
      <b/>
      <sz val="14"/>
      <color rgb="FF2D2926"/>
      <name val="Calibri"/>
      <family val="2"/>
      <scheme val="minor"/>
    </font>
    <font>
      <sz val="12"/>
      <color indexed="9"/>
      <name val="Calibri"/>
      <family val="2"/>
      <scheme val="minor"/>
    </font>
    <font>
      <b/>
      <sz val="12"/>
      <color indexed="9"/>
      <name val="Calibri"/>
      <family val="2"/>
      <scheme val="minor"/>
    </font>
    <font>
      <sz val="12"/>
      <color indexed="53"/>
      <name val="Calibri"/>
      <family val="2"/>
      <scheme val="minor"/>
    </font>
    <font>
      <sz val="12"/>
      <color indexed="8"/>
      <name val="Calibri"/>
      <family val="2"/>
      <scheme val="minor"/>
    </font>
    <font>
      <b/>
      <u/>
      <sz val="12"/>
      <name val="Calibri"/>
      <family val="2"/>
      <scheme val="minor"/>
    </font>
    <font>
      <b/>
      <sz val="12"/>
      <color indexed="29"/>
      <name val="Calibri"/>
      <family val="2"/>
      <scheme val="minor"/>
    </font>
    <font>
      <b/>
      <u/>
      <sz val="12"/>
      <color indexed="8"/>
      <name val="Calibri"/>
      <family val="2"/>
      <scheme val="minor"/>
    </font>
    <font>
      <b/>
      <sz val="12"/>
      <color indexed="8"/>
      <name val="Calibri"/>
      <family val="2"/>
      <scheme val="minor"/>
    </font>
    <font>
      <sz val="12"/>
      <color indexed="10"/>
      <name val="Calibri"/>
      <family val="2"/>
      <scheme val="minor"/>
    </font>
    <font>
      <b/>
      <sz val="14"/>
      <color rgb="FF89CB31"/>
      <name val="Calibri"/>
      <family val="2"/>
      <scheme val="minor"/>
    </font>
    <font>
      <b/>
      <u/>
      <sz val="14"/>
      <color rgb="FF89CB31"/>
      <name val="Calibri"/>
      <family val="2"/>
      <scheme val="minor"/>
    </font>
    <font>
      <b/>
      <sz val="14"/>
      <color indexed="53"/>
      <name val="Calibri"/>
      <family val="2"/>
      <scheme val="minor"/>
    </font>
    <font>
      <b/>
      <u/>
      <sz val="14"/>
      <color indexed="53"/>
      <name val="Calibri"/>
      <family val="2"/>
      <scheme val="minor"/>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F4F4F4"/>
        <bgColor indexed="64"/>
      </patternFill>
    </fill>
    <fill>
      <patternFill patternType="solid">
        <fgColor rgb="FF89CB31"/>
        <bgColor indexed="64"/>
      </patternFill>
    </fill>
  </fills>
  <borders count="33">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right/>
      <top style="thin">
        <color indexed="64"/>
      </top>
      <bottom style="thin">
        <color indexed="64"/>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23"/>
      </top>
      <bottom style="thin">
        <color indexed="23"/>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top style="thin">
        <color indexed="64"/>
      </top>
      <bottom/>
      <diagonal/>
    </border>
    <border>
      <left/>
      <right style="medium">
        <color indexed="8"/>
      </right>
      <top style="thin">
        <color indexed="8"/>
      </top>
      <bottom/>
      <diagonal/>
    </border>
    <border>
      <left style="medium">
        <color indexed="8"/>
      </left>
      <right/>
      <top style="thin">
        <color indexed="8"/>
      </top>
      <bottom style="thin">
        <color indexed="8"/>
      </bottom>
      <diagonal/>
    </border>
    <border>
      <left/>
      <right style="medium">
        <color indexed="8"/>
      </right>
      <top style="medium">
        <color indexed="8"/>
      </top>
      <bottom/>
      <diagonal/>
    </border>
    <border>
      <left/>
      <right style="medium">
        <color indexed="8"/>
      </right>
      <top/>
      <bottom/>
      <diagonal/>
    </border>
    <border>
      <left/>
      <right style="medium">
        <color theme="1"/>
      </right>
      <top style="thin">
        <color indexed="23"/>
      </top>
      <bottom/>
      <diagonal/>
    </border>
    <border>
      <left/>
      <right style="medium">
        <color theme="1"/>
      </right>
      <top/>
      <bottom/>
      <diagonal/>
    </border>
    <border>
      <left/>
      <right style="medium">
        <color indexed="8"/>
      </right>
      <top/>
      <bottom style="thin">
        <color indexed="55"/>
      </bottom>
      <diagonal/>
    </border>
    <border>
      <left/>
      <right style="medium">
        <color auto="1"/>
      </right>
      <top style="thin">
        <color indexed="55"/>
      </top>
      <bottom/>
      <diagonal/>
    </border>
    <border>
      <left/>
      <right style="medium">
        <color auto="1"/>
      </right>
      <top/>
      <bottom/>
      <diagonal/>
    </border>
    <border>
      <left/>
      <right style="medium">
        <color auto="1"/>
      </right>
      <top/>
      <bottom style="thin">
        <color indexed="55"/>
      </bottom>
      <diagonal/>
    </border>
    <border>
      <left/>
      <right style="medium">
        <color indexed="8"/>
      </right>
      <top/>
      <bottom style="thin">
        <color indexed="23"/>
      </bottom>
      <diagonal/>
    </border>
  </borders>
  <cellStyleXfs count="2">
    <xf numFmtId="0" fontId="0" fillId="0" borderId="0"/>
    <xf numFmtId="0" fontId="23" fillId="0" borderId="0" applyNumberFormat="0" applyFill="0" applyBorder="0" applyAlignment="0" applyProtection="0">
      <alignment vertical="top"/>
      <protection locked="0"/>
    </xf>
  </cellStyleXfs>
  <cellXfs count="824">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0" fontId="13" fillId="2" borderId="5" xfId="0" applyNumberFormat="1" applyFont="1" applyFill="1" applyBorder="1" applyAlignment="1" applyProtection="1">
      <alignment horizontal="right"/>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69" fontId="2" fillId="2" borderId="5" xfId="0" applyNumberFormat="1" applyFont="1" applyFill="1" applyBorder="1" applyAlignment="1">
      <alignment horizontal="center"/>
    </xf>
    <xf numFmtId="169" fontId="10"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70" fontId="19" fillId="2" borderId="5" xfId="0" applyNumberFormat="1" applyFont="1" applyFill="1" applyBorder="1" applyAlignment="1">
      <alignment horizontal="center"/>
    </xf>
    <xf numFmtId="170" fontId="19" fillId="2" borderId="5"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0" fontId="2" fillId="2" borderId="0" xfId="0" applyNumberFormat="1" applyFont="1" applyFill="1" applyBorder="1" applyAlignment="1"/>
    <xf numFmtId="9" fontId="2" fillId="2" borderId="0" xfId="0" applyNumberFormat="1" applyFont="1" applyFill="1" applyBorder="1" applyAlignment="1"/>
    <xf numFmtId="0" fontId="1" fillId="0" borderId="0" xfId="0" applyNumberFormat="1" applyFont="1" applyBorder="1" applyAlignment="1"/>
    <xf numFmtId="0" fontId="25" fillId="2" borderId="5" xfId="0" applyNumberFormat="1" applyFont="1" applyFill="1" applyBorder="1" applyAlignment="1"/>
    <xf numFmtId="0" fontId="2" fillId="2" borderId="9" xfId="0" applyNumberFormat="1" applyFont="1" applyFill="1" applyBorder="1" applyAlignment="1"/>
    <xf numFmtId="9" fontId="2" fillId="2" borderId="9" xfId="0" applyNumberFormat="1" applyFont="1" applyFill="1" applyBorder="1" applyAlignment="1"/>
    <xf numFmtId="3" fontId="2" fillId="2" borderId="9"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0" fontId="2" fillId="2" borderId="13" xfId="0" applyNumberFormat="1" applyFont="1" applyFill="1" applyBorder="1" applyAlignment="1"/>
    <xf numFmtId="0" fontId="2" fillId="2" borderId="14" xfId="0" applyNumberFormat="1" applyFont="1" applyFill="1" applyBorder="1" applyAlignment="1"/>
    <xf numFmtId="9" fontId="2" fillId="2" borderId="14" xfId="0" applyNumberFormat="1" applyFont="1" applyFill="1" applyBorder="1" applyAlignment="1"/>
    <xf numFmtId="3" fontId="2" fillId="2" borderId="5" xfId="0" applyNumberFormat="1" applyFont="1" applyFill="1" applyBorder="1" applyAlignment="1">
      <alignment horizontal="center"/>
    </xf>
    <xf numFmtId="165" fontId="2" fillId="2" borderId="5" xfId="0" applyNumberFormat="1" applyFont="1" applyFill="1" applyBorder="1" applyAlignment="1">
      <alignment horizontal="right"/>
    </xf>
    <xf numFmtId="0" fontId="27" fillId="2" borderId="0" xfId="0" applyNumberFormat="1" applyFont="1" applyFill="1" applyAlignment="1"/>
    <xf numFmtId="0" fontId="27" fillId="2" borderId="5" xfId="0" applyNumberFormat="1" applyFont="1" applyFill="1" applyBorder="1" applyAlignment="1"/>
    <xf numFmtId="0" fontId="28" fillId="2" borderId="0" xfId="1" applyNumberFormat="1" applyFont="1" applyFill="1" applyAlignment="1" applyProtection="1"/>
    <xf numFmtId="0" fontId="28" fillId="2" borderId="5" xfId="1" applyNumberFormat="1" applyFont="1" applyFill="1" applyBorder="1" applyAlignment="1" applyProtection="1"/>
    <xf numFmtId="15" fontId="22" fillId="2" borderId="0" xfId="0" applyNumberFormat="1" applyFont="1" applyFill="1" applyAlignment="1">
      <alignment horizontal="right"/>
    </xf>
    <xf numFmtId="0" fontId="22" fillId="2" borderId="0" xfId="0" applyNumberFormat="1" applyFont="1" applyFill="1" applyAlignment="1">
      <alignment horizontal="right"/>
    </xf>
    <xf numFmtId="2" fontId="13" fillId="2" borderId="5" xfId="0" applyNumberFormat="1" applyFont="1" applyFill="1" applyBorder="1" applyAlignment="1" applyProtection="1">
      <alignment horizontal="center"/>
      <protection locked="0"/>
    </xf>
    <xf numFmtId="171" fontId="19" fillId="2" borderId="5" xfId="0" applyNumberFormat="1" applyFont="1" applyFill="1" applyBorder="1" applyAlignment="1">
      <alignment horizontal="center"/>
    </xf>
    <xf numFmtId="3" fontId="22" fillId="2" borderId="9" xfId="0" applyNumberFormat="1" applyFont="1" applyFill="1" applyBorder="1" applyAlignment="1"/>
    <xf numFmtId="0" fontId="29" fillId="2" borderId="5" xfId="0" applyNumberFormat="1" applyFont="1" applyFill="1" applyBorder="1" applyAlignment="1">
      <alignment horizontal="center"/>
    </xf>
    <xf numFmtId="10" fontId="29" fillId="2" borderId="5" xfId="0" applyNumberFormat="1" applyFont="1" applyFill="1" applyBorder="1" applyAlignment="1" applyProtection="1">
      <alignment horizontal="center"/>
      <protection locked="0"/>
    </xf>
    <xf numFmtId="3" fontId="2" fillId="2" borderId="5" xfId="0" applyNumberFormat="1" applyFont="1" applyFill="1" applyBorder="1" applyAlignment="1" applyProtection="1">
      <alignment horizontal="center"/>
      <protection locked="0"/>
    </xf>
    <xf numFmtId="2" fontId="2" fillId="2" borderId="5" xfId="0" applyNumberFormat="1" applyFont="1" applyFill="1" applyBorder="1" applyAlignment="1" applyProtection="1">
      <alignment horizontal="center"/>
      <protection locked="0"/>
    </xf>
    <xf numFmtId="3" fontId="2" fillId="2" borderId="5" xfId="0" applyNumberFormat="1" applyFont="1" applyFill="1" applyBorder="1" applyAlignment="1" applyProtection="1">
      <alignment horizontal="right"/>
      <protection locked="0"/>
    </xf>
    <xf numFmtId="4" fontId="2" fillId="2" borderId="5" xfId="0" applyNumberFormat="1" applyFont="1" applyFill="1" applyBorder="1" applyAlignment="1" applyProtection="1">
      <alignment horizontal="center"/>
      <protection locked="0"/>
    </xf>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9" fontId="10" fillId="3" borderId="0" xfId="0" applyNumberFormat="1" applyFont="1" applyFill="1" applyAlignment="1">
      <alignment horizontal="center"/>
    </xf>
    <xf numFmtId="0" fontId="4" fillId="3" borderId="0" xfId="0" applyNumberFormat="1" applyFont="1" applyFill="1" applyAlignment="1"/>
    <xf numFmtId="0" fontId="2" fillId="3" borderId="0" xfId="0" applyNumberFormat="1" applyFont="1" applyFill="1" applyAlignment="1">
      <alignment horizontal="right"/>
    </xf>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2" fillId="3" borderId="0" xfId="0" applyNumberFormat="1" applyFont="1" applyFill="1" applyBorder="1" applyAlignment="1"/>
    <xf numFmtId="9" fontId="2" fillId="3" borderId="0" xfId="0" applyNumberFormat="1" applyFont="1" applyFill="1" applyBorder="1" applyAlignment="1"/>
    <xf numFmtId="0" fontId="30" fillId="4" borderId="3" xfId="0" applyNumberFormat="1" applyFont="1" applyFill="1" applyBorder="1" applyAlignment="1"/>
    <xf numFmtId="0" fontId="30" fillId="4" borderId="0" xfId="0" applyNumberFormat="1" applyFont="1" applyFill="1" applyAlignment="1"/>
    <xf numFmtId="0" fontId="31" fillId="4" borderId="0" xfId="0" applyNumberFormat="1" applyFont="1" applyFill="1" applyAlignment="1">
      <alignment horizontal="center" wrapText="1"/>
    </xf>
    <xf numFmtId="0" fontId="32" fillId="4" borderId="0" xfId="0" applyNumberFormat="1" applyFont="1" applyFill="1" applyAlignment="1">
      <alignment horizontal="center" wrapText="1"/>
    </xf>
    <xf numFmtId="0" fontId="30" fillId="4" borderId="0" xfId="0" applyNumberFormat="1" applyFont="1" applyFill="1" applyAlignment="1">
      <alignment horizontal="center" wrapText="1"/>
    </xf>
    <xf numFmtId="0" fontId="33" fillId="4" borderId="0" xfId="0" applyNumberFormat="1" applyFont="1" applyFill="1" applyAlignment="1"/>
    <xf numFmtId="4" fontId="30" fillId="4" borderId="0" xfId="0" applyNumberFormat="1" applyFont="1" applyFill="1" applyAlignment="1" applyProtection="1">
      <alignment horizontal="right"/>
      <protection locked="0"/>
    </xf>
    <xf numFmtId="0" fontId="34" fillId="4" borderId="0" xfId="0" applyNumberFormat="1" applyFont="1" applyFill="1" applyAlignment="1"/>
    <xf numFmtId="0" fontId="34" fillId="4" borderId="0" xfId="0" applyNumberFormat="1" applyFont="1" applyFill="1" applyAlignment="1">
      <alignment horizontal="right"/>
    </xf>
    <xf numFmtId="0" fontId="34" fillId="4" borderId="0" xfId="0" applyNumberFormat="1" applyFont="1" applyFill="1" applyAlignment="1">
      <alignment horizontal="center"/>
    </xf>
    <xf numFmtId="15" fontId="34" fillId="4" borderId="0" xfId="0" applyNumberFormat="1" applyFont="1" applyFill="1" applyAlignment="1">
      <alignment horizontal="right"/>
    </xf>
    <xf numFmtId="0" fontId="30" fillId="4" borderId="1" xfId="0" applyNumberFormat="1" applyFont="1" applyFill="1" applyBorder="1" applyAlignment="1"/>
    <xf numFmtId="0" fontId="30" fillId="4" borderId="2" xfId="0" applyNumberFormat="1" applyFont="1" applyFill="1" applyBorder="1" applyAlignment="1"/>
    <xf numFmtId="4" fontId="30" fillId="4" borderId="2" xfId="0" applyNumberFormat="1" applyFont="1" applyFill="1" applyBorder="1" applyAlignment="1" applyProtection="1">
      <alignment horizontal="right"/>
      <protection locked="0"/>
    </xf>
    <xf numFmtId="15" fontId="34" fillId="4" borderId="2" xfId="0" applyNumberFormat="1" applyFont="1" applyFill="1" applyBorder="1" applyAlignment="1">
      <alignment horizontal="centerContinuous"/>
    </xf>
    <xf numFmtId="15" fontId="34" fillId="4" borderId="2" xfId="0" applyNumberFormat="1" applyFont="1" applyFill="1" applyBorder="1" applyAlignment="1">
      <alignment horizontal="center"/>
    </xf>
    <xf numFmtId="0" fontId="30" fillId="4" borderId="3" xfId="0" applyNumberFormat="1" applyFont="1" applyFill="1" applyBorder="1" applyAlignment="1">
      <alignment horizontal="right"/>
    </xf>
    <xf numFmtId="3" fontId="34" fillId="4" borderId="0" xfId="0" applyNumberFormat="1" applyFont="1" applyFill="1" applyAlignment="1">
      <alignment horizontal="center"/>
    </xf>
    <xf numFmtId="0" fontId="30" fillId="4" borderId="12" xfId="0" applyNumberFormat="1" applyFont="1" applyFill="1" applyBorder="1" applyAlignment="1"/>
    <xf numFmtId="0" fontId="30" fillId="4" borderId="10" xfId="0" applyNumberFormat="1" applyFont="1" applyFill="1" applyBorder="1" applyAlignment="1"/>
    <xf numFmtId="0" fontId="30" fillId="4" borderId="11" xfId="0" applyNumberFormat="1" applyFont="1" applyFill="1" applyBorder="1" applyAlignment="1"/>
    <xf numFmtId="0" fontId="30" fillId="4" borderId="0" xfId="0" applyNumberFormat="1" applyFont="1" applyFill="1" applyBorder="1" applyAlignment="1"/>
    <xf numFmtId="9" fontId="30" fillId="4" borderId="0" xfId="0" applyNumberFormat="1" applyFont="1" applyFill="1" applyBorder="1" applyAlignment="1"/>
    <xf numFmtId="0" fontId="34" fillId="4" borderId="2" xfId="0" applyNumberFormat="1" applyFont="1" applyFill="1" applyBorder="1" applyAlignment="1"/>
    <xf numFmtId="0" fontId="35" fillId="3" borderId="2" xfId="0" applyNumberFormat="1" applyFont="1" applyFill="1" applyBorder="1" applyAlignment="1"/>
    <xf numFmtId="0" fontId="36" fillId="3" borderId="0" xfId="0" applyNumberFormat="1" applyFont="1" applyFill="1" applyAlignment="1"/>
    <xf numFmtId="0" fontId="37" fillId="3" borderId="0" xfId="0" applyNumberFormat="1" applyFont="1" applyFill="1" applyAlignment="1"/>
    <xf numFmtId="0" fontId="38" fillId="3" borderId="0" xfId="0" applyNumberFormat="1" applyFont="1" applyFill="1" applyAlignment="1"/>
    <xf numFmtId="0" fontId="39" fillId="3" borderId="0" xfId="0" applyNumberFormat="1" applyFont="1" applyFill="1" applyAlignment="1"/>
    <xf numFmtId="0" fontId="39" fillId="3" borderId="0" xfId="0" applyNumberFormat="1" applyFont="1" applyFill="1" applyAlignment="1">
      <alignment horizontal="center" wrapText="1"/>
    </xf>
    <xf numFmtId="9" fontId="37" fillId="3" borderId="0" xfId="0" applyNumberFormat="1" applyFont="1" applyFill="1" applyAlignment="1">
      <alignment horizontal="center"/>
    </xf>
    <xf numFmtId="10" fontId="37" fillId="3" borderId="0" xfId="0" applyNumberFormat="1" applyFont="1" applyFill="1" applyAlignment="1">
      <alignment horizontal="center"/>
    </xf>
    <xf numFmtId="0" fontId="37" fillId="3" borderId="0" xfId="0" applyNumberFormat="1" applyFont="1" applyFill="1" applyAlignment="1">
      <alignment horizontal="center"/>
    </xf>
    <xf numFmtId="15" fontId="37" fillId="3" borderId="0" xfId="0" applyNumberFormat="1" applyFont="1" applyFill="1" applyAlignment="1">
      <alignment horizontal="center"/>
    </xf>
    <xf numFmtId="0" fontId="38" fillId="3" borderId="0" xfId="0" applyNumberFormat="1" applyFont="1" applyFill="1" applyAlignment="1">
      <alignment horizontal="center"/>
    </xf>
    <xf numFmtId="0" fontId="40" fillId="3" borderId="0" xfId="0" applyNumberFormat="1" applyFont="1" applyFill="1" applyAlignment="1"/>
    <xf numFmtId="0" fontId="38" fillId="3" borderId="4" xfId="0" applyNumberFormat="1" applyFont="1" applyFill="1" applyBorder="1" applyAlignment="1"/>
    <xf numFmtId="0" fontId="38" fillId="3" borderId="5" xfId="0" applyNumberFormat="1" applyFont="1" applyFill="1" applyBorder="1" applyAlignment="1"/>
    <xf numFmtId="0" fontId="38" fillId="3" borderId="5" xfId="0" applyNumberFormat="1" applyFont="1" applyFill="1" applyBorder="1" applyAlignment="1">
      <alignment horizontal="center" wrapText="1"/>
    </xf>
    <xf numFmtId="0" fontId="40" fillId="3" borderId="5" xfId="0" applyNumberFormat="1" applyFont="1" applyFill="1" applyBorder="1" applyAlignment="1"/>
    <xf numFmtId="0" fontId="40" fillId="0" borderId="3" xfId="0" applyNumberFormat="1" applyFont="1" applyBorder="1"/>
    <xf numFmtId="0" fontId="40" fillId="0" borderId="0" xfId="0" applyNumberFormat="1" applyFont="1" applyAlignment="1"/>
    <xf numFmtId="0" fontId="37" fillId="3" borderId="5" xfId="0" applyNumberFormat="1" applyFont="1" applyFill="1" applyBorder="1" applyAlignment="1"/>
    <xf numFmtId="0" fontId="38" fillId="3" borderId="5" xfId="0" applyNumberFormat="1" applyFont="1" applyFill="1" applyBorder="1" applyAlignment="1">
      <alignment horizontal="center"/>
    </xf>
    <xf numFmtId="3" fontId="38" fillId="3" borderId="5" xfId="0" applyNumberFormat="1" applyFont="1" applyFill="1" applyBorder="1" applyAlignment="1"/>
    <xf numFmtId="0" fontId="38" fillId="0" borderId="0" xfId="0" applyNumberFormat="1" applyFont="1" applyFill="1" applyBorder="1" applyAlignment="1"/>
    <xf numFmtId="0" fontId="38" fillId="3" borderId="3" xfId="0" applyNumberFormat="1" applyFont="1" applyFill="1" applyBorder="1" applyAlignment="1"/>
    <xf numFmtId="15" fontId="38" fillId="3" borderId="0" xfId="0" applyNumberFormat="1" applyFont="1" applyFill="1" applyAlignment="1" applyProtection="1">
      <alignment horizontal="center"/>
      <protection locked="0"/>
    </xf>
    <xf numFmtId="15" fontId="38" fillId="3" borderId="0" xfId="0" applyNumberFormat="1" applyFont="1" applyFill="1" applyAlignment="1">
      <alignment horizontal="center"/>
    </xf>
    <xf numFmtId="0" fontId="38" fillId="3" borderId="6" xfId="0" applyNumberFormat="1" applyFont="1" applyFill="1" applyBorder="1" applyAlignment="1"/>
    <xf numFmtId="0" fontId="43" fillId="3" borderId="7" xfId="0" applyNumberFormat="1" applyFont="1" applyFill="1" applyBorder="1" applyAlignment="1"/>
    <xf numFmtId="0" fontId="38" fillId="3" borderId="7" xfId="0" applyNumberFormat="1" applyFont="1" applyFill="1" applyBorder="1" applyAlignment="1"/>
    <xf numFmtId="0" fontId="38" fillId="3" borderId="7" xfId="0" applyNumberFormat="1" applyFont="1" applyFill="1" applyBorder="1" applyAlignment="1" applyProtection="1">
      <alignment horizontal="right"/>
      <protection locked="0"/>
    </xf>
    <xf numFmtId="0" fontId="38" fillId="3" borderId="8" xfId="0" applyNumberFormat="1" applyFont="1" applyFill="1" applyBorder="1" applyAlignment="1"/>
    <xf numFmtId="3" fontId="38" fillId="3" borderId="5" xfId="0" applyNumberFormat="1" applyFont="1" applyFill="1" applyBorder="1" applyAlignment="1" applyProtection="1">
      <alignment horizontal="right"/>
      <protection locked="0"/>
    </xf>
    <xf numFmtId="3" fontId="40" fillId="0" borderId="0" xfId="0" applyNumberFormat="1" applyFont="1" applyAlignment="1"/>
    <xf numFmtId="4" fontId="38" fillId="3" borderId="0" xfId="0" applyNumberFormat="1" applyFont="1" applyFill="1" applyAlignment="1" applyProtection="1">
      <alignment horizontal="right"/>
      <protection locked="0"/>
    </xf>
    <xf numFmtId="4" fontId="38" fillId="3" borderId="7" xfId="0" applyNumberFormat="1" applyFont="1" applyFill="1" applyBorder="1" applyAlignment="1" applyProtection="1">
      <alignment horizontal="right"/>
      <protection locked="0"/>
    </xf>
    <xf numFmtId="0" fontId="40" fillId="3" borderId="7" xfId="0" applyNumberFormat="1" applyFont="1" applyFill="1" applyBorder="1" applyAlignment="1"/>
    <xf numFmtId="0" fontId="40" fillId="3" borderId="8" xfId="0" applyNumberFormat="1" applyFont="1" applyFill="1" applyBorder="1" applyAlignment="1"/>
    <xf numFmtId="0" fontId="38" fillId="3" borderId="5" xfId="0" applyNumberFormat="1" applyFont="1" applyFill="1" applyBorder="1" applyAlignment="1" applyProtection="1">
      <protection locked="0"/>
    </xf>
    <xf numFmtId="0" fontId="38" fillId="3" borderId="4" xfId="0" applyNumberFormat="1" applyFont="1" applyFill="1" applyBorder="1" applyAlignment="1">
      <alignment horizontal="right"/>
    </xf>
    <xf numFmtId="3" fontId="38" fillId="3" borderId="5" xfId="0" applyNumberFormat="1" applyFont="1" applyFill="1" applyBorder="1" applyAlignment="1" applyProtection="1">
      <alignment horizontal="center"/>
      <protection locked="0"/>
    </xf>
    <xf numFmtId="3" fontId="37" fillId="3" borderId="5" xfId="0" applyNumberFormat="1" applyFont="1" applyFill="1" applyBorder="1" applyAlignment="1"/>
    <xf numFmtId="166" fontId="38" fillId="3" borderId="5" xfId="0" applyNumberFormat="1" applyFont="1" applyFill="1" applyBorder="1" applyAlignment="1"/>
    <xf numFmtId="10" fontId="38" fillId="3" borderId="5" xfId="0" applyNumberFormat="1" applyFont="1" applyFill="1" applyBorder="1" applyAlignment="1"/>
    <xf numFmtId="0" fontId="40" fillId="0" borderId="0" xfId="0" applyNumberFormat="1" applyFont="1" applyBorder="1" applyAlignment="1"/>
    <xf numFmtId="0" fontId="38" fillId="3" borderId="0" xfId="0" applyNumberFormat="1" applyFont="1" applyFill="1" applyBorder="1" applyAlignment="1"/>
    <xf numFmtId="9" fontId="38" fillId="3" borderId="0" xfId="0" applyNumberFormat="1" applyFont="1" applyFill="1" applyAlignment="1"/>
    <xf numFmtId="3" fontId="38" fillId="3" borderId="0" xfId="0" applyNumberFormat="1" applyFont="1" applyFill="1" applyAlignment="1" applyProtection="1">
      <alignment horizontal="right"/>
      <protection locked="0"/>
    </xf>
    <xf numFmtId="0" fontId="40" fillId="3" borderId="3" xfId="0" applyNumberFormat="1" applyFont="1" applyFill="1" applyBorder="1" applyAlignment="1"/>
    <xf numFmtId="0" fontId="37" fillId="3" borderId="0" xfId="0" quotePrefix="1" applyNumberFormat="1" applyFont="1" applyFill="1" applyAlignment="1">
      <alignment horizontal="center"/>
    </xf>
    <xf numFmtId="0" fontId="42" fillId="3" borderId="0" xfId="0" applyNumberFormat="1" applyFont="1" applyFill="1" applyAlignment="1"/>
    <xf numFmtId="0" fontId="43" fillId="3" borderId="0" xfId="0" applyNumberFormat="1" applyFont="1" applyFill="1" applyAlignment="1"/>
    <xf numFmtId="15" fontId="38" fillId="3" borderId="0" xfId="0" applyNumberFormat="1" applyFont="1" applyFill="1" applyBorder="1" applyAlignment="1" applyProtection="1">
      <alignment horizontal="center"/>
      <protection locked="0"/>
    </xf>
    <xf numFmtId="15" fontId="38" fillId="3" borderId="0" xfId="0" applyNumberFormat="1" applyFont="1" applyFill="1" applyBorder="1" applyAlignment="1">
      <alignment horizontal="center"/>
    </xf>
    <xf numFmtId="0" fontId="38" fillId="3" borderId="15" xfId="0" applyNumberFormat="1" applyFont="1" applyFill="1" applyBorder="1" applyAlignment="1"/>
    <xf numFmtId="0" fontId="38" fillId="3" borderId="16" xfId="0" applyNumberFormat="1" applyFont="1" applyFill="1" applyBorder="1" applyAlignment="1"/>
    <xf numFmtId="0" fontId="38" fillId="3" borderId="16" xfId="0" applyNumberFormat="1" applyFont="1" applyFill="1" applyBorder="1" applyAlignment="1">
      <alignment horizontal="center" wrapText="1"/>
    </xf>
    <xf numFmtId="0" fontId="40" fillId="3" borderId="16" xfId="0" applyNumberFormat="1" applyFont="1" applyFill="1" applyBorder="1" applyAlignment="1"/>
    <xf numFmtId="0" fontId="38" fillId="3" borderId="17" xfId="0" applyNumberFormat="1" applyFont="1" applyFill="1" applyBorder="1" applyAlignment="1"/>
    <xf numFmtId="0" fontId="37" fillId="3" borderId="15" xfId="0" applyNumberFormat="1" applyFont="1" applyFill="1" applyBorder="1" applyAlignment="1"/>
    <xf numFmtId="0" fontId="37" fillId="3" borderId="16" xfId="0" applyNumberFormat="1" applyFont="1" applyFill="1" applyBorder="1" applyAlignment="1"/>
    <xf numFmtId="0" fontId="41" fillId="3" borderId="16" xfId="0" applyNumberFormat="1" applyFont="1" applyFill="1" applyBorder="1" applyAlignment="1">
      <alignment horizontal="center" wrapText="1"/>
    </xf>
    <xf numFmtId="0" fontId="38" fillId="3" borderId="16" xfId="0" applyNumberFormat="1" applyFont="1" applyFill="1" applyBorder="1" applyAlignment="1">
      <alignment horizontal="center"/>
    </xf>
    <xf numFmtId="164" fontId="38" fillId="3" borderId="16" xfId="0" applyNumberFormat="1" applyFont="1" applyFill="1" applyBorder="1" applyAlignment="1"/>
    <xf numFmtId="164" fontId="38" fillId="3" borderId="16" xfId="0" applyNumberFormat="1" applyFont="1" applyFill="1" applyBorder="1" applyAlignment="1">
      <alignment horizontal="center"/>
    </xf>
    <xf numFmtId="168" fontId="38" fillId="3" borderId="16" xfId="0" applyNumberFormat="1" applyFont="1" applyFill="1" applyBorder="1" applyAlignment="1">
      <alignment horizontal="center"/>
    </xf>
    <xf numFmtId="169" fontId="38" fillId="3" borderId="16" xfId="0" applyNumberFormat="1" applyFont="1" applyFill="1" applyBorder="1" applyAlignment="1">
      <alignment horizontal="center"/>
    </xf>
    <xf numFmtId="164" fontId="40" fillId="3" borderId="16" xfId="0" applyNumberFormat="1" applyFont="1" applyFill="1" applyBorder="1" applyAlignment="1"/>
    <xf numFmtId="3" fontId="38" fillId="3" borderId="17" xfId="0" applyNumberFormat="1" applyFont="1" applyFill="1" applyBorder="1" applyAlignment="1"/>
    <xf numFmtId="164" fontId="37" fillId="3" borderId="16" xfId="0" applyNumberFormat="1" applyFont="1" applyFill="1" applyBorder="1" applyAlignment="1"/>
    <xf numFmtId="164" fontId="37" fillId="3" borderId="16" xfId="0" applyNumberFormat="1" applyFont="1" applyFill="1" applyBorder="1" applyAlignment="1">
      <alignment horizontal="center"/>
    </xf>
    <xf numFmtId="168" fontId="37" fillId="3" borderId="16" xfId="0" applyNumberFormat="1" applyFont="1" applyFill="1" applyBorder="1" applyAlignment="1">
      <alignment horizontal="center"/>
    </xf>
    <xf numFmtId="164" fontId="42" fillId="3" borderId="16" xfId="0" applyNumberFormat="1" applyFont="1" applyFill="1" applyBorder="1" applyAlignment="1"/>
    <xf numFmtId="0" fontId="10" fillId="3" borderId="15" xfId="0" applyNumberFormat="1" applyFont="1" applyFill="1" applyBorder="1" applyAlignment="1"/>
    <xf numFmtId="0" fontId="19" fillId="3" borderId="16" xfId="0" applyNumberFormat="1" applyFont="1" applyFill="1" applyBorder="1" applyAlignment="1"/>
    <xf numFmtId="164" fontId="19" fillId="3" borderId="16" xfId="0" applyNumberFormat="1" applyFont="1" applyFill="1" applyBorder="1" applyAlignment="1"/>
    <xf numFmtId="171" fontId="19" fillId="3" borderId="16" xfId="0" applyNumberFormat="1" applyFont="1" applyFill="1" applyBorder="1" applyAlignment="1">
      <alignment horizontal="center"/>
    </xf>
    <xf numFmtId="170" fontId="19" fillId="3" borderId="16" xfId="0" applyNumberFormat="1" applyFont="1" applyFill="1" applyBorder="1" applyAlignment="1"/>
    <xf numFmtId="170" fontId="19" fillId="3" borderId="16" xfId="0" applyNumberFormat="1" applyFont="1" applyFill="1" applyBorder="1" applyAlignment="1">
      <alignment horizontal="center"/>
    </xf>
    <xf numFmtId="164" fontId="2" fillId="3" borderId="16" xfId="0" applyNumberFormat="1" applyFont="1" applyFill="1" applyBorder="1" applyAlignment="1">
      <alignment horizontal="center"/>
    </xf>
    <xf numFmtId="164" fontId="1" fillId="3" borderId="16" xfId="0" applyNumberFormat="1" applyFont="1" applyFill="1" applyBorder="1" applyAlignment="1"/>
    <xf numFmtId="3" fontId="2" fillId="3" borderId="17" xfId="0" applyNumberFormat="1" applyFont="1" applyFill="1" applyBorder="1" applyAlignment="1"/>
    <xf numFmtId="4" fontId="19" fillId="3" borderId="16" xfId="0" applyNumberFormat="1" applyFont="1" applyFill="1" applyBorder="1" applyAlignment="1">
      <alignment horizontal="center"/>
    </xf>
    <xf numFmtId="165" fontId="38" fillId="3" borderId="16" xfId="0" applyNumberFormat="1" applyFont="1" applyFill="1" applyBorder="1" applyAlignment="1">
      <alignment horizontal="center"/>
    </xf>
    <xf numFmtId="10" fontId="38" fillId="3" borderId="16" xfId="0" applyNumberFormat="1" applyFont="1" applyFill="1" applyBorder="1" applyAlignment="1">
      <alignment horizontal="center"/>
    </xf>
    <xf numFmtId="167" fontId="38" fillId="3" borderId="16" xfId="0" applyNumberFormat="1" applyFont="1" applyFill="1" applyBorder="1" applyAlignment="1">
      <alignment horizontal="center"/>
    </xf>
    <xf numFmtId="165" fontId="38" fillId="3" borderId="16" xfId="0" applyNumberFormat="1" applyFont="1" applyFill="1" applyBorder="1" applyAlignment="1">
      <alignment horizontal="right"/>
    </xf>
    <xf numFmtId="0" fontId="38" fillId="3" borderId="16" xfId="0" applyNumberFormat="1" applyFont="1" applyFill="1" applyBorder="1" applyAlignment="1">
      <alignment horizontal="right"/>
    </xf>
    <xf numFmtId="165" fontId="38" fillId="3" borderId="16" xfId="0" applyNumberFormat="1" applyFont="1" applyFill="1" applyBorder="1" applyAlignment="1"/>
    <xf numFmtId="4" fontId="38" fillId="3" borderId="16" xfId="0" applyNumberFormat="1" applyFont="1" applyFill="1" applyBorder="1" applyAlignment="1">
      <alignment horizontal="center"/>
    </xf>
    <xf numFmtId="15" fontId="37" fillId="3" borderId="16" xfId="0" applyNumberFormat="1" applyFont="1" applyFill="1" applyBorder="1" applyAlignment="1">
      <alignment horizontal="center"/>
    </xf>
    <xf numFmtId="15" fontId="37" fillId="3" borderId="16" xfId="0" applyNumberFormat="1" applyFont="1" applyFill="1" applyBorder="1" applyAlignment="1" applyProtection="1">
      <alignment horizontal="center"/>
      <protection locked="0"/>
    </xf>
    <xf numFmtId="15" fontId="38" fillId="3" borderId="16" xfId="0" applyNumberFormat="1" applyFont="1" applyFill="1" applyBorder="1" applyAlignment="1"/>
    <xf numFmtId="15" fontId="38" fillId="3" borderId="16" xfId="0" applyNumberFormat="1" applyFont="1" applyFill="1" applyBorder="1" applyAlignment="1" applyProtection="1">
      <alignment horizontal="center"/>
      <protection locked="0"/>
    </xf>
    <xf numFmtId="15" fontId="38" fillId="3" borderId="16" xfId="0" applyNumberFormat="1" applyFont="1" applyFill="1" applyBorder="1" applyAlignment="1">
      <alignment horizontal="center"/>
    </xf>
    <xf numFmtId="3" fontId="2" fillId="3" borderId="0" xfId="0" applyNumberFormat="1" applyFont="1" applyFill="1" applyBorder="1" applyAlignment="1"/>
    <xf numFmtId="3" fontId="13" fillId="3" borderId="0" xfId="0" applyNumberFormat="1" applyFont="1" applyFill="1" applyBorder="1" applyAlignment="1"/>
    <xf numFmtId="0" fontId="38" fillId="3" borderId="18" xfId="0" applyNumberFormat="1" applyFont="1" applyFill="1" applyBorder="1" applyAlignment="1"/>
    <xf numFmtId="0" fontId="38" fillId="3" borderId="19" xfId="0" applyNumberFormat="1" applyFont="1" applyFill="1" applyBorder="1" applyAlignment="1"/>
    <xf numFmtId="3" fontId="38" fillId="3" borderId="19" xfId="0" applyNumberFormat="1" applyFont="1" applyFill="1" applyBorder="1" applyAlignment="1"/>
    <xf numFmtId="3" fontId="38" fillId="3" borderId="19" xfId="0" applyNumberFormat="1" applyFont="1" applyFill="1" applyBorder="1" applyAlignment="1" applyProtection="1">
      <alignment horizontal="right"/>
      <protection locked="0"/>
    </xf>
    <xf numFmtId="0" fontId="38" fillId="3" borderId="20" xfId="0" applyNumberFormat="1" applyFont="1" applyFill="1" applyBorder="1" applyAlignment="1"/>
    <xf numFmtId="3" fontId="38" fillId="3" borderId="0" xfId="0" applyNumberFormat="1" applyFont="1" applyFill="1" applyBorder="1" applyAlignment="1"/>
    <xf numFmtId="0" fontId="38" fillId="3" borderId="19" xfId="0" applyNumberFormat="1" applyFont="1" applyFill="1" applyBorder="1" applyAlignment="1">
      <alignment horizontal="right"/>
    </xf>
    <xf numFmtId="14" fontId="38" fillId="3" borderId="19" xfId="0" applyNumberFormat="1" applyFont="1" applyFill="1" applyBorder="1" applyAlignment="1">
      <alignment horizontal="right"/>
    </xf>
    <xf numFmtId="167" fontId="38" fillId="3" borderId="19" xfId="0" applyNumberFormat="1" applyFont="1" applyFill="1" applyBorder="1" applyAlignment="1">
      <alignment horizontal="right"/>
    </xf>
    <xf numFmtId="0" fontId="2" fillId="3" borderId="18" xfId="0" applyNumberFormat="1" applyFont="1" applyFill="1" applyBorder="1" applyAlignment="1"/>
    <xf numFmtId="0" fontId="21" fillId="3" borderId="19" xfId="0" applyNumberFormat="1" applyFont="1" applyFill="1" applyBorder="1" applyAlignment="1"/>
    <xf numFmtId="0" fontId="2" fillId="3" borderId="19" xfId="0" applyNumberFormat="1" applyFont="1" applyFill="1" applyBorder="1" applyAlignment="1"/>
    <xf numFmtId="3" fontId="2" fillId="3" borderId="19" xfId="0" applyNumberFormat="1" applyFont="1" applyFill="1" applyBorder="1" applyAlignment="1"/>
    <xf numFmtId="3" fontId="13" fillId="3" borderId="19" xfId="0" applyNumberFormat="1" applyFont="1" applyFill="1" applyBorder="1" applyAlignment="1" applyProtection="1">
      <alignment horizontal="right"/>
      <protection locked="0"/>
    </xf>
    <xf numFmtId="0" fontId="2" fillId="3" borderId="20" xfId="0" applyNumberFormat="1" applyFont="1" applyFill="1" applyBorder="1" applyAlignment="1"/>
    <xf numFmtId="4" fontId="13" fillId="3" borderId="19" xfId="0" applyNumberFormat="1" applyFont="1" applyFill="1" applyBorder="1" applyAlignment="1" applyProtection="1">
      <alignment horizontal="right"/>
      <protection locked="0"/>
    </xf>
    <xf numFmtId="4" fontId="38" fillId="3" borderId="0"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8" fillId="3" borderId="19" xfId="0" applyNumberFormat="1" applyFont="1" applyFill="1" applyBorder="1" applyAlignment="1" applyProtection="1">
      <alignment horizontal="right"/>
      <protection locked="0"/>
    </xf>
    <xf numFmtId="0" fontId="40" fillId="3" borderId="19" xfId="0" applyNumberFormat="1" applyFont="1" applyFill="1" applyBorder="1" applyAlignment="1"/>
    <xf numFmtId="2" fontId="38" fillId="3" borderId="19" xfId="0" applyNumberFormat="1" applyFont="1" applyFill="1" applyBorder="1" applyAlignment="1" applyProtection="1">
      <alignment horizontal="right"/>
      <protection locked="0"/>
    </xf>
    <xf numFmtId="0" fontId="38" fillId="3" borderId="0" xfId="0" applyNumberFormat="1" applyFont="1" applyFill="1" applyBorder="1" applyAlignment="1" applyProtection="1">
      <protection locked="0"/>
    </xf>
    <xf numFmtId="15" fontId="37" fillId="3" borderId="19" xfId="0" applyNumberFormat="1" applyFont="1" applyFill="1" applyBorder="1" applyAlignment="1">
      <alignment horizontal="centerContinuous"/>
    </xf>
    <xf numFmtId="15" fontId="37" fillId="3" borderId="19" xfId="0" applyNumberFormat="1" applyFont="1" applyFill="1" applyBorder="1" applyAlignment="1">
      <alignment horizontal="center"/>
    </xf>
    <xf numFmtId="10" fontId="38" fillId="3" borderId="19" xfId="0" applyNumberFormat="1" applyFont="1" applyFill="1" applyBorder="1" applyAlignment="1">
      <alignment horizontal="center"/>
    </xf>
    <xf numFmtId="17" fontId="38" fillId="3" borderId="19" xfId="0" applyNumberFormat="1" applyFont="1" applyFill="1" applyBorder="1" applyAlignment="1">
      <alignment horizontal="center"/>
    </xf>
    <xf numFmtId="4" fontId="38" fillId="3" borderId="19"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2" fillId="3" borderId="0" xfId="0" applyNumberFormat="1" applyFont="1" applyFill="1" applyBorder="1" applyAlignment="1" applyProtection="1">
      <protection locked="0"/>
    </xf>
    <xf numFmtId="0" fontId="16" fillId="3" borderId="0" xfId="0" applyNumberFormat="1" applyFont="1" applyFill="1" applyBorder="1" applyAlignment="1"/>
    <xf numFmtId="0" fontId="38" fillId="3" borderId="18" xfId="0" applyNumberFormat="1" applyFont="1" applyFill="1" applyBorder="1" applyAlignment="1">
      <alignment horizontal="right"/>
    </xf>
    <xf numFmtId="0" fontId="38" fillId="3" borderId="19" xfId="0" applyNumberFormat="1" applyFont="1" applyFill="1" applyBorder="1" applyAlignment="1">
      <alignment horizontal="center"/>
    </xf>
    <xf numFmtId="3" fontId="38" fillId="3" borderId="19" xfId="0" applyNumberFormat="1" applyFont="1" applyFill="1" applyBorder="1" applyAlignment="1">
      <alignment horizontal="center"/>
    </xf>
    <xf numFmtId="3" fontId="38" fillId="3" borderId="19" xfId="0" applyNumberFormat="1" applyFont="1" applyFill="1" applyBorder="1" applyAlignment="1" applyProtection="1">
      <alignment horizontal="center"/>
      <protection locked="0"/>
    </xf>
    <xf numFmtId="0" fontId="38" fillId="3" borderId="19" xfId="0" applyNumberFormat="1" applyFont="1" applyFill="1" applyBorder="1" applyAlignment="1" applyProtection="1">
      <protection locked="0"/>
    </xf>
    <xf numFmtId="3" fontId="37" fillId="3" borderId="20" xfId="0" applyNumberFormat="1" applyFont="1" applyFill="1" applyBorder="1" applyAlignment="1"/>
    <xf numFmtId="0" fontId="13" fillId="3" borderId="18" xfId="0" applyNumberFormat="1" applyFont="1" applyFill="1" applyBorder="1" applyAlignment="1">
      <alignment horizontal="right"/>
    </xf>
    <xf numFmtId="0" fontId="19" fillId="3" borderId="19" xfId="0" applyNumberFormat="1" applyFont="1" applyFill="1" applyBorder="1" applyAlignment="1"/>
    <xf numFmtId="3" fontId="13" fillId="3" borderId="19" xfId="0" applyNumberFormat="1" applyFont="1" applyFill="1" applyBorder="1" applyAlignment="1"/>
    <xf numFmtId="3" fontId="13" fillId="3" borderId="19" xfId="0" applyNumberFormat="1" applyFont="1" applyFill="1" applyBorder="1" applyAlignment="1" applyProtection="1">
      <alignment horizontal="center"/>
      <protection locked="0"/>
    </xf>
    <xf numFmtId="0" fontId="2" fillId="3" borderId="19" xfId="0" applyNumberFormat="1" applyFont="1" applyFill="1" applyBorder="1" applyAlignment="1" applyProtection="1">
      <protection locked="0"/>
    </xf>
    <xf numFmtId="3" fontId="16" fillId="3" borderId="20" xfId="0" applyNumberFormat="1" applyFont="1" applyFill="1" applyBorder="1" applyAlignment="1"/>
    <xf numFmtId="0" fontId="13" fillId="3" borderId="18" xfId="0" applyNumberFormat="1" applyFont="1" applyFill="1" applyBorder="1" applyAlignment="1">
      <alignment horizontal="center"/>
    </xf>
    <xf numFmtId="0" fontId="13" fillId="3" borderId="19" xfId="0" applyNumberFormat="1" applyFont="1" applyFill="1" applyBorder="1" applyAlignment="1"/>
    <xf numFmtId="0" fontId="16" fillId="3" borderId="20" xfId="0" applyNumberFormat="1" applyFont="1" applyFill="1" applyBorder="1" applyAlignment="1"/>
    <xf numFmtId="0" fontId="38" fillId="3" borderId="18" xfId="0" applyNumberFormat="1" applyFont="1" applyFill="1" applyBorder="1" applyAlignment="1">
      <alignment horizontal="center"/>
    </xf>
    <xf numFmtId="0" fontId="44" fillId="3" borderId="19" xfId="0" applyNumberFormat="1" applyFont="1" applyFill="1" applyBorder="1" applyAlignment="1"/>
    <xf numFmtId="0" fontId="37" fillId="3" borderId="20" xfId="0" applyNumberFormat="1" applyFont="1" applyFill="1" applyBorder="1" applyAlignment="1"/>
    <xf numFmtId="4" fontId="38" fillId="3" borderId="19" xfId="0" applyNumberFormat="1" applyFont="1" applyFill="1" applyBorder="1" applyAlignment="1">
      <alignment horizontal="right"/>
    </xf>
    <xf numFmtId="4" fontId="38" fillId="3" borderId="19" xfId="0" applyNumberFormat="1" applyFont="1" applyFill="1" applyBorder="1" applyAlignment="1" applyProtection="1">
      <alignment horizontal="center"/>
      <protection locked="0"/>
    </xf>
    <xf numFmtId="0" fontId="13" fillId="3" borderId="19" xfId="0" applyNumberFormat="1" applyFont="1" applyFill="1" applyBorder="1" applyAlignment="1">
      <alignment horizontal="right"/>
    </xf>
    <xf numFmtId="4" fontId="13" fillId="3" borderId="19" xfId="0" applyNumberFormat="1" applyFont="1" applyFill="1" applyBorder="1" applyAlignment="1">
      <alignment horizontal="right"/>
    </xf>
    <xf numFmtId="0" fontId="29" fillId="3" borderId="19" xfId="0" applyNumberFormat="1" applyFont="1" applyFill="1" applyBorder="1" applyAlignment="1">
      <alignment horizontal="center"/>
    </xf>
    <xf numFmtId="10" fontId="29" fillId="3" borderId="19" xfId="0" applyNumberFormat="1" applyFont="1" applyFill="1" applyBorder="1" applyAlignment="1" applyProtection="1">
      <alignment horizontal="center"/>
      <protection locked="0"/>
    </xf>
    <xf numFmtId="2" fontId="38" fillId="3" borderId="19" xfId="0" applyNumberFormat="1" applyFont="1" applyFill="1" applyBorder="1" applyAlignment="1" applyProtection="1">
      <alignment horizontal="center"/>
      <protection locked="0"/>
    </xf>
    <xf numFmtId="0" fontId="27" fillId="3" borderId="19" xfId="0" applyNumberFormat="1" applyFont="1" applyFill="1" applyBorder="1" applyAlignment="1"/>
    <xf numFmtId="0" fontId="28" fillId="3" borderId="19" xfId="1" applyNumberFormat="1" applyFont="1" applyFill="1" applyBorder="1" applyAlignment="1" applyProtection="1"/>
    <xf numFmtId="10" fontId="13" fillId="3" borderId="19" xfId="0" applyNumberFormat="1" applyFont="1" applyFill="1" applyBorder="1" applyAlignment="1" applyProtection="1">
      <alignment horizontal="center"/>
      <protection locked="0"/>
    </xf>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38" fillId="3" borderId="19" xfId="0" applyNumberFormat="1" applyFont="1" applyFill="1" applyBorder="1" applyAlignment="1"/>
    <xf numFmtId="10" fontId="38" fillId="3" borderId="19" xfId="0" applyNumberFormat="1" applyFont="1" applyFill="1" applyBorder="1" applyAlignment="1"/>
    <xf numFmtId="9" fontId="38" fillId="3" borderId="19" xfId="0" applyNumberFormat="1" applyFont="1" applyFill="1" applyBorder="1" applyAlignment="1"/>
    <xf numFmtId="0" fontId="38" fillId="3" borderId="21" xfId="0" applyNumberFormat="1" applyFont="1" applyFill="1" applyBorder="1" applyAlignment="1"/>
    <xf numFmtId="9" fontId="38" fillId="3" borderId="21" xfId="0" applyNumberFormat="1" applyFont="1" applyFill="1" applyBorder="1" applyAlignment="1"/>
    <xf numFmtId="0" fontId="38" fillId="3" borderId="22" xfId="0" applyNumberFormat="1" applyFont="1" applyFill="1" applyBorder="1" applyAlignment="1"/>
    <xf numFmtId="0" fontId="41" fillId="3" borderId="0" xfId="0" applyNumberFormat="1" applyFont="1" applyFill="1" applyBorder="1" applyAlignment="1"/>
    <xf numFmtId="0" fontId="41" fillId="3" borderId="19" xfId="0" applyNumberFormat="1" applyFont="1" applyFill="1" applyBorder="1" applyAlignment="1"/>
    <xf numFmtId="3" fontId="41" fillId="3" borderId="19" xfId="0" applyNumberFormat="1" applyFont="1" applyFill="1" applyBorder="1" applyAlignment="1"/>
    <xf numFmtId="3" fontId="37" fillId="3" borderId="19" xfId="0" applyNumberFormat="1" applyFont="1" applyFill="1" applyBorder="1" applyAlignment="1" applyProtection="1">
      <alignment horizontal="right"/>
      <protection locked="0"/>
    </xf>
    <xf numFmtId="0" fontId="38" fillId="2" borderId="0" xfId="0" applyNumberFormat="1" applyFont="1" applyFill="1" applyAlignment="1"/>
    <xf numFmtId="0" fontId="38" fillId="2" borderId="0" xfId="0" applyNumberFormat="1" applyFont="1" applyFill="1" applyAlignment="1">
      <alignment horizontal="center"/>
    </xf>
    <xf numFmtId="0" fontId="40" fillId="2" borderId="0" xfId="0" applyNumberFormat="1" applyFont="1" applyFill="1" applyAlignment="1"/>
    <xf numFmtId="0" fontId="30" fillId="2" borderId="3" xfId="0" applyNumberFormat="1" applyFont="1" applyFill="1" applyBorder="1" applyAlignment="1"/>
    <xf numFmtId="0" fontId="30" fillId="2" borderId="0" xfId="0" applyNumberFormat="1" applyFont="1" applyFill="1" applyAlignment="1"/>
    <xf numFmtId="0" fontId="31" fillId="2" borderId="0" xfId="0" applyNumberFormat="1" applyFont="1" applyFill="1" applyAlignment="1">
      <alignment horizontal="center" wrapText="1"/>
    </xf>
    <xf numFmtId="0" fontId="38" fillId="2" borderId="3" xfId="0" applyNumberFormat="1" applyFont="1" applyFill="1" applyBorder="1" applyAlignment="1"/>
    <xf numFmtId="0" fontId="38" fillId="2" borderId="0" xfId="0" applyNumberFormat="1" applyFont="1" applyFill="1" applyBorder="1" applyAlignment="1"/>
    <xf numFmtId="0" fontId="38" fillId="2" borderId="6" xfId="0" applyNumberFormat="1" applyFont="1" applyFill="1" applyBorder="1" applyAlignment="1"/>
    <xf numFmtId="0" fontId="38" fillId="2" borderId="8" xfId="0" applyNumberFormat="1" applyFont="1" applyFill="1" applyBorder="1" applyAlignment="1"/>
    <xf numFmtId="0" fontId="34" fillId="2" borderId="0" xfId="0" applyNumberFormat="1" applyFont="1" applyFill="1" applyAlignment="1"/>
    <xf numFmtId="4" fontId="30" fillId="2" borderId="0" xfId="0" applyNumberFormat="1" applyFont="1" applyFill="1" applyAlignment="1" applyProtection="1">
      <alignment horizontal="right"/>
      <protection locked="0"/>
    </xf>
    <xf numFmtId="3" fontId="2" fillId="2" borderId="0" xfId="0" applyNumberFormat="1" applyFont="1" applyFill="1" applyBorder="1" applyAlignment="1"/>
    <xf numFmtId="3" fontId="13" fillId="2" borderId="0" xfId="0" applyNumberFormat="1" applyFont="1" applyFill="1" applyBorder="1" applyAlignment="1"/>
    <xf numFmtId="0" fontId="34" fillId="2" borderId="0" xfId="0" applyNumberFormat="1" applyFont="1" applyFill="1" applyAlignment="1">
      <alignment horizontal="center"/>
    </xf>
    <xf numFmtId="0" fontId="30" fillId="2" borderId="1" xfId="0" applyNumberFormat="1" applyFont="1" applyFill="1" applyBorder="1" applyAlignment="1"/>
    <xf numFmtId="0" fontId="30" fillId="2" borderId="2" xfId="0" applyNumberFormat="1" applyFont="1" applyFill="1" applyBorder="1" applyAlignment="1"/>
    <xf numFmtId="4" fontId="30" fillId="2" borderId="2" xfId="0" applyNumberFormat="1" applyFont="1" applyFill="1" applyBorder="1" applyAlignment="1" applyProtection="1">
      <alignment horizontal="right"/>
      <protection locked="0"/>
    </xf>
    <xf numFmtId="4" fontId="38" fillId="2" borderId="0" xfId="0" applyNumberFormat="1" applyFont="1" applyFill="1" applyBorder="1" applyAlignment="1" applyProtection="1">
      <alignment horizontal="right"/>
      <protection locked="0"/>
    </xf>
    <xf numFmtId="4" fontId="2" fillId="2" borderId="0" xfId="0" applyNumberFormat="1" applyFont="1" applyFill="1" applyBorder="1" applyAlignment="1" applyProtection="1">
      <alignment horizontal="right"/>
      <protection locked="0"/>
    </xf>
    <xf numFmtId="0" fontId="40" fillId="2" borderId="7" xfId="0" applyNumberFormat="1" applyFont="1" applyFill="1" applyBorder="1" applyAlignment="1"/>
    <xf numFmtId="0" fontId="40" fillId="2" borderId="8" xfId="0" applyNumberFormat="1" applyFont="1" applyFill="1" applyBorder="1" applyAlignment="1"/>
    <xf numFmtId="15" fontId="34" fillId="2" borderId="2" xfId="0" applyNumberFormat="1" applyFont="1" applyFill="1" applyBorder="1" applyAlignment="1">
      <alignment horizontal="centerContinuous"/>
    </xf>
    <xf numFmtId="15" fontId="34" fillId="2" borderId="2" xfId="0" applyNumberFormat="1" applyFont="1" applyFill="1" applyBorder="1" applyAlignment="1">
      <alignment horizontal="center"/>
    </xf>
    <xf numFmtId="0" fontId="38" fillId="2" borderId="0" xfId="0" applyNumberFormat="1" applyFont="1" applyFill="1" applyBorder="1" applyAlignment="1" applyProtection="1">
      <protection locked="0"/>
    </xf>
    <xf numFmtId="0" fontId="30" fillId="2" borderId="3" xfId="0" applyNumberFormat="1" applyFont="1" applyFill="1" applyBorder="1" applyAlignment="1">
      <alignment horizontal="right"/>
    </xf>
    <xf numFmtId="3" fontId="34" fillId="2" borderId="0" xfId="0" applyNumberFormat="1" applyFont="1" applyFill="1" applyAlignment="1">
      <alignment horizontal="center"/>
    </xf>
    <xf numFmtId="0" fontId="13" fillId="2" borderId="0" xfId="0" applyNumberFormat="1" applyFont="1" applyFill="1" applyBorder="1" applyAlignment="1"/>
    <xf numFmtId="0" fontId="13" fillId="2" borderId="0" xfId="0" applyNumberFormat="1" applyFont="1" applyFill="1" applyBorder="1" applyAlignment="1">
      <alignment horizontal="right"/>
    </xf>
    <xf numFmtId="4" fontId="13" fillId="2" borderId="0" xfId="0" applyNumberFormat="1" applyFont="1" applyFill="1" applyBorder="1" applyAlignment="1">
      <alignment horizontal="right"/>
    </xf>
    <xf numFmtId="0" fontId="2" fillId="2" borderId="0" xfId="0" applyNumberFormat="1" applyFont="1" applyFill="1" applyBorder="1" applyAlignment="1" applyProtection="1">
      <protection locked="0"/>
    </xf>
    <xf numFmtId="0" fontId="16" fillId="2" borderId="0" xfId="0" applyNumberFormat="1" applyFont="1" applyFill="1" applyBorder="1" applyAlignment="1"/>
    <xf numFmtId="10" fontId="2" fillId="2" borderId="0" xfId="0" applyNumberFormat="1" applyFont="1" applyFill="1" applyBorder="1" applyAlignment="1"/>
    <xf numFmtId="3" fontId="13" fillId="2" borderId="0" xfId="0" applyNumberFormat="1" applyFont="1" applyFill="1" applyBorder="1" applyAlignment="1" applyProtection="1">
      <alignment horizontal="right"/>
      <protection locked="0"/>
    </xf>
    <xf numFmtId="0" fontId="30" fillId="2" borderId="12" xfId="0" applyNumberFormat="1" applyFont="1" applyFill="1" applyBorder="1" applyAlignment="1"/>
    <xf numFmtId="0" fontId="30" fillId="2" borderId="10" xfId="0" applyNumberFormat="1" applyFont="1" applyFill="1" applyBorder="1" applyAlignment="1"/>
    <xf numFmtId="0" fontId="30" fillId="2" borderId="11" xfId="0" applyNumberFormat="1" applyFont="1" applyFill="1" applyBorder="1" applyAlignment="1"/>
    <xf numFmtId="0" fontId="30" fillId="2" borderId="0" xfId="0" applyNumberFormat="1" applyFont="1" applyFill="1" applyBorder="1" applyAlignment="1"/>
    <xf numFmtId="9" fontId="30" fillId="2" borderId="0" xfId="0" applyNumberFormat="1" applyFont="1" applyFill="1" applyBorder="1" applyAlignment="1"/>
    <xf numFmtId="0" fontId="40" fillId="2" borderId="3" xfId="0" applyNumberFormat="1" applyFont="1" applyFill="1" applyBorder="1" applyAlignment="1"/>
    <xf numFmtId="0" fontId="45" fillId="2" borderId="0" xfId="0" applyNumberFormat="1" applyFont="1" applyFill="1" applyAlignment="1">
      <alignment horizontal="center" wrapText="1"/>
    </xf>
    <xf numFmtId="0" fontId="46" fillId="2" borderId="0" xfId="0" applyNumberFormat="1" applyFont="1" applyFill="1" applyAlignment="1"/>
    <xf numFmtId="0" fontId="11" fillId="2" borderId="2" xfId="0" applyNumberFormat="1" applyFont="1" applyFill="1" applyBorder="1" applyAlignment="1"/>
    <xf numFmtId="15" fontId="2" fillId="2" borderId="0" xfId="0" applyNumberFormat="1" applyFont="1" applyFill="1" applyBorder="1" applyAlignment="1" applyProtection="1">
      <alignment horizontal="center"/>
      <protection locked="0"/>
    </xf>
    <xf numFmtId="15" fontId="2" fillId="2" borderId="0" xfId="0" applyNumberFormat="1" applyFont="1" applyFill="1" applyBorder="1" applyAlignment="1">
      <alignment horizontal="center"/>
    </xf>
    <xf numFmtId="15" fontId="2" fillId="2" borderId="0" xfId="0" applyNumberFormat="1" applyFont="1" applyFill="1" applyAlignment="1" applyProtection="1">
      <alignment horizontal="center"/>
      <protection locked="0"/>
    </xf>
    <xf numFmtId="15" fontId="2" fillId="2" borderId="0" xfId="0" applyNumberFormat="1" applyFont="1" applyFill="1" applyAlignment="1">
      <alignment horizontal="center"/>
    </xf>
    <xf numFmtId="0" fontId="38" fillId="2" borderId="23" xfId="0" applyNumberFormat="1" applyFont="1" applyFill="1" applyBorder="1" applyAlignment="1"/>
    <xf numFmtId="0" fontId="2" fillId="2" borderId="9" xfId="0" applyNumberFormat="1" applyFont="1" applyFill="1" applyBorder="1" applyAlignment="1">
      <alignment horizontal="center" wrapText="1"/>
    </xf>
    <xf numFmtId="0" fontId="8" fillId="2" borderId="9" xfId="0" applyNumberFormat="1" applyFont="1" applyFill="1" applyBorder="1" applyAlignment="1"/>
    <xf numFmtId="0" fontId="37" fillId="2" borderId="23" xfId="0" applyNumberFormat="1" applyFont="1" applyFill="1" applyBorder="1" applyAlignment="1"/>
    <xf numFmtId="0" fontId="10" fillId="2" borderId="9" xfId="0" applyNumberFormat="1" applyFont="1" applyFill="1" applyBorder="1" applyAlignment="1"/>
    <xf numFmtId="0" fontId="10" fillId="2" borderId="9" xfId="0" applyNumberFormat="1" applyFont="1" applyFill="1" applyBorder="1" applyAlignment="1">
      <alignment horizontal="center" wrapText="1"/>
    </xf>
    <xf numFmtId="0" fontId="11" fillId="2" borderId="9" xfId="0" applyNumberFormat="1" applyFont="1" applyFill="1" applyBorder="1" applyAlignment="1">
      <alignment horizontal="center" wrapText="1"/>
    </xf>
    <xf numFmtId="0" fontId="40" fillId="2" borderId="9" xfId="0" applyNumberFormat="1" applyFont="1" applyFill="1" applyBorder="1" applyAlignment="1"/>
    <xf numFmtId="0" fontId="38" fillId="2" borderId="13" xfId="0" applyNumberFormat="1" applyFont="1" applyFill="1" applyBorder="1" applyAlignment="1"/>
    <xf numFmtId="0" fontId="2" fillId="2" borderId="9" xfId="0" applyNumberFormat="1" applyFont="1" applyFill="1" applyBorder="1" applyAlignment="1">
      <alignment horizontal="center"/>
    </xf>
    <xf numFmtId="164" fontId="2" fillId="2" borderId="9" xfId="0" applyNumberFormat="1" applyFont="1" applyFill="1" applyBorder="1" applyAlignment="1"/>
    <xf numFmtId="164" fontId="2" fillId="2" borderId="9" xfId="0" applyNumberFormat="1" applyFont="1" applyFill="1" applyBorder="1" applyAlignment="1">
      <alignment horizontal="center"/>
    </xf>
    <xf numFmtId="168" fontId="2" fillId="2" borderId="9" xfId="0" applyNumberFormat="1" applyFont="1" applyFill="1" applyBorder="1" applyAlignment="1">
      <alignment horizontal="center"/>
    </xf>
    <xf numFmtId="169" fontId="2" fillId="2" borderId="9" xfId="0" applyNumberFormat="1" applyFont="1" applyFill="1" applyBorder="1" applyAlignment="1">
      <alignment horizontal="center"/>
    </xf>
    <xf numFmtId="164" fontId="8" fillId="2" borderId="9" xfId="0" applyNumberFormat="1" applyFont="1" applyFill="1" applyBorder="1" applyAlignment="1"/>
    <xf numFmtId="3" fontId="38" fillId="2" borderId="13" xfId="0" applyNumberFormat="1" applyFont="1" applyFill="1" applyBorder="1" applyAlignment="1"/>
    <xf numFmtId="164" fontId="10" fillId="2" borderId="9" xfId="0" applyNumberFormat="1" applyFont="1" applyFill="1" applyBorder="1" applyAlignment="1"/>
    <xf numFmtId="164" fontId="10" fillId="2" borderId="9" xfId="0" applyNumberFormat="1" applyFont="1" applyFill="1" applyBorder="1" applyAlignment="1">
      <alignment horizontal="center"/>
    </xf>
    <xf numFmtId="168" fontId="10" fillId="2" borderId="9" xfId="0" applyNumberFormat="1" applyFont="1" applyFill="1" applyBorder="1" applyAlignment="1">
      <alignment horizontal="center"/>
    </xf>
    <xf numFmtId="164" fontId="42" fillId="2" borderId="9" xfId="0" applyNumberFormat="1" applyFont="1" applyFill="1" applyBorder="1" applyAlignment="1"/>
    <xf numFmtId="164" fontId="37" fillId="2" borderId="9" xfId="0" applyNumberFormat="1" applyFont="1" applyFill="1" applyBorder="1" applyAlignment="1">
      <alignment horizontal="center"/>
    </xf>
    <xf numFmtId="0" fontId="10" fillId="2" borderId="23" xfId="0" applyNumberFormat="1" applyFont="1" applyFill="1" applyBorder="1" applyAlignment="1"/>
    <xf numFmtId="164" fontId="14" fillId="2" borderId="9" xfId="0" applyNumberFormat="1" applyFont="1" applyFill="1" applyBorder="1" applyAlignment="1"/>
    <xf numFmtId="0" fontId="19" fillId="2" borderId="9" xfId="0" applyNumberFormat="1" applyFont="1" applyFill="1" applyBorder="1" applyAlignment="1"/>
    <xf numFmtId="164" fontId="19" fillId="2" borderId="9" xfId="0" applyNumberFormat="1" applyFont="1" applyFill="1" applyBorder="1" applyAlignment="1"/>
    <xf numFmtId="171" fontId="19" fillId="2" borderId="9" xfId="0" applyNumberFormat="1" applyFont="1" applyFill="1" applyBorder="1" applyAlignment="1">
      <alignment horizontal="center"/>
    </xf>
    <xf numFmtId="170" fontId="19" fillId="2" borderId="9" xfId="0" applyNumberFormat="1" applyFont="1" applyFill="1" applyBorder="1" applyAlignment="1"/>
    <xf numFmtId="170" fontId="19" fillId="2" borderId="9" xfId="0" applyNumberFormat="1" applyFont="1" applyFill="1" applyBorder="1" applyAlignment="1">
      <alignment horizontal="center"/>
    </xf>
    <xf numFmtId="164" fontId="1" fillId="2" borderId="9" xfId="0" applyNumberFormat="1" applyFont="1" applyFill="1" applyBorder="1" applyAlignment="1"/>
    <xf numFmtId="3" fontId="2" fillId="2" borderId="13" xfId="0" applyNumberFormat="1" applyFont="1" applyFill="1" applyBorder="1" applyAlignment="1"/>
    <xf numFmtId="4" fontId="19" fillId="2" borderId="9" xfId="0" applyNumberFormat="1" applyFont="1" applyFill="1" applyBorder="1" applyAlignment="1">
      <alignment horizontal="center"/>
    </xf>
    <xf numFmtId="165" fontId="2" fillId="2" borderId="9" xfId="0" applyNumberFormat="1" applyFont="1" applyFill="1" applyBorder="1" applyAlignment="1">
      <alignment horizontal="center"/>
    </xf>
    <xf numFmtId="10" fontId="2" fillId="2" borderId="9" xfId="0" applyNumberFormat="1" applyFont="1" applyFill="1" applyBorder="1" applyAlignment="1">
      <alignment horizontal="center"/>
    </xf>
    <xf numFmtId="167" fontId="2" fillId="2" borderId="9" xfId="0" applyNumberFormat="1" applyFont="1" applyFill="1" applyBorder="1" applyAlignment="1">
      <alignment horizontal="center"/>
    </xf>
    <xf numFmtId="165" fontId="2" fillId="2" borderId="9" xfId="0" applyNumberFormat="1" applyFont="1" applyFill="1" applyBorder="1" applyAlignment="1">
      <alignment horizontal="right"/>
    </xf>
    <xf numFmtId="0" fontId="2" fillId="2" borderId="9" xfId="0" applyNumberFormat="1" applyFont="1" applyFill="1" applyBorder="1" applyAlignment="1">
      <alignment horizontal="right"/>
    </xf>
    <xf numFmtId="165" fontId="2" fillId="2" borderId="9" xfId="0" applyNumberFormat="1" applyFont="1" applyFill="1" applyBorder="1" applyAlignment="1"/>
    <xf numFmtId="4" fontId="2" fillId="2" borderId="9" xfId="0" applyNumberFormat="1" applyFont="1" applyFill="1" applyBorder="1" applyAlignment="1">
      <alignment horizontal="center"/>
    </xf>
    <xf numFmtId="0" fontId="37" fillId="2" borderId="9" xfId="0" applyNumberFormat="1" applyFont="1" applyFill="1" applyBorder="1" applyAlignment="1"/>
    <xf numFmtId="15" fontId="37" fillId="2" borderId="9" xfId="0" applyNumberFormat="1" applyFont="1" applyFill="1" applyBorder="1" applyAlignment="1">
      <alignment horizontal="center"/>
    </xf>
    <xf numFmtId="15" fontId="10" fillId="2" borderId="9" xfId="0" applyNumberFormat="1" applyFont="1" applyFill="1" applyBorder="1" applyAlignment="1" applyProtection="1">
      <alignment horizontal="center"/>
      <protection locked="0"/>
    </xf>
    <xf numFmtId="15" fontId="2" fillId="2" borderId="9" xfId="0" applyNumberFormat="1" applyFont="1" applyFill="1" applyBorder="1" applyAlignment="1"/>
    <xf numFmtId="15" fontId="2" fillId="2" borderId="9" xfId="0" applyNumberFormat="1" applyFont="1" applyFill="1" applyBorder="1" applyAlignment="1" applyProtection="1">
      <alignment horizontal="center"/>
      <protection locked="0"/>
    </xf>
    <xf numFmtId="15" fontId="2" fillId="2" borderId="9" xfId="0" applyNumberFormat="1" applyFont="1" applyFill="1" applyBorder="1" applyAlignment="1">
      <alignment horizontal="center"/>
    </xf>
    <xf numFmtId="0" fontId="15" fillId="2" borderId="0" xfId="0" applyNumberFormat="1" applyFont="1" applyFill="1" applyBorder="1" applyAlignment="1"/>
    <xf numFmtId="0" fontId="2" fillId="2" borderId="0" xfId="0" applyNumberFormat="1" applyFont="1" applyFill="1" applyBorder="1" applyAlignment="1" applyProtection="1">
      <alignment horizontal="right"/>
      <protection locked="0"/>
    </xf>
    <xf numFmtId="3" fontId="2" fillId="2" borderId="9" xfId="0" applyNumberFormat="1" applyFont="1" applyFill="1" applyBorder="1" applyAlignment="1" applyProtection="1">
      <alignment horizontal="right"/>
      <protection locked="0"/>
    </xf>
    <xf numFmtId="0" fontId="2" fillId="2" borderId="23" xfId="0" applyNumberFormat="1" applyFont="1" applyFill="1" applyBorder="1" applyAlignment="1"/>
    <xf numFmtId="0" fontId="38" fillId="2" borderId="9" xfId="0" applyNumberFormat="1" applyFont="1" applyFill="1" applyBorder="1" applyAlignment="1"/>
    <xf numFmtId="3" fontId="13" fillId="2" borderId="9" xfId="0" applyNumberFormat="1" applyFont="1" applyFill="1" applyBorder="1" applyAlignment="1" applyProtection="1">
      <alignment horizontal="right"/>
      <protection locked="0"/>
    </xf>
    <xf numFmtId="4" fontId="13" fillId="2" borderId="9" xfId="0" applyNumberFormat="1" applyFont="1" applyFill="1" applyBorder="1" applyAlignment="1" applyProtection="1">
      <alignment horizontal="right"/>
      <protection locked="0"/>
    </xf>
    <xf numFmtId="14" fontId="2" fillId="2" borderId="9" xfId="0" applyNumberFormat="1" applyFont="1" applyFill="1" applyBorder="1" applyAlignment="1">
      <alignment horizontal="right"/>
    </xf>
    <xf numFmtId="167" fontId="2" fillId="2" borderId="9" xfId="0" applyNumberFormat="1" applyFont="1" applyFill="1" applyBorder="1" applyAlignment="1">
      <alignment horizontal="right"/>
    </xf>
    <xf numFmtId="0" fontId="10" fillId="2" borderId="0" xfId="0" applyNumberFormat="1" applyFont="1" applyFill="1" applyAlignment="1">
      <alignment horizontal="right"/>
    </xf>
    <xf numFmtId="15" fontId="10" fillId="2" borderId="0" xfId="0" applyNumberFormat="1" applyFont="1" applyFill="1" applyAlignment="1">
      <alignment horizontal="right"/>
    </xf>
    <xf numFmtId="0" fontId="47" fillId="2" borderId="9" xfId="0" applyNumberFormat="1" applyFont="1" applyFill="1" applyBorder="1" applyAlignment="1"/>
    <xf numFmtId="4" fontId="2" fillId="2" borderId="9" xfId="0" applyNumberFormat="1" applyFont="1" applyFill="1" applyBorder="1" applyAlignment="1" applyProtection="1">
      <alignment horizontal="right"/>
      <protection locked="0"/>
    </xf>
    <xf numFmtId="2" fontId="2" fillId="2" borderId="9" xfId="0" applyNumberFormat="1" applyFont="1" applyFill="1" applyBorder="1" applyAlignment="1" applyProtection="1">
      <alignment horizontal="right"/>
      <protection locked="0"/>
    </xf>
    <xf numFmtId="0" fontId="11" fillId="2" borderId="0" xfId="0" applyNumberFormat="1" applyFont="1" applyFill="1" applyBorder="1" applyAlignment="1"/>
    <xf numFmtId="10" fontId="11" fillId="2" borderId="0" xfId="0" applyNumberFormat="1" applyFont="1" applyFill="1" applyBorder="1" applyAlignment="1" applyProtection="1">
      <alignment horizontal="center"/>
      <protection locked="0"/>
    </xf>
    <xf numFmtId="0" fontId="38" fillId="2" borderId="23" xfId="0" applyNumberFormat="1" applyFont="1" applyFill="1" applyBorder="1" applyAlignment="1">
      <alignment horizontal="right"/>
    </xf>
    <xf numFmtId="0" fontId="38" fillId="2" borderId="9" xfId="0" applyNumberFormat="1" applyFont="1" applyFill="1" applyBorder="1" applyAlignment="1" applyProtection="1">
      <protection locked="0"/>
    </xf>
    <xf numFmtId="3" fontId="37" fillId="2" borderId="13" xfId="0" applyNumberFormat="1" applyFont="1" applyFill="1" applyBorder="1" applyAlignment="1"/>
    <xf numFmtId="0" fontId="13" fillId="2" borderId="23" xfId="0" applyNumberFormat="1" applyFont="1" applyFill="1" applyBorder="1" applyAlignment="1">
      <alignment horizontal="right"/>
    </xf>
    <xf numFmtId="3" fontId="13" fillId="2" borderId="9" xfId="0" applyNumberFormat="1" applyFont="1" applyFill="1" applyBorder="1" applyAlignment="1"/>
    <xf numFmtId="3" fontId="13" fillId="2" borderId="9" xfId="0" applyNumberFormat="1" applyFont="1" applyFill="1" applyBorder="1" applyAlignment="1" applyProtection="1">
      <alignment horizontal="center"/>
      <protection locked="0"/>
    </xf>
    <xf numFmtId="0" fontId="2" fillId="2" borderId="9" xfId="0" applyNumberFormat="1" applyFont="1" applyFill="1" applyBorder="1" applyAlignment="1" applyProtection="1">
      <protection locked="0"/>
    </xf>
    <xf numFmtId="3" fontId="16" fillId="2" borderId="13" xfId="0" applyNumberFormat="1" applyFont="1" applyFill="1" applyBorder="1" applyAlignment="1"/>
    <xf numFmtId="4" fontId="13" fillId="2" borderId="9" xfId="0" applyNumberFormat="1" applyFont="1" applyFill="1" applyBorder="1" applyAlignment="1" applyProtection="1">
      <alignment horizontal="center"/>
      <protection locked="0"/>
    </xf>
    <xf numFmtId="0" fontId="13" fillId="2" borderId="23" xfId="0" applyNumberFormat="1" applyFont="1" applyFill="1" applyBorder="1" applyAlignment="1">
      <alignment horizontal="center"/>
    </xf>
    <xf numFmtId="0" fontId="13" fillId="2" borderId="9" xfId="0" applyNumberFormat="1" applyFont="1" applyFill="1" applyBorder="1" applyAlignment="1"/>
    <xf numFmtId="0" fontId="16" fillId="2" borderId="13" xfId="0" applyNumberFormat="1" applyFont="1" applyFill="1" applyBorder="1" applyAlignment="1"/>
    <xf numFmtId="0" fontId="38" fillId="2" borderId="23" xfId="0" applyNumberFormat="1" applyFont="1" applyFill="1" applyBorder="1" applyAlignment="1">
      <alignment horizontal="center"/>
    </xf>
    <xf numFmtId="0" fontId="37" fillId="2" borderId="13" xfId="0" applyNumberFormat="1" applyFont="1" applyFill="1" applyBorder="1" applyAlignment="1"/>
    <xf numFmtId="0" fontId="13" fillId="2" borderId="9" xfId="0" applyNumberFormat="1" applyFont="1" applyFill="1" applyBorder="1" applyAlignment="1">
      <alignment horizontal="right"/>
    </xf>
    <xf numFmtId="4" fontId="13" fillId="2" borderId="9" xfId="0" applyNumberFormat="1" applyFont="1" applyFill="1" applyBorder="1" applyAlignment="1">
      <alignment horizontal="right"/>
    </xf>
    <xf numFmtId="0" fontId="29" fillId="2" borderId="9" xfId="0" applyNumberFormat="1" applyFont="1" applyFill="1" applyBorder="1" applyAlignment="1">
      <alignment horizontal="center"/>
    </xf>
    <xf numFmtId="10" fontId="29" fillId="2" borderId="9" xfId="0" applyNumberFormat="1" applyFont="1" applyFill="1" applyBorder="1" applyAlignment="1" applyProtection="1">
      <alignment horizontal="center"/>
      <protection locked="0"/>
    </xf>
    <xf numFmtId="0" fontId="27" fillId="2" borderId="9" xfId="0" applyNumberFormat="1" applyFont="1" applyFill="1" applyBorder="1" applyAlignment="1"/>
    <xf numFmtId="0" fontId="28" fillId="2" borderId="9" xfId="1" applyNumberFormat="1" applyFont="1" applyFill="1" applyBorder="1" applyAlignment="1" applyProtection="1"/>
    <xf numFmtId="10" fontId="13" fillId="2" borderId="9" xfId="0" applyNumberFormat="1" applyFont="1" applyFill="1" applyBorder="1" applyAlignment="1" applyProtection="1">
      <alignment horizontal="center"/>
      <protection locked="0"/>
    </xf>
    <xf numFmtId="0" fontId="48" fillId="2" borderId="9" xfId="0" applyNumberFormat="1" applyFont="1" applyFill="1" applyBorder="1" applyAlignment="1"/>
    <xf numFmtId="3" fontId="48" fillId="2" borderId="9" xfId="0" applyNumberFormat="1" applyFont="1" applyFill="1" applyBorder="1" applyAlignment="1"/>
    <xf numFmtId="3" fontId="9" fillId="2" borderId="9" xfId="0" applyNumberFormat="1" applyFont="1" applyFill="1" applyBorder="1" applyAlignment="1" applyProtection="1">
      <alignment horizontal="right"/>
      <protection locked="0"/>
    </xf>
    <xf numFmtId="0" fontId="48" fillId="2" borderId="0" xfId="0" applyNumberFormat="1" applyFont="1" applyFill="1" applyBorder="1" applyAlignment="1"/>
    <xf numFmtId="3" fontId="2" fillId="2" borderId="0" xfId="0" applyNumberFormat="1" applyFont="1" applyFill="1" applyAlignment="1" applyProtection="1">
      <alignment horizontal="right"/>
      <protection locked="0"/>
    </xf>
    <xf numFmtId="0" fontId="9" fillId="2" borderId="0" xfId="0" applyNumberFormat="1" applyFont="1" applyFill="1" applyAlignment="1">
      <alignment horizontal="center"/>
    </xf>
    <xf numFmtId="0" fontId="49" fillId="2" borderId="0" xfId="0" applyNumberFormat="1" applyFont="1" applyFill="1" applyAlignment="1"/>
    <xf numFmtId="166" fontId="2" fillId="2" borderId="9" xfId="0" applyNumberFormat="1" applyFont="1" applyFill="1" applyBorder="1" applyAlignment="1"/>
    <xf numFmtId="15" fontId="9" fillId="2" borderId="9" xfId="0" applyNumberFormat="1" applyFont="1" applyFill="1" applyBorder="1" applyAlignment="1">
      <alignment horizontal="centerContinuous"/>
    </xf>
    <xf numFmtId="15" fontId="9" fillId="2" borderId="9" xfId="0" applyNumberFormat="1" applyFont="1" applyFill="1" applyBorder="1" applyAlignment="1">
      <alignment horizontal="center"/>
    </xf>
    <xf numFmtId="17" fontId="2" fillId="2" borderId="9" xfId="0" applyNumberFormat="1" applyFont="1" applyFill="1" applyBorder="1" applyAlignment="1">
      <alignment horizontal="center"/>
    </xf>
    <xf numFmtId="3" fontId="2" fillId="2" borderId="9" xfId="0" applyNumberFormat="1" applyFont="1" applyFill="1" applyBorder="1" applyAlignment="1" applyProtection="1">
      <alignment horizontal="center"/>
      <protection locked="0"/>
    </xf>
    <xf numFmtId="3" fontId="2" fillId="2" borderId="9" xfId="0" applyNumberFormat="1" applyFont="1" applyFill="1" applyBorder="1" applyAlignment="1">
      <alignment horizontal="center"/>
    </xf>
    <xf numFmtId="0" fontId="24" fillId="2" borderId="9" xfId="0" applyNumberFormat="1" applyFont="1" applyFill="1" applyBorder="1" applyAlignment="1"/>
    <xf numFmtId="0" fontId="24" fillId="2" borderId="9" xfId="0" applyNumberFormat="1" applyFont="1" applyFill="1" applyBorder="1" applyAlignment="1">
      <alignment horizontal="center"/>
    </xf>
    <xf numFmtId="3" fontId="24" fillId="2" borderId="9" xfId="0" applyNumberFormat="1" applyFont="1" applyFill="1" applyBorder="1" applyAlignment="1" applyProtection="1">
      <alignment horizontal="center"/>
      <protection locked="0"/>
    </xf>
    <xf numFmtId="0" fontId="24" fillId="2" borderId="9" xfId="0" applyNumberFormat="1" applyFont="1" applyFill="1" applyBorder="1" applyAlignment="1" applyProtection="1">
      <protection locked="0"/>
    </xf>
    <xf numFmtId="0" fontId="48" fillId="2" borderId="13" xfId="0" applyNumberFormat="1" applyFont="1" applyFill="1" applyBorder="1" applyAlignment="1"/>
    <xf numFmtId="3" fontId="24" fillId="2" borderId="9" xfId="0" applyNumberFormat="1" applyFont="1" applyFill="1" applyBorder="1" applyAlignment="1"/>
    <xf numFmtId="0" fontId="9" fillId="2" borderId="13" xfId="0" applyNumberFormat="1" applyFont="1" applyFill="1" applyBorder="1" applyAlignment="1"/>
    <xf numFmtId="4" fontId="2" fillId="2" borderId="9" xfId="0" applyNumberFormat="1" applyFont="1" applyFill="1" applyBorder="1" applyAlignment="1">
      <alignment horizontal="right"/>
    </xf>
    <xf numFmtId="4" fontId="2" fillId="2" borderId="9" xfId="0" applyNumberFormat="1" applyFont="1" applyFill="1" applyBorder="1" applyAlignment="1" applyProtection="1">
      <alignment horizontal="center"/>
      <protection locked="0"/>
    </xf>
    <xf numFmtId="2" fontId="2" fillId="2" borderId="9" xfId="0" applyNumberFormat="1" applyFont="1" applyFill="1" applyBorder="1" applyAlignment="1" applyProtection="1">
      <alignment horizontal="center"/>
      <protection locked="0"/>
    </xf>
    <xf numFmtId="0" fontId="27" fillId="3" borderId="0" xfId="0" applyNumberFormat="1" applyFont="1" applyFill="1" applyBorder="1" applyAlignment="1"/>
    <xf numFmtId="0" fontId="28" fillId="3" borderId="0" xfId="1" applyNumberFormat="1" applyFont="1" applyFill="1" applyBorder="1" applyAlignment="1" applyProtection="1"/>
    <xf numFmtId="10" fontId="38" fillId="3" borderId="0" xfId="0" applyNumberFormat="1" applyFont="1" applyFill="1" applyBorder="1" applyAlignment="1"/>
    <xf numFmtId="3" fontId="38" fillId="3" borderId="0" xfId="0" applyNumberFormat="1" applyFont="1" applyFill="1" applyBorder="1" applyAlignment="1" applyProtection="1">
      <alignment horizontal="right"/>
      <protection locked="0"/>
    </xf>
    <xf numFmtId="0" fontId="37" fillId="3" borderId="16" xfId="0" applyNumberFormat="1" applyFont="1" applyFill="1" applyBorder="1" applyAlignment="1">
      <alignment horizontal="center" wrapText="1"/>
    </xf>
    <xf numFmtId="0" fontId="31" fillId="4" borderId="0" xfId="0" applyNumberFormat="1" applyFont="1" applyFill="1" applyAlignment="1"/>
    <xf numFmtId="0" fontId="31" fillId="4" borderId="0" xfId="0" applyNumberFormat="1" applyFont="1" applyFill="1" applyAlignment="1">
      <alignment horizontal="right"/>
    </xf>
    <xf numFmtId="0" fontId="31" fillId="4" borderId="0" xfId="0" applyNumberFormat="1" applyFont="1" applyFill="1" applyAlignment="1">
      <alignment horizontal="center"/>
    </xf>
    <xf numFmtId="15" fontId="31" fillId="4" borderId="0" xfId="0" applyNumberFormat="1" applyFont="1" applyFill="1" applyAlignment="1">
      <alignment horizontal="right"/>
    </xf>
    <xf numFmtId="0" fontId="31" fillId="4" borderId="2" xfId="0" applyNumberFormat="1" applyFont="1" applyFill="1" applyBorder="1" applyAlignment="1"/>
    <xf numFmtId="15" fontId="31" fillId="4" borderId="2" xfId="0" applyNumberFormat="1" applyFont="1" applyFill="1" applyBorder="1" applyAlignment="1">
      <alignment horizontal="centerContinuous"/>
    </xf>
    <xf numFmtId="15" fontId="31" fillId="4" borderId="2" xfId="0" applyNumberFormat="1" applyFont="1" applyFill="1" applyBorder="1" applyAlignment="1">
      <alignment horizontal="center"/>
    </xf>
    <xf numFmtId="3" fontId="31" fillId="4" borderId="0" xfId="0" applyNumberFormat="1" applyFont="1" applyFill="1" applyAlignment="1">
      <alignment horizontal="center"/>
    </xf>
    <xf numFmtId="0" fontId="37" fillId="3" borderId="19" xfId="0" applyNumberFormat="1" applyFont="1" applyFill="1" applyBorder="1" applyAlignment="1"/>
    <xf numFmtId="3" fontId="37" fillId="3" borderId="19" xfId="0" applyNumberFormat="1" applyFont="1" applyFill="1" applyBorder="1" applyAlignment="1"/>
    <xf numFmtId="0" fontId="37" fillId="3" borderId="0" xfId="0" applyNumberFormat="1" applyFont="1" applyFill="1" applyBorder="1" applyAlignment="1"/>
    <xf numFmtId="0" fontId="50" fillId="5" borderId="1" xfId="0" applyNumberFormat="1" applyFont="1" applyFill="1" applyBorder="1" applyAlignment="1"/>
    <xf numFmtId="0" fontId="51" fillId="5" borderId="2" xfId="0" applyNumberFormat="1" applyFont="1" applyFill="1" applyBorder="1" applyAlignment="1"/>
    <xf numFmtId="0" fontId="50" fillId="5" borderId="2" xfId="0" applyNumberFormat="1" applyFont="1" applyFill="1" applyBorder="1" applyAlignment="1"/>
    <xf numFmtId="0" fontId="50" fillId="5" borderId="24" xfId="0" applyNumberFormat="1" applyFont="1" applyFill="1" applyBorder="1" applyAlignment="1"/>
    <xf numFmtId="0" fontId="50" fillId="0" borderId="3" xfId="0" applyNumberFormat="1" applyFont="1" applyBorder="1"/>
    <xf numFmtId="0" fontId="50" fillId="0" borderId="0" xfId="0" applyNumberFormat="1" applyFont="1" applyAlignment="1"/>
    <xf numFmtId="0" fontId="50" fillId="5" borderId="3" xfId="0" applyNumberFormat="1" applyFont="1" applyFill="1" applyBorder="1" applyAlignment="1"/>
    <xf numFmtId="0" fontId="52" fillId="5" borderId="0" xfId="0" applyNumberFormat="1" applyFont="1" applyFill="1" applyAlignment="1"/>
    <xf numFmtId="0" fontId="50" fillId="5" borderId="0" xfId="0" applyNumberFormat="1" applyFont="1" applyFill="1" applyAlignment="1"/>
    <xf numFmtId="0" fontId="50" fillId="5" borderId="25" xfId="0" applyNumberFormat="1" applyFont="1" applyFill="1" applyBorder="1" applyAlignment="1"/>
    <xf numFmtId="0" fontId="50" fillId="5" borderId="3" xfId="0" applyNumberFormat="1" applyFont="1" applyFill="1" applyBorder="1" applyAlignment="1">
      <alignment horizontal="center"/>
    </xf>
    <xf numFmtId="0" fontId="53" fillId="5" borderId="0" xfId="0" applyNumberFormat="1" applyFont="1" applyFill="1" applyAlignment="1"/>
    <xf numFmtId="0" fontId="54" fillId="5" borderId="0" xfId="0" applyNumberFormat="1" applyFont="1" applyFill="1" applyAlignment="1"/>
    <xf numFmtId="0" fontId="55" fillId="5" borderId="0" xfId="0" applyNumberFormat="1" applyFont="1" applyFill="1" applyAlignment="1"/>
    <xf numFmtId="0" fontId="56" fillId="5" borderId="0" xfId="1" applyNumberFormat="1" applyFont="1" applyFill="1" applyAlignment="1" applyProtection="1"/>
    <xf numFmtId="0" fontId="57" fillId="5" borderId="0" xfId="1" applyNumberFormat="1" applyFont="1" applyFill="1" applyAlignment="1" applyProtection="1"/>
    <xf numFmtId="0" fontId="58" fillId="5" borderId="0" xfId="0" applyNumberFormat="1" applyFont="1" applyFill="1" applyAlignment="1"/>
    <xf numFmtId="0" fontId="59" fillId="5" borderId="0" xfId="0" applyNumberFormat="1" applyFont="1" applyFill="1" applyAlignment="1"/>
    <xf numFmtId="0" fontId="60" fillId="5" borderId="0" xfId="0" applyNumberFormat="1" applyFont="1" applyFill="1" applyAlignment="1"/>
    <xf numFmtId="0" fontId="61" fillId="5" borderId="0" xfId="0" applyNumberFormat="1" applyFont="1" applyFill="1" applyAlignment="1">
      <alignment horizontal="center" wrapText="1"/>
    </xf>
    <xf numFmtId="0" fontId="62" fillId="5" borderId="25" xfId="0" applyNumberFormat="1" applyFont="1" applyFill="1" applyBorder="1" applyAlignment="1"/>
    <xf numFmtId="9" fontId="59" fillId="5" borderId="0" xfId="0" applyNumberFormat="1" applyFont="1" applyFill="1" applyAlignment="1">
      <alignment horizontal="center"/>
    </xf>
    <xf numFmtId="10" fontId="59" fillId="5" borderId="0" xfId="0" applyNumberFormat="1" applyFont="1" applyFill="1" applyAlignment="1">
      <alignment horizontal="center"/>
    </xf>
    <xf numFmtId="0" fontId="59" fillId="5" borderId="0" xfId="0" applyNumberFormat="1" applyFont="1" applyFill="1" applyAlignment="1">
      <alignment horizontal="center"/>
    </xf>
    <xf numFmtId="15" fontId="59" fillId="5" borderId="0" xfId="0" applyNumberFormat="1" applyFont="1" applyFill="1" applyAlignment="1">
      <alignment horizontal="center"/>
    </xf>
    <xf numFmtId="0" fontId="63" fillId="5" borderId="0" xfId="0" applyNumberFormat="1" applyFont="1" applyFill="1" applyAlignment="1"/>
    <xf numFmtId="0" fontId="63" fillId="5" borderId="0" xfId="0" applyNumberFormat="1" applyFont="1" applyFill="1" applyAlignment="1">
      <alignment horizontal="center"/>
    </xf>
    <xf numFmtId="0" fontId="61" fillId="5" borderId="0" xfId="0" applyNumberFormat="1" applyFont="1" applyFill="1" applyAlignment="1"/>
    <xf numFmtId="0" fontId="60" fillId="5" borderId="0" xfId="0" applyNumberFormat="1" applyFont="1" applyFill="1" applyAlignment="1">
      <alignment horizontal="center"/>
    </xf>
    <xf numFmtId="0" fontId="50" fillId="5" borderId="0" xfId="0" applyNumberFormat="1" applyFont="1" applyFill="1" applyAlignment="1">
      <alignment horizontal="right"/>
    </xf>
    <xf numFmtId="0" fontId="60" fillId="6" borderId="3" xfId="0" applyNumberFormat="1" applyFont="1" applyFill="1" applyBorder="1" applyAlignment="1"/>
    <xf numFmtId="0" fontId="60" fillId="6" borderId="0" xfId="0" applyNumberFormat="1" applyFont="1" applyFill="1" applyBorder="1" applyAlignment="1"/>
    <xf numFmtId="0" fontId="59" fillId="6" borderId="0" xfId="0" applyNumberFormat="1" applyFont="1" applyFill="1" applyBorder="1" applyAlignment="1">
      <alignment horizontal="center" wrapText="1"/>
    </xf>
    <xf numFmtId="0" fontId="64" fillId="6" borderId="0" xfId="0" applyNumberFormat="1" applyFont="1" applyFill="1" applyBorder="1" applyAlignment="1">
      <alignment horizontal="center" wrapText="1"/>
    </xf>
    <xf numFmtId="0" fontId="60" fillId="6" borderId="0" xfId="0" applyNumberFormat="1" applyFont="1" applyFill="1" applyBorder="1" applyAlignment="1">
      <alignment horizontal="center" wrapText="1"/>
    </xf>
    <xf numFmtId="0" fontId="60" fillId="6" borderId="25" xfId="0" applyNumberFormat="1" applyFont="1" applyFill="1" applyBorder="1" applyAlignment="1"/>
    <xf numFmtId="0" fontId="63" fillId="5" borderId="3" xfId="0" applyNumberFormat="1" applyFont="1" applyFill="1" applyBorder="1" applyAlignment="1"/>
    <xf numFmtId="0" fontId="60" fillId="5" borderId="0" xfId="0" applyNumberFormat="1" applyFont="1" applyFill="1" applyBorder="1" applyAlignment="1"/>
    <xf numFmtId="0" fontId="60" fillId="5" borderId="0" xfId="0" applyNumberFormat="1" applyFont="1" applyFill="1" applyBorder="1" applyAlignment="1">
      <alignment horizontal="center" wrapText="1"/>
    </xf>
    <xf numFmtId="0" fontId="63" fillId="5" borderId="32" xfId="0" applyNumberFormat="1" applyFont="1" applyFill="1" applyBorder="1" applyAlignment="1"/>
    <xf numFmtId="0" fontId="63" fillId="0" borderId="3" xfId="0" applyNumberFormat="1" applyFont="1" applyBorder="1"/>
    <xf numFmtId="0" fontId="63" fillId="0" borderId="0" xfId="0" applyNumberFormat="1" applyFont="1" applyAlignment="1"/>
    <xf numFmtId="0" fontId="63" fillId="5" borderId="15" xfId="0" applyNumberFormat="1" applyFont="1" applyFill="1" applyBorder="1" applyAlignment="1"/>
    <xf numFmtId="0" fontId="60" fillId="5" borderId="16" xfId="0" applyNumberFormat="1" applyFont="1" applyFill="1" applyBorder="1" applyAlignment="1"/>
    <xf numFmtId="0" fontId="60" fillId="5" borderId="16" xfId="0" applyNumberFormat="1" applyFont="1" applyFill="1" applyBorder="1" applyAlignment="1">
      <alignment horizontal="center" wrapText="1"/>
    </xf>
    <xf numFmtId="0" fontId="63" fillId="5" borderId="17" xfId="0" applyNumberFormat="1" applyFont="1" applyFill="1" applyBorder="1" applyAlignment="1"/>
    <xf numFmtId="0" fontId="65" fillId="5" borderId="15" xfId="0" applyNumberFormat="1" applyFont="1" applyFill="1" applyBorder="1" applyAlignment="1"/>
    <xf numFmtId="0" fontId="59" fillId="5" borderId="16" xfId="0" applyNumberFormat="1" applyFont="1" applyFill="1" applyBorder="1" applyAlignment="1"/>
    <xf numFmtId="0" fontId="59" fillId="5" borderId="16" xfId="0" applyNumberFormat="1" applyFont="1" applyFill="1" applyBorder="1" applyAlignment="1">
      <alignment horizontal="center" wrapText="1"/>
    </xf>
    <xf numFmtId="0" fontId="60" fillId="5" borderId="16" xfId="0" applyNumberFormat="1" applyFont="1" applyFill="1" applyBorder="1" applyAlignment="1">
      <alignment horizontal="center"/>
    </xf>
    <xf numFmtId="164" fontId="60" fillId="5" borderId="16" xfId="0" applyNumberFormat="1" applyFont="1" applyFill="1" applyBorder="1" applyAlignment="1"/>
    <xf numFmtId="164" fontId="60" fillId="5" borderId="16" xfId="0" applyNumberFormat="1" applyFont="1" applyFill="1" applyBorder="1" applyAlignment="1">
      <alignment horizontal="center"/>
    </xf>
    <xf numFmtId="168" fontId="60" fillId="5" borderId="16" xfId="0" applyNumberFormat="1" applyFont="1" applyFill="1" applyBorder="1" applyAlignment="1">
      <alignment horizontal="center"/>
    </xf>
    <xf numFmtId="169" fontId="60" fillId="5" borderId="16" xfId="0" applyNumberFormat="1" applyFont="1" applyFill="1" applyBorder="1" applyAlignment="1">
      <alignment horizontal="center"/>
    </xf>
    <xf numFmtId="3" fontId="63" fillId="5" borderId="17" xfId="0" applyNumberFormat="1" applyFont="1" applyFill="1" applyBorder="1" applyAlignment="1"/>
    <xf numFmtId="164" fontId="59" fillId="5" borderId="16" xfId="0" applyNumberFormat="1" applyFont="1" applyFill="1" applyBorder="1" applyAlignment="1"/>
    <xf numFmtId="164" fontId="59" fillId="5" borderId="16" xfId="0" applyNumberFormat="1" applyFont="1" applyFill="1" applyBorder="1" applyAlignment="1">
      <alignment horizontal="center"/>
    </xf>
    <xf numFmtId="168" fontId="59" fillId="5" borderId="16" xfId="0" applyNumberFormat="1" applyFont="1" applyFill="1" applyBorder="1" applyAlignment="1">
      <alignment horizontal="center"/>
    </xf>
    <xf numFmtId="0" fontId="66" fillId="5" borderId="15" xfId="0" applyNumberFormat="1" applyFont="1" applyFill="1" applyBorder="1" applyAlignment="1"/>
    <xf numFmtId="0" fontId="58" fillId="5" borderId="16" xfId="0" applyNumberFormat="1" applyFont="1" applyFill="1" applyBorder="1" applyAlignment="1"/>
    <xf numFmtId="164" fontId="58" fillId="5" borderId="16" xfId="0" applyNumberFormat="1" applyFont="1" applyFill="1" applyBorder="1" applyAlignment="1"/>
    <xf numFmtId="171" fontId="58" fillId="5" borderId="16" xfId="0" applyNumberFormat="1" applyFont="1" applyFill="1" applyBorder="1" applyAlignment="1">
      <alignment horizontal="center"/>
    </xf>
    <xf numFmtId="170" fontId="58" fillId="5" borderId="16" xfId="0" applyNumberFormat="1" applyFont="1" applyFill="1" applyBorder="1" applyAlignment="1"/>
    <xf numFmtId="170" fontId="58" fillId="5" borderId="16" xfId="0" applyNumberFormat="1" applyFont="1" applyFill="1" applyBorder="1" applyAlignment="1">
      <alignment horizontal="center"/>
    </xf>
    <xf numFmtId="164" fontId="50" fillId="5" borderId="16" xfId="0" applyNumberFormat="1" applyFont="1" applyFill="1" applyBorder="1" applyAlignment="1">
      <alignment horizontal="center"/>
    </xf>
    <xf numFmtId="164" fontId="50" fillId="5" borderId="16" xfId="0" applyNumberFormat="1" applyFont="1" applyFill="1" applyBorder="1" applyAlignment="1"/>
    <xf numFmtId="3" fontId="50" fillId="5" borderId="17" xfId="0" applyNumberFormat="1" applyFont="1" applyFill="1" applyBorder="1" applyAlignment="1"/>
    <xf numFmtId="0" fontId="50" fillId="5" borderId="16" xfId="0" applyNumberFormat="1" applyFont="1" applyFill="1" applyBorder="1" applyAlignment="1"/>
    <xf numFmtId="171" fontId="50" fillId="5" borderId="16" xfId="0" applyNumberFormat="1" applyFont="1" applyFill="1" applyBorder="1" applyAlignment="1">
      <alignment horizontal="center"/>
    </xf>
    <xf numFmtId="170" fontId="50" fillId="5" borderId="16" xfId="0" applyNumberFormat="1" applyFont="1" applyFill="1" applyBorder="1" applyAlignment="1"/>
    <xf numFmtId="170" fontId="50" fillId="5" borderId="16" xfId="0" applyNumberFormat="1" applyFont="1" applyFill="1" applyBorder="1" applyAlignment="1">
      <alignment horizontal="center"/>
    </xf>
    <xf numFmtId="4" fontId="67" fillId="5" borderId="16" xfId="0" applyNumberFormat="1" applyFont="1" applyFill="1" applyBorder="1" applyAlignment="1">
      <alignment horizontal="center"/>
    </xf>
    <xf numFmtId="0" fontId="60" fillId="5" borderId="17" xfId="0" applyNumberFormat="1" applyFont="1" applyFill="1" applyBorder="1" applyAlignment="1"/>
    <xf numFmtId="165" fontId="60" fillId="5" borderId="16" xfId="0" applyNumberFormat="1" applyFont="1" applyFill="1" applyBorder="1" applyAlignment="1">
      <alignment horizontal="center"/>
    </xf>
    <xf numFmtId="10" fontId="60" fillId="5" borderId="16" xfId="0" applyNumberFormat="1" applyFont="1" applyFill="1" applyBorder="1" applyAlignment="1">
      <alignment horizontal="center"/>
    </xf>
    <xf numFmtId="167" fontId="60" fillId="5" borderId="16" xfId="0" applyNumberFormat="1" applyFont="1" applyFill="1" applyBorder="1" applyAlignment="1">
      <alignment horizontal="center"/>
    </xf>
    <xf numFmtId="165" fontId="60" fillId="5" borderId="16" xfId="0" applyNumberFormat="1" applyFont="1" applyFill="1" applyBorder="1" applyAlignment="1">
      <alignment horizontal="right"/>
    </xf>
    <xf numFmtId="0" fontId="60" fillId="5" borderId="16" xfId="0" applyNumberFormat="1" applyFont="1" applyFill="1" applyBorder="1" applyAlignment="1">
      <alignment horizontal="right"/>
    </xf>
    <xf numFmtId="165" fontId="60" fillId="5" borderId="16" xfId="0" applyNumberFormat="1" applyFont="1" applyFill="1" applyBorder="1" applyAlignment="1"/>
    <xf numFmtId="4" fontId="60" fillId="5" borderId="16" xfId="0" applyNumberFormat="1" applyFont="1" applyFill="1" applyBorder="1" applyAlignment="1">
      <alignment horizontal="center"/>
    </xf>
    <xf numFmtId="15" fontId="59" fillId="5" borderId="16" xfId="0" applyNumberFormat="1" applyFont="1" applyFill="1" applyBorder="1" applyAlignment="1">
      <alignment horizontal="center"/>
    </xf>
    <xf numFmtId="15" fontId="59" fillId="5" borderId="16" xfId="0" applyNumberFormat="1" applyFont="1" applyFill="1" applyBorder="1" applyAlignment="1" applyProtection="1">
      <alignment horizontal="center"/>
      <protection locked="0"/>
    </xf>
    <xf numFmtId="15" fontId="60" fillId="5" borderId="16" xfId="0" applyNumberFormat="1" applyFont="1" applyFill="1" applyBorder="1" applyAlignment="1"/>
    <xf numFmtId="15" fontId="60" fillId="5" borderId="16" xfId="0" applyNumberFormat="1" applyFont="1" applyFill="1" applyBorder="1" applyAlignment="1" applyProtection="1">
      <alignment horizontal="center"/>
      <protection locked="0"/>
    </xf>
    <xf numFmtId="15" fontId="60" fillId="5" borderId="16" xfId="0" applyNumberFormat="1" applyFont="1" applyFill="1" applyBorder="1" applyAlignment="1">
      <alignment horizontal="center"/>
    </xf>
    <xf numFmtId="0" fontId="63" fillId="0" borderId="0" xfId="0" applyNumberFormat="1" applyFont="1" applyFill="1" applyBorder="1" applyAlignment="1"/>
    <xf numFmtId="0" fontId="63" fillId="5" borderId="0" xfId="0" applyNumberFormat="1" applyFont="1" applyFill="1" applyBorder="1" applyAlignment="1"/>
    <xf numFmtId="15" fontId="63" fillId="5" borderId="0" xfId="0" applyNumberFormat="1" applyFont="1" applyFill="1" applyBorder="1" applyAlignment="1" applyProtection="1">
      <alignment horizontal="center"/>
      <protection locked="0"/>
    </xf>
    <xf numFmtId="15" fontId="63" fillId="5" borderId="0" xfId="0" applyNumberFormat="1" applyFont="1" applyFill="1" applyBorder="1" applyAlignment="1">
      <alignment horizontal="center"/>
    </xf>
    <xf numFmtId="0" fontId="63" fillId="5" borderId="26" xfId="0" applyNumberFormat="1" applyFont="1" applyFill="1" applyBorder="1" applyAlignment="1"/>
    <xf numFmtId="0" fontId="63" fillId="0" borderId="0" xfId="0" applyNumberFormat="1" applyFont="1" applyBorder="1"/>
    <xf numFmtId="15" fontId="63" fillId="5" borderId="0" xfId="0" applyNumberFormat="1" applyFont="1" applyFill="1" applyAlignment="1" applyProtection="1">
      <alignment horizontal="center"/>
      <protection locked="0"/>
    </xf>
    <xf numFmtId="15" fontId="63" fillId="5" borderId="0" xfId="0" applyNumberFormat="1" applyFont="1" applyFill="1" applyAlignment="1">
      <alignment horizontal="center"/>
    </xf>
    <xf numFmtId="0" fontId="63" fillId="5" borderId="27" xfId="0" applyNumberFormat="1" applyFont="1" applyFill="1" applyBorder="1" applyAlignment="1"/>
    <xf numFmtId="0" fontId="63" fillId="5" borderId="6" xfId="0" applyNumberFormat="1" applyFont="1" applyFill="1" applyBorder="1" applyAlignment="1"/>
    <xf numFmtId="0" fontId="68" fillId="5" borderId="7" xfId="0" applyNumberFormat="1" applyFont="1" applyFill="1" applyBorder="1" applyAlignment="1"/>
    <xf numFmtId="0" fontId="63" fillId="5" borderId="7" xfId="0" applyNumberFormat="1" applyFont="1" applyFill="1" applyBorder="1" applyAlignment="1"/>
    <xf numFmtId="0" fontId="63" fillId="5" borderId="7" xfId="0" applyNumberFormat="1" applyFont="1" applyFill="1" applyBorder="1" applyAlignment="1" applyProtection="1">
      <alignment horizontal="right"/>
      <protection locked="0"/>
    </xf>
    <xf numFmtId="0" fontId="63" fillId="5" borderId="8" xfId="0" applyNumberFormat="1" applyFont="1" applyFill="1" applyBorder="1" applyAlignment="1"/>
    <xf numFmtId="0" fontId="69" fillId="6" borderId="3" xfId="0" applyNumberFormat="1" applyFont="1" applyFill="1" applyBorder="1" applyAlignment="1"/>
    <xf numFmtId="0" fontId="70" fillId="6" borderId="0" xfId="0" applyNumberFormat="1" applyFont="1" applyFill="1" applyAlignment="1"/>
    <xf numFmtId="0" fontId="69" fillId="6" borderId="0" xfId="0" applyNumberFormat="1" applyFont="1" applyFill="1" applyAlignment="1"/>
    <xf numFmtId="4" fontId="69" fillId="6" borderId="0" xfId="0" applyNumberFormat="1" applyFont="1" applyFill="1" applyAlignment="1" applyProtection="1">
      <alignment horizontal="right"/>
      <protection locked="0"/>
    </xf>
    <xf numFmtId="0" fontId="69" fillId="6" borderId="24" xfId="0" applyNumberFormat="1" applyFont="1" applyFill="1" applyBorder="1" applyAlignment="1"/>
    <xf numFmtId="4" fontId="50" fillId="5" borderId="0" xfId="0" applyNumberFormat="1" applyFont="1" applyFill="1" applyAlignment="1" applyProtection="1">
      <alignment horizontal="right"/>
      <protection locked="0"/>
    </xf>
    <xf numFmtId="0" fontId="53" fillId="5" borderId="0" xfId="0" applyNumberFormat="1" applyFont="1" applyFill="1" applyAlignment="1">
      <alignment horizontal="left" vertical="top" wrapText="1"/>
    </xf>
    <xf numFmtId="0" fontId="67" fillId="5" borderId="0" xfId="0" applyNumberFormat="1" applyFont="1" applyFill="1" applyAlignment="1">
      <alignment horizontal="center" vertical="top" wrapText="1"/>
    </xf>
    <xf numFmtId="0" fontId="53" fillId="5" borderId="0" xfId="0" applyNumberFormat="1" applyFont="1" applyFill="1" applyAlignment="1">
      <alignment horizontal="center" vertical="top" wrapText="1"/>
    </xf>
    <xf numFmtId="4" fontId="53" fillId="5" borderId="0" xfId="0" applyNumberFormat="1" applyFont="1" applyFill="1" applyAlignment="1" applyProtection="1">
      <alignment horizontal="center" vertical="top" wrapText="1"/>
      <protection locked="0"/>
    </xf>
    <xf numFmtId="0" fontId="71" fillId="5" borderId="28" xfId="0" applyNumberFormat="1" applyFont="1" applyFill="1" applyBorder="1" applyAlignment="1"/>
    <xf numFmtId="0" fontId="63" fillId="5" borderId="18" xfId="0" applyNumberFormat="1" applyFont="1" applyFill="1" applyBorder="1" applyAlignment="1"/>
    <xf numFmtId="0" fontId="60" fillId="5" borderId="19" xfId="0" applyNumberFormat="1" applyFont="1" applyFill="1" applyBorder="1" applyAlignment="1"/>
    <xf numFmtId="3" fontId="60" fillId="5" borderId="19" xfId="0" applyNumberFormat="1" applyFont="1" applyFill="1" applyBorder="1" applyAlignment="1"/>
    <xf numFmtId="3" fontId="60" fillId="5" borderId="19" xfId="0" applyNumberFormat="1" applyFont="1" applyFill="1" applyBorder="1" applyAlignment="1" applyProtection="1">
      <alignment horizontal="right"/>
      <protection locked="0"/>
    </xf>
    <xf numFmtId="0" fontId="63" fillId="5" borderId="20" xfId="0" applyNumberFormat="1" applyFont="1" applyFill="1" applyBorder="1" applyAlignment="1"/>
    <xf numFmtId="0" fontId="50" fillId="5" borderId="0" xfId="0" applyNumberFormat="1" applyFont="1" applyFill="1" applyBorder="1" applyAlignment="1"/>
    <xf numFmtId="3" fontId="50" fillId="5" borderId="0" xfId="0" applyNumberFormat="1" applyFont="1" applyFill="1" applyBorder="1" applyAlignment="1"/>
    <xf numFmtId="3" fontId="72" fillId="5" borderId="0" xfId="0" applyNumberFormat="1" applyFont="1" applyFill="1" applyBorder="1" applyAlignment="1"/>
    <xf numFmtId="0" fontId="50" fillId="5" borderId="29" xfId="0" applyNumberFormat="1" applyFont="1" applyFill="1" applyBorder="1" applyAlignment="1"/>
    <xf numFmtId="0" fontId="50" fillId="0" borderId="0" xfId="0" applyNumberFormat="1" applyFont="1" applyBorder="1"/>
    <xf numFmtId="3" fontId="50" fillId="5" borderId="0" xfId="0" applyNumberFormat="1" applyFont="1" applyFill="1" applyAlignment="1"/>
    <xf numFmtId="3" fontId="72" fillId="5" borderId="0" xfId="0" applyNumberFormat="1" applyFont="1" applyFill="1" applyAlignment="1"/>
    <xf numFmtId="0" fontId="50" fillId="5" borderId="30" xfId="0" applyNumberFormat="1" applyFont="1" applyFill="1" applyBorder="1" applyAlignment="1"/>
    <xf numFmtId="0" fontId="50" fillId="5" borderId="31" xfId="0" applyNumberFormat="1" applyFont="1" applyFill="1" applyBorder="1" applyAlignment="1"/>
    <xf numFmtId="3" fontId="63" fillId="5" borderId="19" xfId="0" applyNumberFormat="1" applyFont="1" applyFill="1" applyBorder="1" applyAlignment="1"/>
    <xf numFmtId="0" fontId="63" fillId="5" borderId="19" xfId="0" applyNumberFormat="1" applyFont="1" applyFill="1" applyBorder="1" applyAlignment="1"/>
    <xf numFmtId="0" fontId="70" fillId="6" borderId="0" xfId="0" applyNumberFormat="1" applyFont="1" applyFill="1" applyBorder="1" applyAlignment="1"/>
    <xf numFmtId="0" fontId="70" fillId="6" borderId="0" xfId="0" applyNumberFormat="1" applyFont="1" applyFill="1" applyBorder="1" applyAlignment="1">
      <alignment horizontal="right"/>
    </xf>
    <xf numFmtId="0" fontId="70" fillId="6" borderId="0" xfId="0" applyNumberFormat="1" applyFont="1" applyFill="1" applyBorder="1" applyAlignment="1">
      <alignment horizontal="center"/>
    </xf>
    <xf numFmtId="15" fontId="70" fillId="6" borderId="0" xfId="0" applyNumberFormat="1" applyFont="1" applyFill="1" applyBorder="1" applyAlignment="1">
      <alignment horizontal="right"/>
    </xf>
    <xf numFmtId="0" fontId="69" fillId="6" borderId="25" xfId="0" applyNumberFormat="1" applyFont="1" applyFill="1" applyBorder="1" applyAlignment="1"/>
    <xf numFmtId="3" fontId="60" fillId="5" borderId="0" xfId="0" applyNumberFormat="1" applyFont="1" applyFill="1" applyBorder="1" applyAlignment="1"/>
    <xf numFmtId="3" fontId="60" fillId="5" borderId="0" xfId="0" applyNumberFormat="1" applyFont="1" applyFill="1" applyBorder="1" applyAlignment="1" applyProtection="1">
      <alignment horizontal="right"/>
      <protection locked="0"/>
    </xf>
    <xf numFmtId="0" fontId="60" fillId="5" borderId="19" xfId="0" applyNumberFormat="1" applyFont="1" applyFill="1" applyBorder="1" applyAlignment="1">
      <alignment horizontal="right"/>
    </xf>
    <xf numFmtId="14" fontId="60" fillId="5" borderId="19" xfId="0" applyNumberFormat="1" applyFont="1" applyFill="1" applyBorder="1" applyAlignment="1">
      <alignment horizontal="right"/>
    </xf>
    <xf numFmtId="167" fontId="60" fillId="5" borderId="19" xfId="0" applyNumberFormat="1" applyFont="1" applyFill="1" applyBorder="1" applyAlignment="1">
      <alignment horizontal="right"/>
    </xf>
    <xf numFmtId="0" fontId="50" fillId="5" borderId="18" xfId="0" applyNumberFormat="1" applyFont="1" applyFill="1" applyBorder="1" applyAlignment="1"/>
    <xf numFmtId="0" fontId="57" fillId="5" borderId="19" xfId="0" applyNumberFormat="1" applyFont="1" applyFill="1" applyBorder="1" applyAlignment="1"/>
    <xf numFmtId="0" fontId="50" fillId="5" borderId="19" xfId="0" applyNumberFormat="1" applyFont="1" applyFill="1" applyBorder="1" applyAlignment="1"/>
    <xf numFmtId="3" fontId="50" fillId="5" borderId="19" xfId="0" applyNumberFormat="1" applyFont="1" applyFill="1" applyBorder="1" applyAlignment="1"/>
    <xf numFmtId="3" fontId="72" fillId="5" borderId="19" xfId="0" applyNumberFormat="1" applyFont="1" applyFill="1" applyBorder="1" applyAlignment="1" applyProtection="1">
      <alignment horizontal="right"/>
      <protection locked="0"/>
    </xf>
    <xf numFmtId="0" fontId="50" fillId="5" borderId="20" xfId="0" applyNumberFormat="1" applyFont="1" applyFill="1" applyBorder="1" applyAlignment="1"/>
    <xf numFmtId="0" fontId="60" fillId="5" borderId="18" xfId="0" applyNumberFormat="1" applyFont="1" applyFill="1" applyBorder="1" applyAlignment="1"/>
    <xf numFmtId="3" fontId="63" fillId="0" borderId="0" xfId="0" applyNumberFormat="1" applyFont="1" applyAlignment="1"/>
    <xf numFmtId="0" fontId="60" fillId="5" borderId="15" xfId="0" applyNumberFormat="1" applyFont="1" applyFill="1" applyBorder="1" applyAlignment="1"/>
    <xf numFmtId="4" fontId="72" fillId="5" borderId="19" xfId="0" applyNumberFormat="1" applyFont="1" applyFill="1" applyBorder="1" applyAlignment="1" applyProtection="1">
      <alignment horizontal="right"/>
      <protection locked="0"/>
    </xf>
    <xf numFmtId="3" fontId="63" fillId="5" borderId="0" xfId="0" applyNumberFormat="1" applyFont="1" applyFill="1" applyBorder="1" applyAlignment="1"/>
    <xf numFmtId="0" fontId="63" fillId="5" borderId="29" xfId="0" applyNumberFormat="1" applyFont="1" applyFill="1" applyBorder="1" applyAlignment="1"/>
    <xf numFmtId="4" fontId="63" fillId="5" borderId="0" xfId="0" applyNumberFormat="1" applyFont="1" applyFill="1" applyAlignment="1" applyProtection="1">
      <alignment horizontal="right"/>
      <protection locked="0"/>
    </xf>
    <xf numFmtId="0" fontId="63" fillId="5" borderId="30" xfId="0" applyNumberFormat="1" applyFont="1" applyFill="1" applyBorder="1" applyAlignment="1"/>
    <xf numFmtId="4" fontId="63" fillId="5" borderId="7" xfId="0" applyNumberFormat="1" applyFont="1" applyFill="1" applyBorder="1" applyAlignment="1" applyProtection="1">
      <alignment horizontal="right"/>
      <protection locked="0"/>
    </xf>
    <xf numFmtId="0" fontId="69" fillId="6" borderId="1" xfId="0" applyNumberFormat="1" applyFont="1" applyFill="1" applyBorder="1" applyAlignment="1"/>
    <xf numFmtId="0" fontId="70" fillId="6" borderId="2" xfId="0" applyNumberFormat="1" applyFont="1" applyFill="1" applyBorder="1" applyAlignment="1"/>
    <xf numFmtId="0" fontId="69" fillId="6" borderId="2" xfId="0" applyNumberFormat="1" applyFont="1" applyFill="1" applyBorder="1" applyAlignment="1"/>
    <xf numFmtId="4" fontId="69" fillId="6" borderId="2" xfId="0" applyNumberFormat="1" applyFont="1" applyFill="1" applyBorder="1" applyAlignment="1" applyProtection="1">
      <alignment horizontal="right"/>
      <protection locked="0"/>
    </xf>
    <xf numFmtId="0" fontId="73" fillId="5" borderId="0" xfId="0" applyNumberFormat="1" applyFont="1" applyFill="1" applyAlignment="1"/>
    <xf numFmtId="0" fontId="57" fillId="5" borderId="0" xfId="0" applyNumberFormat="1" applyFont="1" applyFill="1" applyAlignment="1"/>
    <xf numFmtId="3" fontId="63" fillId="5" borderId="19" xfId="0" applyNumberFormat="1" applyFont="1" applyFill="1" applyBorder="1" applyAlignment="1" applyProtection="1">
      <alignment horizontal="right"/>
      <protection locked="0"/>
    </xf>
    <xf numFmtId="4" fontId="63" fillId="5" borderId="0" xfId="0" applyNumberFormat="1" applyFont="1" applyFill="1" applyBorder="1" applyAlignment="1" applyProtection="1">
      <alignment horizontal="right"/>
      <protection locked="0"/>
    </xf>
    <xf numFmtId="0" fontId="63" fillId="5" borderId="25" xfId="0" applyNumberFormat="1" applyFont="1" applyFill="1" applyBorder="1" applyAlignment="1"/>
    <xf numFmtId="4" fontId="60" fillId="5" borderId="19" xfId="0" applyNumberFormat="1" applyFont="1" applyFill="1" applyBorder="1" applyAlignment="1" applyProtection="1">
      <alignment horizontal="right"/>
      <protection locked="0"/>
    </xf>
    <xf numFmtId="4" fontId="50" fillId="5" borderId="0" xfId="0" applyNumberFormat="1" applyFont="1" applyFill="1" applyBorder="1" applyAlignment="1" applyProtection="1">
      <alignment horizontal="right"/>
      <protection locked="0"/>
    </xf>
    <xf numFmtId="4" fontId="72" fillId="5" borderId="0" xfId="0" applyNumberFormat="1" applyFont="1" applyFill="1" applyAlignment="1" applyProtection="1">
      <alignment horizontal="right"/>
      <protection locked="0"/>
    </xf>
    <xf numFmtId="4" fontId="50" fillId="5" borderId="2" xfId="0" applyNumberFormat="1" applyFont="1" applyFill="1" applyBorder="1" applyAlignment="1" applyProtection="1">
      <alignment horizontal="right"/>
      <protection locked="0"/>
    </xf>
    <xf numFmtId="0" fontId="71" fillId="5" borderId="0" xfId="0" applyNumberFormat="1" applyFont="1" applyFill="1" applyAlignment="1"/>
    <xf numFmtId="0" fontId="67" fillId="5" borderId="0" xfId="0" applyNumberFormat="1" applyFont="1" applyFill="1" applyAlignment="1">
      <alignment horizontal="right"/>
    </xf>
    <xf numFmtId="0" fontId="53" fillId="5" borderId="0" xfId="0" applyNumberFormat="1" applyFont="1" applyFill="1" applyAlignment="1">
      <alignment horizontal="right"/>
    </xf>
    <xf numFmtId="4" fontId="53" fillId="5" borderId="0" xfId="0" applyNumberFormat="1" applyFont="1" applyFill="1" applyAlignment="1" applyProtection="1">
      <alignment horizontal="right"/>
      <protection locked="0"/>
    </xf>
    <xf numFmtId="0" fontId="74" fillId="5" borderId="25" xfId="0" applyNumberFormat="1" applyFont="1" applyFill="1" applyBorder="1" applyAlignment="1"/>
    <xf numFmtId="0" fontId="50" fillId="5" borderId="0" xfId="0" applyNumberFormat="1" applyFont="1" applyFill="1" applyAlignment="1" applyProtection="1">
      <protection locked="0"/>
    </xf>
    <xf numFmtId="2" fontId="60" fillId="5" borderId="19" xfId="0" applyNumberFormat="1" applyFont="1" applyFill="1" applyBorder="1" applyAlignment="1" applyProtection="1">
      <alignment horizontal="right"/>
      <protection locked="0"/>
    </xf>
    <xf numFmtId="15" fontId="70" fillId="6" borderId="2" xfId="0" applyNumberFormat="1" applyFont="1" applyFill="1" applyBorder="1" applyAlignment="1">
      <alignment horizontal="centerContinuous"/>
    </xf>
    <xf numFmtId="15" fontId="70" fillId="6" borderId="2" xfId="0" applyNumberFormat="1" applyFont="1" applyFill="1" applyBorder="1" applyAlignment="1">
      <alignment horizontal="center"/>
    </xf>
    <xf numFmtId="0" fontId="72" fillId="5" borderId="3" xfId="0" applyNumberFormat="1" applyFont="1" applyFill="1" applyBorder="1" applyAlignment="1"/>
    <xf numFmtId="0" fontId="75" fillId="5" borderId="0" xfId="0" applyNumberFormat="1" applyFont="1" applyFill="1" applyAlignment="1"/>
    <xf numFmtId="15" fontId="76" fillId="5" borderId="0" xfId="0" applyNumberFormat="1" applyFont="1" applyFill="1" applyAlignment="1">
      <alignment horizontal="centerContinuous"/>
    </xf>
    <xf numFmtId="15" fontId="76" fillId="5" borderId="0" xfId="0" applyNumberFormat="1" applyFont="1" applyFill="1" applyAlignment="1">
      <alignment horizontal="center"/>
    </xf>
    <xf numFmtId="15" fontId="59" fillId="5" borderId="19" xfId="0" applyNumberFormat="1" applyFont="1" applyFill="1" applyBorder="1" applyAlignment="1">
      <alignment horizontal="centerContinuous"/>
    </xf>
    <xf numFmtId="15" fontId="59" fillId="5" borderId="19" xfId="0" applyNumberFormat="1" applyFont="1" applyFill="1" applyBorder="1" applyAlignment="1">
      <alignment horizontal="center"/>
    </xf>
    <xf numFmtId="10" fontId="60" fillId="5" borderId="19" xfId="0" applyNumberFormat="1" applyFont="1" applyFill="1" applyBorder="1" applyAlignment="1">
      <alignment horizontal="center"/>
    </xf>
    <xf numFmtId="17" fontId="60" fillId="5" borderId="19" xfId="0" applyNumberFormat="1" applyFont="1" applyFill="1" applyBorder="1" applyAlignment="1">
      <alignment horizontal="center"/>
    </xf>
    <xf numFmtId="4" fontId="60" fillId="5" borderId="19" xfId="0" applyNumberFormat="1" applyFont="1" applyFill="1" applyBorder="1" applyAlignment="1">
      <alignment horizontal="center"/>
    </xf>
    <xf numFmtId="0" fontId="63" fillId="5" borderId="0" xfId="0" applyNumberFormat="1" applyFont="1" applyFill="1" applyBorder="1" applyAlignment="1" applyProtection="1">
      <protection locked="0"/>
    </xf>
    <xf numFmtId="0" fontId="69" fillId="6" borderId="3" xfId="0" applyNumberFormat="1" applyFont="1" applyFill="1" applyBorder="1" applyAlignment="1">
      <alignment horizontal="right"/>
    </xf>
    <xf numFmtId="3" fontId="70" fillId="6" borderId="0" xfId="0" applyNumberFormat="1" applyFont="1" applyFill="1" applyBorder="1" applyAlignment="1">
      <alignment horizontal="center"/>
    </xf>
    <xf numFmtId="0" fontId="69" fillId="6" borderId="0" xfId="0" applyNumberFormat="1" applyFont="1" applyFill="1" applyBorder="1" applyAlignment="1"/>
    <xf numFmtId="0" fontId="63" fillId="5" borderId="3" xfId="0" applyNumberFormat="1" applyFont="1" applyFill="1" applyBorder="1" applyAlignment="1">
      <alignment horizontal="right"/>
    </xf>
    <xf numFmtId="0" fontId="60" fillId="5" borderId="0" xfId="0" applyNumberFormat="1" applyFont="1" applyFill="1" applyBorder="1" applyAlignment="1">
      <alignment horizontal="center"/>
    </xf>
    <xf numFmtId="3" fontId="60" fillId="5" borderId="0" xfId="0" applyNumberFormat="1" applyFont="1" applyFill="1" applyBorder="1" applyAlignment="1" applyProtection="1">
      <alignment horizontal="center"/>
      <protection locked="0"/>
    </xf>
    <xf numFmtId="3" fontId="65" fillId="5" borderId="25" xfId="0" applyNumberFormat="1" applyFont="1" applyFill="1" applyBorder="1" applyAlignment="1"/>
    <xf numFmtId="0" fontId="63" fillId="5" borderId="18" xfId="0" applyNumberFormat="1" applyFont="1" applyFill="1" applyBorder="1" applyAlignment="1">
      <alignment horizontal="right"/>
    </xf>
    <xf numFmtId="0" fontId="60" fillId="5" borderId="19" xfId="0" applyNumberFormat="1" applyFont="1" applyFill="1" applyBorder="1" applyAlignment="1">
      <alignment horizontal="center"/>
    </xf>
    <xf numFmtId="3" fontId="60" fillId="5" borderId="19" xfId="0" applyNumberFormat="1" applyFont="1" applyFill="1" applyBorder="1" applyAlignment="1">
      <alignment horizontal="center"/>
    </xf>
    <xf numFmtId="3" fontId="60" fillId="5" borderId="19" xfId="0" applyNumberFormat="1" applyFont="1" applyFill="1" applyBorder="1" applyAlignment="1" applyProtection="1">
      <alignment horizontal="center"/>
      <protection locked="0"/>
    </xf>
    <xf numFmtId="0" fontId="63" fillId="5" borderId="19" xfId="0" applyNumberFormat="1" applyFont="1" applyFill="1" applyBorder="1" applyAlignment="1" applyProtection="1">
      <protection locked="0"/>
    </xf>
    <xf numFmtId="3" fontId="65" fillId="5" borderId="20" xfId="0" applyNumberFormat="1" applyFont="1" applyFill="1" applyBorder="1" applyAlignment="1"/>
    <xf numFmtId="0" fontId="72" fillId="5" borderId="18" xfId="0" applyNumberFormat="1" applyFont="1" applyFill="1" applyBorder="1" applyAlignment="1">
      <alignment horizontal="right"/>
    </xf>
    <xf numFmtId="0" fontId="53" fillId="5" borderId="19" xfId="0" applyNumberFormat="1" applyFont="1" applyFill="1" applyBorder="1" applyAlignment="1"/>
    <xf numFmtId="3" fontId="72" fillId="5" borderId="19" xfId="0" applyNumberFormat="1" applyFont="1" applyFill="1" applyBorder="1" applyAlignment="1"/>
    <xf numFmtId="0" fontId="50" fillId="5" borderId="19" xfId="0" applyNumberFormat="1" applyFont="1" applyFill="1" applyBorder="1" applyAlignment="1" applyProtection="1">
      <protection locked="0"/>
    </xf>
    <xf numFmtId="3" fontId="76" fillId="5" borderId="20" xfId="0" applyNumberFormat="1" applyFont="1" applyFill="1" applyBorder="1" applyAlignment="1"/>
    <xf numFmtId="4" fontId="60" fillId="5" borderId="19" xfId="0" applyNumberFormat="1" applyFont="1" applyFill="1" applyBorder="1" applyAlignment="1" applyProtection="1">
      <alignment horizontal="center"/>
      <protection locked="0"/>
    </xf>
    <xf numFmtId="0" fontId="72" fillId="5" borderId="18" xfId="0" applyNumberFormat="1" applyFont="1" applyFill="1" applyBorder="1" applyAlignment="1">
      <alignment horizontal="center"/>
    </xf>
    <xf numFmtId="0" fontId="72" fillId="5" borderId="19" xfId="0" applyNumberFormat="1" applyFont="1" applyFill="1" applyBorder="1" applyAlignment="1"/>
    <xf numFmtId="3" fontId="72" fillId="5" borderId="19" xfId="0" applyNumberFormat="1" applyFont="1" applyFill="1" applyBorder="1" applyAlignment="1" applyProtection="1">
      <alignment horizontal="center"/>
      <protection locked="0"/>
    </xf>
    <xf numFmtId="0" fontId="76" fillId="5" borderId="20" xfId="0" applyNumberFormat="1" applyFont="1" applyFill="1" applyBorder="1" applyAlignment="1"/>
    <xf numFmtId="0" fontId="63" fillId="5" borderId="18" xfId="0" applyNumberFormat="1" applyFont="1" applyFill="1" applyBorder="1" applyAlignment="1">
      <alignment horizontal="center"/>
    </xf>
    <xf numFmtId="0" fontId="65" fillId="5" borderId="20" xfId="0" applyNumberFormat="1" applyFont="1" applyFill="1" applyBorder="1" applyAlignment="1"/>
    <xf numFmtId="4" fontId="60" fillId="5" borderId="19" xfId="0" applyNumberFormat="1" applyFont="1" applyFill="1" applyBorder="1" applyAlignment="1">
      <alignment horizontal="right"/>
    </xf>
    <xf numFmtId="0" fontId="72" fillId="5" borderId="19" xfId="0" applyNumberFormat="1" applyFont="1" applyFill="1" applyBorder="1" applyAlignment="1">
      <alignment horizontal="right"/>
    </xf>
    <xf numFmtId="4" fontId="72" fillId="5" borderId="19" xfId="0" applyNumberFormat="1" applyFont="1" applyFill="1" applyBorder="1" applyAlignment="1">
      <alignment horizontal="right"/>
    </xf>
    <xf numFmtId="0" fontId="77" fillId="5" borderId="19" xfId="0" applyNumberFormat="1" applyFont="1" applyFill="1" applyBorder="1" applyAlignment="1">
      <alignment horizontal="center"/>
    </xf>
    <xf numFmtId="10" fontId="77" fillId="5" borderId="19" xfId="0" applyNumberFormat="1" applyFont="1" applyFill="1" applyBorder="1" applyAlignment="1" applyProtection="1">
      <alignment horizontal="center"/>
      <protection locked="0"/>
    </xf>
    <xf numFmtId="2" fontId="60" fillId="5" borderId="19" xfId="0" applyNumberFormat="1" applyFont="1" applyFill="1" applyBorder="1" applyAlignment="1" applyProtection="1">
      <alignment horizontal="center"/>
      <protection locked="0"/>
    </xf>
    <xf numFmtId="0" fontId="78" fillId="5" borderId="19" xfId="0" applyNumberFormat="1" applyFont="1" applyFill="1" applyBorder="1" applyAlignment="1"/>
    <xf numFmtId="0" fontId="79" fillId="5" borderId="19" xfId="1" applyNumberFormat="1" applyFont="1" applyFill="1" applyBorder="1" applyAlignment="1" applyProtection="1"/>
    <xf numFmtId="10" fontId="72" fillId="5" borderId="19" xfId="0" applyNumberFormat="1" applyFont="1" applyFill="1" applyBorder="1" applyAlignment="1" applyProtection="1">
      <alignment horizontal="center"/>
      <protection locked="0"/>
    </xf>
    <xf numFmtId="0" fontId="72" fillId="5" borderId="3" xfId="0" applyNumberFormat="1" applyFont="1" applyFill="1" applyBorder="1" applyAlignment="1">
      <alignment horizontal="right"/>
    </xf>
    <xf numFmtId="0" fontId="80" fillId="5" borderId="0" xfId="0" applyNumberFormat="1" applyFont="1" applyFill="1" applyBorder="1" applyAlignment="1"/>
    <xf numFmtId="0" fontId="72" fillId="5" borderId="0" xfId="0" applyNumberFormat="1" applyFont="1" applyFill="1" applyBorder="1" applyAlignment="1">
      <alignment horizontal="right"/>
    </xf>
    <xf numFmtId="4" fontId="72" fillId="5" borderId="0" xfId="0" applyNumberFormat="1" applyFont="1" applyFill="1" applyBorder="1" applyAlignment="1">
      <alignment horizontal="right"/>
    </xf>
    <xf numFmtId="0" fontId="81" fillId="5" borderId="0" xfId="1" applyNumberFormat="1" applyFont="1" applyFill="1" applyBorder="1" applyAlignment="1" applyProtection="1"/>
    <xf numFmtId="10" fontId="72" fillId="5" borderId="0" xfId="0" applyNumberFormat="1" applyFont="1" applyFill="1" applyBorder="1" applyAlignment="1" applyProtection="1">
      <alignment horizontal="center"/>
      <protection locked="0"/>
    </xf>
    <xf numFmtId="0" fontId="50" fillId="5" borderId="0" xfId="0" applyNumberFormat="1" applyFont="1" applyFill="1" applyBorder="1" applyAlignment="1" applyProtection="1">
      <protection locked="0"/>
    </xf>
    <xf numFmtId="0" fontId="76" fillId="5" borderId="25" xfId="0" applyNumberFormat="1" applyFont="1" applyFill="1" applyBorder="1" applyAlignment="1"/>
    <xf numFmtId="0" fontId="70" fillId="6" borderId="25" xfId="0" applyNumberFormat="1" applyFont="1" applyFill="1" applyBorder="1" applyAlignment="1"/>
    <xf numFmtId="166" fontId="60" fillId="5" borderId="0" xfId="0" applyNumberFormat="1" applyFont="1" applyFill="1" applyBorder="1" applyAlignment="1"/>
    <xf numFmtId="10" fontId="60" fillId="5" borderId="0" xfId="0" applyNumberFormat="1" applyFont="1" applyFill="1" applyBorder="1" applyAlignment="1"/>
    <xf numFmtId="0" fontId="65" fillId="5" borderId="25" xfId="0" applyNumberFormat="1" applyFont="1" applyFill="1" applyBorder="1" applyAlignment="1"/>
    <xf numFmtId="166" fontId="60" fillId="5" borderId="19" xfId="0" applyNumberFormat="1" applyFont="1" applyFill="1" applyBorder="1" applyAlignment="1"/>
    <xf numFmtId="10" fontId="60" fillId="5" borderId="19" xfId="0" applyNumberFormat="1" applyFont="1" applyFill="1" applyBorder="1" applyAlignment="1"/>
    <xf numFmtId="9" fontId="60" fillId="5" borderId="19" xfId="0" applyNumberFormat="1" applyFont="1" applyFill="1" applyBorder="1" applyAlignment="1"/>
    <xf numFmtId="9" fontId="50" fillId="5" borderId="0" xfId="0" applyNumberFormat="1" applyFont="1" applyFill="1" applyBorder="1" applyAlignment="1"/>
    <xf numFmtId="10" fontId="50" fillId="5" borderId="0" xfId="0" applyNumberFormat="1" applyFont="1" applyFill="1" applyBorder="1" applyAlignment="1"/>
    <xf numFmtId="3" fontId="72" fillId="5" borderId="0" xfId="0" applyNumberFormat="1" applyFont="1" applyFill="1" applyBorder="1" applyAlignment="1" applyProtection="1">
      <alignment horizontal="right"/>
      <protection locked="0"/>
    </xf>
    <xf numFmtId="9" fontId="69" fillId="6" borderId="0" xfId="0" applyNumberFormat="1" applyFont="1" applyFill="1" applyBorder="1" applyAlignment="1"/>
    <xf numFmtId="0" fontId="50" fillId="0" borderId="0" xfId="0" applyNumberFormat="1" applyFont="1" applyBorder="1" applyAlignment="1"/>
    <xf numFmtId="9" fontId="60" fillId="5" borderId="0" xfId="0" applyNumberFormat="1" applyFont="1" applyFill="1" applyBorder="1" applyAlignment="1"/>
    <xf numFmtId="0" fontId="63" fillId="0" borderId="0" xfId="0" applyNumberFormat="1" applyFont="1" applyBorder="1" applyAlignment="1"/>
    <xf numFmtId="10" fontId="63" fillId="5" borderId="19" xfId="0" applyNumberFormat="1" applyFont="1" applyFill="1" applyBorder="1" applyAlignment="1"/>
    <xf numFmtId="0" fontId="59" fillId="5" borderId="19" xfId="0" applyNumberFormat="1" applyFont="1" applyFill="1" applyBorder="1" applyAlignment="1"/>
    <xf numFmtId="3" fontId="59" fillId="5" borderId="19" xfId="0" applyNumberFormat="1" applyFont="1" applyFill="1" applyBorder="1" applyAlignment="1"/>
    <xf numFmtId="3" fontId="59" fillId="5" borderId="19" xfId="0" applyNumberFormat="1" applyFont="1" applyFill="1" applyBorder="1" applyAlignment="1" applyProtection="1">
      <alignment horizontal="right"/>
      <protection locked="0"/>
    </xf>
    <xf numFmtId="0" fontId="59" fillId="5" borderId="0" xfId="0" applyNumberFormat="1" applyFont="1" applyFill="1" applyBorder="1" applyAlignment="1"/>
    <xf numFmtId="9" fontId="60" fillId="5" borderId="0" xfId="0" applyNumberFormat="1" applyFont="1" applyFill="1" applyAlignment="1"/>
    <xf numFmtId="3" fontId="60" fillId="5" borderId="0" xfId="0" applyNumberFormat="1" applyFont="1" applyFill="1" applyAlignment="1" applyProtection="1">
      <alignment horizontal="right"/>
      <protection locked="0"/>
    </xf>
    <xf numFmtId="0" fontId="59" fillId="5" borderId="0" xfId="0" quotePrefix="1" applyNumberFormat="1" applyFont="1" applyFill="1" applyAlignment="1">
      <alignment horizontal="center"/>
    </xf>
    <xf numFmtId="0" fontId="68" fillId="5" borderId="0" xfId="0" applyNumberFormat="1" applyFont="1" applyFill="1" applyAlignment="1"/>
    <xf numFmtId="0" fontId="50" fillId="0" borderId="2" xfId="0" applyNumberFormat="1" applyFont="1" applyBorder="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F4F4F4"/>
      <color rgb="FFD0D3D4"/>
      <color rgb="FF80808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4.pn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4.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33759" name="Picture 1" descr="C:\WINDOWS\TEMP\Symbol.gif">
          <a:extLst>
            <a:ext uri="{FF2B5EF4-FFF2-40B4-BE49-F238E27FC236}">
              <a16:creationId xmlns:a16="http://schemas.microsoft.com/office/drawing/2014/main" id="{00000000-0008-0000-0000-0000DF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58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126</xdr:row>
      <xdr:rowOff>161925</xdr:rowOff>
    </xdr:from>
    <xdr:to>
      <xdr:col>1</xdr:col>
      <xdr:colOff>28575</xdr:colOff>
      <xdr:row>127</xdr:row>
      <xdr:rowOff>200025</xdr:rowOff>
    </xdr:to>
    <xdr:pic>
      <xdr:nvPicPr>
        <xdr:cNvPr id="33760" name="Picture 2" descr="C:\WINDOWS\TEMP\Symbol.gif">
          <a:extLst>
            <a:ext uri="{FF2B5EF4-FFF2-40B4-BE49-F238E27FC236}">
              <a16:creationId xmlns:a16="http://schemas.microsoft.com/office/drawing/2014/main" id="{00000000-0008-0000-0000-0000E0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5879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33761" name="Picture 3" descr="C:\WINDOWS\TEMP\Symbol.gif">
          <a:extLst>
            <a:ext uri="{FF2B5EF4-FFF2-40B4-BE49-F238E27FC236}">
              <a16:creationId xmlns:a16="http://schemas.microsoft.com/office/drawing/2014/main" id="{00000000-0008-0000-0000-0000E1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166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245</xdr:row>
      <xdr:rowOff>161925</xdr:rowOff>
    </xdr:from>
    <xdr:to>
      <xdr:col>1</xdr:col>
      <xdr:colOff>19050</xdr:colOff>
      <xdr:row>246</xdr:row>
      <xdr:rowOff>200025</xdr:rowOff>
    </xdr:to>
    <xdr:pic>
      <xdr:nvPicPr>
        <xdr:cNvPr id="33762" name="Picture 4" descr="C:\WINDOWS\TEMP\Symbol.gif">
          <a:extLst>
            <a:ext uri="{FF2B5EF4-FFF2-40B4-BE49-F238E27FC236}">
              <a16:creationId xmlns:a16="http://schemas.microsoft.com/office/drawing/2014/main" id="{00000000-0008-0000-0000-0000E2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49806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245</xdr:row>
      <xdr:rowOff>123825</xdr:rowOff>
    </xdr:from>
    <xdr:to>
      <xdr:col>18</xdr:col>
      <xdr:colOff>1895475</xdr:colOff>
      <xdr:row>246</xdr:row>
      <xdr:rowOff>152400</xdr:rowOff>
    </xdr:to>
    <xdr:pic>
      <xdr:nvPicPr>
        <xdr:cNvPr id="33763" name="Picture 5" descr="C:\WINDOWS\TEMP\~0003946.gif">
          <a:extLst>
            <a:ext uri="{FF2B5EF4-FFF2-40B4-BE49-F238E27FC236}">
              <a16:creationId xmlns:a16="http://schemas.microsoft.com/office/drawing/2014/main" id="{00000000-0008-0000-0000-0000E3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49768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182</xdr:row>
      <xdr:rowOff>152400</xdr:rowOff>
    </xdr:from>
    <xdr:to>
      <xdr:col>18</xdr:col>
      <xdr:colOff>1924050</xdr:colOff>
      <xdr:row>183</xdr:row>
      <xdr:rowOff>180975</xdr:rowOff>
    </xdr:to>
    <xdr:pic>
      <xdr:nvPicPr>
        <xdr:cNvPr id="33764" name="Picture 6" descr="C:\WINDOWS\TEMP\~0003946.gif">
          <a:extLst>
            <a:ext uri="{FF2B5EF4-FFF2-40B4-BE49-F238E27FC236}">
              <a16:creationId xmlns:a16="http://schemas.microsoft.com/office/drawing/2014/main" id="{00000000-0008-0000-0000-0000E4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371475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126</xdr:row>
      <xdr:rowOff>161925</xdr:rowOff>
    </xdr:from>
    <xdr:to>
      <xdr:col>18</xdr:col>
      <xdr:colOff>1952625</xdr:colOff>
      <xdr:row>127</xdr:row>
      <xdr:rowOff>190500</xdr:rowOff>
    </xdr:to>
    <xdr:pic>
      <xdr:nvPicPr>
        <xdr:cNvPr id="33765" name="Picture 7" descr="C:\WINDOWS\TEMP\~0003946.gif">
          <a:extLst>
            <a:ext uri="{FF2B5EF4-FFF2-40B4-BE49-F238E27FC236}">
              <a16:creationId xmlns:a16="http://schemas.microsoft.com/office/drawing/2014/main" id="{00000000-0008-0000-0000-0000E5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25879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33766" name="Picture 8" descr="C:\WINDOWS\TEMP\~0003946.gif">
          <a:extLst>
            <a:ext uri="{FF2B5EF4-FFF2-40B4-BE49-F238E27FC236}">
              <a16:creationId xmlns:a16="http://schemas.microsoft.com/office/drawing/2014/main" id="{00000000-0008-0000-0000-0000E6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12230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33767" name="Picture 28" descr="C:\WINDOWS\TEMP\~0003946.gif">
          <a:extLst>
            <a:ext uri="{FF2B5EF4-FFF2-40B4-BE49-F238E27FC236}">
              <a16:creationId xmlns:a16="http://schemas.microsoft.com/office/drawing/2014/main" id="{00000000-0008-0000-0000-0000E7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802850" y="12192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126</xdr:row>
      <xdr:rowOff>123825</xdr:rowOff>
    </xdr:from>
    <xdr:to>
      <xdr:col>18</xdr:col>
      <xdr:colOff>895350</xdr:colOff>
      <xdr:row>127</xdr:row>
      <xdr:rowOff>152400</xdr:rowOff>
    </xdr:to>
    <xdr:pic>
      <xdr:nvPicPr>
        <xdr:cNvPr id="33768" name="Picture 29" descr="C:\WINDOWS\TEMP\~0003946.gif">
          <a:extLst>
            <a:ext uri="{FF2B5EF4-FFF2-40B4-BE49-F238E27FC236}">
              <a16:creationId xmlns:a16="http://schemas.microsoft.com/office/drawing/2014/main" id="{00000000-0008-0000-0000-0000E8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812375" y="25841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182</xdr:row>
      <xdr:rowOff>104775</xdr:rowOff>
    </xdr:from>
    <xdr:to>
      <xdr:col>18</xdr:col>
      <xdr:colOff>809625</xdr:colOff>
      <xdr:row>183</xdr:row>
      <xdr:rowOff>133350</xdr:rowOff>
    </xdr:to>
    <xdr:pic>
      <xdr:nvPicPr>
        <xdr:cNvPr id="33769" name="Picture 30" descr="C:\WINDOWS\TEMP\~0003946.gif">
          <a:extLst>
            <a:ext uri="{FF2B5EF4-FFF2-40B4-BE49-F238E27FC236}">
              <a16:creationId xmlns:a16="http://schemas.microsoft.com/office/drawing/2014/main" id="{00000000-0008-0000-0000-0000E9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726650" y="370998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245</xdr:row>
      <xdr:rowOff>104775</xdr:rowOff>
    </xdr:from>
    <xdr:to>
      <xdr:col>18</xdr:col>
      <xdr:colOff>895350</xdr:colOff>
      <xdr:row>246</xdr:row>
      <xdr:rowOff>133350</xdr:rowOff>
    </xdr:to>
    <xdr:pic>
      <xdr:nvPicPr>
        <xdr:cNvPr id="33770" name="Picture 31" descr="C:\WINDOWS\TEMP\~0003946.gif">
          <a:extLst>
            <a:ext uri="{FF2B5EF4-FFF2-40B4-BE49-F238E27FC236}">
              <a16:creationId xmlns:a16="http://schemas.microsoft.com/office/drawing/2014/main" id="{00000000-0008-0000-0000-0000EA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812375" y="49749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33771" name="Picture 43" descr="logoMTL">
          <a:extLst>
            <a:ext uri="{FF2B5EF4-FFF2-40B4-BE49-F238E27FC236}">
              <a16:creationId xmlns:a16="http://schemas.microsoft.com/office/drawing/2014/main" id="{00000000-0008-0000-0000-0000EB8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00" y="12106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126</xdr:row>
      <xdr:rowOff>38100</xdr:rowOff>
    </xdr:from>
    <xdr:to>
      <xdr:col>17</xdr:col>
      <xdr:colOff>1171575</xdr:colOff>
      <xdr:row>127</xdr:row>
      <xdr:rowOff>161925</xdr:rowOff>
    </xdr:to>
    <xdr:pic>
      <xdr:nvPicPr>
        <xdr:cNvPr id="33772" name="Picture 44" descr="logoMTL">
          <a:extLst>
            <a:ext uri="{FF2B5EF4-FFF2-40B4-BE49-F238E27FC236}">
              <a16:creationId xmlns:a16="http://schemas.microsoft.com/office/drawing/2014/main" id="{00000000-0008-0000-0000-0000EC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31300" y="257556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182</xdr:row>
      <xdr:rowOff>28575</xdr:rowOff>
    </xdr:from>
    <xdr:to>
      <xdr:col>17</xdr:col>
      <xdr:colOff>1171575</xdr:colOff>
      <xdr:row>183</xdr:row>
      <xdr:rowOff>152400</xdr:rowOff>
    </xdr:to>
    <xdr:pic>
      <xdr:nvPicPr>
        <xdr:cNvPr id="33773" name="Picture 45" descr="logoMTL">
          <a:extLst>
            <a:ext uri="{FF2B5EF4-FFF2-40B4-BE49-F238E27FC236}">
              <a16:creationId xmlns:a16="http://schemas.microsoft.com/office/drawing/2014/main" id="{00000000-0008-0000-0000-0000ED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31300" y="370236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245</xdr:row>
      <xdr:rowOff>0</xdr:rowOff>
    </xdr:from>
    <xdr:to>
      <xdr:col>17</xdr:col>
      <xdr:colOff>1228725</xdr:colOff>
      <xdr:row>246</xdr:row>
      <xdr:rowOff>123825</xdr:rowOff>
    </xdr:to>
    <xdr:pic>
      <xdr:nvPicPr>
        <xdr:cNvPr id="33774" name="Picture 46" descr="logoMTL">
          <a:extLst>
            <a:ext uri="{FF2B5EF4-FFF2-40B4-BE49-F238E27FC236}">
              <a16:creationId xmlns:a16="http://schemas.microsoft.com/office/drawing/2014/main" id="{00000000-0008-0000-0000-0000EE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78925" y="49644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2945" name="Picture 1" descr="C:\WINDOWS\TEMP\Symbol.gif">
          <a:extLst>
            <a:ext uri="{FF2B5EF4-FFF2-40B4-BE49-F238E27FC236}">
              <a16:creationId xmlns:a16="http://schemas.microsoft.com/office/drawing/2014/main" id="{00000000-0008-0000-0900-0000C1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161925</xdr:rowOff>
    </xdr:from>
    <xdr:to>
      <xdr:col>1</xdr:col>
      <xdr:colOff>28575</xdr:colOff>
      <xdr:row>130</xdr:row>
      <xdr:rowOff>200025</xdr:rowOff>
    </xdr:to>
    <xdr:pic>
      <xdr:nvPicPr>
        <xdr:cNvPr id="42946" name="Picture 2" descr="C:\WINDOWS\TEMP\Symbol.gif">
          <a:extLst>
            <a:ext uri="{FF2B5EF4-FFF2-40B4-BE49-F238E27FC236}">
              <a16:creationId xmlns:a16="http://schemas.microsoft.com/office/drawing/2014/main" id="{00000000-0008-0000-0900-0000C2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17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185</xdr:row>
      <xdr:rowOff>171450</xdr:rowOff>
    </xdr:from>
    <xdr:to>
      <xdr:col>1</xdr:col>
      <xdr:colOff>47625</xdr:colOff>
      <xdr:row>186</xdr:row>
      <xdr:rowOff>209550</xdr:rowOff>
    </xdr:to>
    <xdr:pic>
      <xdr:nvPicPr>
        <xdr:cNvPr id="42947" name="Picture 3" descr="C:\WINDOWS\TEMP\Symbol.gif">
          <a:extLst>
            <a:ext uri="{FF2B5EF4-FFF2-40B4-BE49-F238E27FC236}">
              <a16:creationId xmlns:a16="http://schemas.microsoft.com/office/drawing/2014/main" id="{00000000-0008-0000-0900-0000C3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804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42948" name="Picture 4" descr="C:\WINDOWS\TEMP\Symbol.gif">
          <a:extLst>
            <a:ext uri="{FF2B5EF4-FFF2-40B4-BE49-F238E27FC236}">
              <a16:creationId xmlns:a16="http://schemas.microsoft.com/office/drawing/2014/main" id="{00000000-0008-0000-0900-0000C4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68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264</xdr:row>
      <xdr:rowOff>123825</xdr:rowOff>
    </xdr:from>
    <xdr:to>
      <xdr:col>18</xdr:col>
      <xdr:colOff>1895475</xdr:colOff>
      <xdr:row>265</xdr:row>
      <xdr:rowOff>152400</xdr:rowOff>
    </xdr:to>
    <xdr:pic>
      <xdr:nvPicPr>
        <xdr:cNvPr id="42949" name="Picture 5" descr="C:\WINDOWS\TEMP\~0003946.gif">
          <a:extLst>
            <a:ext uri="{FF2B5EF4-FFF2-40B4-BE49-F238E27FC236}">
              <a16:creationId xmlns:a16="http://schemas.microsoft.com/office/drawing/2014/main" id="{00000000-0008-0000-0900-0000C5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64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185</xdr:row>
      <xdr:rowOff>152400</xdr:rowOff>
    </xdr:from>
    <xdr:to>
      <xdr:col>18</xdr:col>
      <xdr:colOff>1924050</xdr:colOff>
      <xdr:row>186</xdr:row>
      <xdr:rowOff>180975</xdr:rowOff>
    </xdr:to>
    <xdr:pic>
      <xdr:nvPicPr>
        <xdr:cNvPr id="42950" name="Picture 6" descr="C:\WINDOWS\TEMP\~0003946.gif">
          <a:extLst>
            <a:ext uri="{FF2B5EF4-FFF2-40B4-BE49-F238E27FC236}">
              <a16:creationId xmlns:a16="http://schemas.microsoft.com/office/drawing/2014/main" id="{00000000-0008-0000-0900-0000C6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785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42951" name="Picture 7" descr="C:\WINDOWS\TEMP\~0003946.gif">
          <a:extLst>
            <a:ext uri="{FF2B5EF4-FFF2-40B4-BE49-F238E27FC236}">
              <a16:creationId xmlns:a16="http://schemas.microsoft.com/office/drawing/2014/main" id="{00000000-0008-0000-0900-0000C7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2952" name="Picture 8" descr="C:\WINDOWS\TEMP\~0003946.gif">
          <a:extLst>
            <a:ext uri="{FF2B5EF4-FFF2-40B4-BE49-F238E27FC236}">
              <a16:creationId xmlns:a16="http://schemas.microsoft.com/office/drawing/2014/main" id="{00000000-0008-0000-0900-0000C8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2953" name="Picture 9" descr="C:\WINDOWS\TEMP\~0003946.gif">
          <a:extLst>
            <a:ext uri="{FF2B5EF4-FFF2-40B4-BE49-F238E27FC236}">
              <a16:creationId xmlns:a16="http://schemas.microsoft.com/office/drawing/2014/main" id="{00000000-0008-0000-0900-0000C9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129</xdr:row>
      <xdr:rowOff>123825</xdr:rowOff>
    </xdr:from>
    <xdr:to>
      <xdr:col>18</xdr:col>
      <xdr:colOff>895350</xdr:colOff>
      <xdr:row>130</xdr:row>
      <xdr:rowOff>152400</xdr:rowOff>
    </xdr:to>
    <xdr:pic>
      <xdr:nvPicPr>
        <xdr:cNvPr id="42954" name="Picture 10" descr="C:\WINDOWS\TEMP\~0003946.gif">
          <a:extLst>
            <a:ext uri="{FF2B5EF4-FFF2-40B4-BE49-F238E27FC236}">
              <a16:creationId xmlns:a16="http://schemas.microsoft.com/office/drawing/2014/main" id="{00000000-0008-0000-0900-0000CA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479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185</xdr:row>
      <xdr:rowOff>104775</xdr:rowOff>
    </xdr:from>
    <xdr:to>
      <xdr:col>18</xdr:col>
      <xdr:colOff>809625</xdr:colOff>
      <xdr:row>186</xdr:row>
      <xdr:rowOff>133350</xdr:rowOff>
    </xdr:to>
    <xdr:pic>
      <xdr:nvPicPr>
        <xdr:cNvPr id="42955" name="Picture 11" descr="C:\WINDOWS\TEMP\~0003946.gif">
          <a:extLst>
            <a:ext uri="{FF2B5EF4-FFF2-40B4-BE49-F238E27FC236}">
              <a16:creationId xmlns:a16="http://schemas.microsoft.com/office/drawing/2014/main" id="{00000000-0008-0000-0900-0000CB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738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264</xdr:row>
      <xdr:rowOff>104775</xdr:rowOff>
    </xdr:from>
    <xdr:to>
      <xdr:col>18</xdr:col>
      <xdr:colOff>895350</xdr:colOff>
      <xdr:row>265</xdr:row>
      <xdr:rowOff>133350</xdr:rowOff>
    </xdr:to>
    <xdr:pic>
      <xdr:nvPicPr>
        <xdr:cNvPr id="42956" name="Picture 12" descr="C:\WINDOWS\TEMP\~0003946.gif">
          <a:extLst>
            <a:ext uri="{FF2B5EF4-FFF2-40B4-BE49-F238E27FC236}">
              <a16:creationId xmlns:a16="http://schemas.microsoft.com/office/drawing/2014/main" id="{00000000-0008-0000-0900-0000CC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62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2957" name="Picture 13" descr="logoMTL">
          <a:extLst>
            <a:ext uri="{FF2B5EF4-FFF2-40B4-BE49-F238E27FC236}">
              <a16:creationId xmlns:a16="http://schemas.microsoft.com/office/drawing/2014/main" id="{00000000-0008-0000-0900-0000CDA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42958" name="Picture 14" descr="logoMTL">
          <a:extLst>
            <a:ext uri="{FF2B5EF4-FFF2-40B4-BE49-F238E27FC236}">
              <a16:creationId xmlns:a16="http://schemas.microsoft.com/office/drawing/2014/main" id="{00000000-0008-0000-0900-0000CE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185</xdr:row>
      <xdr:rowOff>28575</xdr:rowOff>
    </xdr:from>
    <xdr:to>
      <xdr:col>17</xdr:col>
      <xdr:colOff>1171575</xdr:colOff>
      <xdr:row>186</xdr:row>
      <xdr:rowOff>152400</xdr:rowOff>
    </xdr:to>
    <xdr:pic>
      <xdr:nvPicPr>
        <xdr:cNvPr id="42959" name="Picture 15" descr="logoMTL">
          <a:extLst>
            <a:ext uri="{FF2B5EF4-FFF2-40B4-BE49-F238E27FC236}">
              <a16:creationId xmlns:a16="http://schemas.microsoft.com/office/drawing/2014/main" id="{00000000-0008-0000-0900-0000CF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661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264</xdr:row>
      <xdr:rowOff>0</xdr:rowOff>
    </xdr:from>
    <xdr:to>
      <xdr:col>17</xdr:col>
      <xdr:colOff>1228725</xdr:colOff>
      <xdr:row>265</xdr:row>
      <xdr:rowOff>123825</xdr:rowOff>
    </xdr:to>
    <xdr:pic>
      <xdr:nvPicPr>
        <xdr:cNvPr id="42960" name="Picture 16" descr="logoMTL">
          <a:extLst>
            <a:ext uri="{FF2B5EF4-FFF2-40B4-BE49-F238E27FC236}">
              <a16:creationId xmlns:a16="http://schemas.microsoft.com/office/drawing/2014/main" id="{00000000-0008-0000-0900-0000D0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52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3969" name="Picture 1" descr="C:\WINDOWS\TEMP\Symbol.gif">
          <a:extLst>
            <a:ext uri="{FF2B5EF4-FFF2-40B4-BE49-F238E27FC236}">
              <a16:creationId xmlns:a16="http://schemas.microsoft.com/office/drawing/2014/main" id="{00000000-0008-0000-0A00-0000C1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161925</xdr:rowOff>
    </xdr:from>
    <xdr:to>
      <xdr:col>1</xdr:col>
      <xdr:colOff>28575</xdr:colOff>
      <xdr:row>130</xdr:row>
      <xdr:rowOff>200025</xdr:rowOff>
    </xdr:to>
    <xdr:pic>
      <xdr:nvPicPr>
        <xdr:cNvPr id="43970" name="Picture 2" descr="C:\WINDOWS\TEMP\Symbol.gif">
          <a:extLst>
            <a:ext uri="{FF2B5EF4-FFF2-40B4-BE49-F238E27FC236}">
              <a16:creationId xmlns:a16="http://schemas.microsoft.com/office/drawing/2014/main" id="{00000000-0008-0000-0A00-0000C2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17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185</xdr:row>
      <xdr:rowOff>171450</xdr:rowOff>
    </xdr:from>
    <xdr:to>
      <xdr:col>1</xdr:col>
      <xdr:colOff>47625</xdr:colOff>
      <xdr:row>186</xdr:row>
      <xdr:rowOff>209550</xdr:rowOff>
    </xdr:to>
    <xdr:pic>
      <xdr:nvPicPr>
        <xdr:cNvPr id="43971" name="Picture 3" descr="C:\WINDOWS\TEMP\Symbol.gif">
          <a:extLst>
            <a:ext uri="{FF2B5EF4-FFF2-40B4-BE49-F238E27FC236}">
              <a16:creationId xmlns:a16="http://schemas.microsoft.com/office/drawing/2014/main" id="{00000000-0008-0000-0A00-0000C3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804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43972" name="Picture 4" descr="C:\WINDOWS\TEMP\Symbol.gif">
          <a:extLst>
            <a:ext uri="{FF2B5EF4-FFF2-40B4-BE49-F238E27FC236}">
              <a16:creationId xmlns:a16="http://schemas.microsoft.com/office/drawing/2014/main" id="{00000000-0008-0000-0A00-0000C4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68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264</xdr:row>
      <xdr:rowOff>123825</xdr:rowOff>
    </xdr:from>
    <xdr:to>
      <xdr:col>18</xdr:col>
      <xdr:colOff>1895475</xdr:colOff>
      <xdr:row>265</xdr:row>
      <xdr:rowOff>152400</xdr:rowOff>
    </xdr:to>
    <xdr:pic>
      <xdr:nvPicPr>
        <xdr:cNvPr id="43973" name="Picture 5" descr="C:\WINDOWS\TEMP\~0003946.gif">
          <a:extLst>
            <a:ext uri="{FF2B5EF4-FFF2-40B4-BE49-F238E27FC236}">
              <a16:creationId xmlns:a16="http://schemas.microsoft.com/office/drawing/2014/main" id="{00000000-0008-0000-0A00-0000C5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64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185</xdr:row>
      <xdr:rowOff>152400</xdr:rowOff>
    </xdr:from>
    <xdr:to>
      <xdr:col>18</xdr:col>
      <xdr:colOff>1924050</xdr:colOff>
      <xdr:row>186</xdr:row>
      <xdr:rowOff>180975</xdr:rowOff>
    </xdr:to>
    <xdr:pic>
      <xdr:nvPicPr>
        <xdr:cNvPr id="43974" name="Picture 6" descr="C:\WINDOWS\TEMP\~0003946.gif">
          <a:extLst>
            <a:ext uri="{FF2B5EF4-FFF2-40B4-BE49-F238E27FC236}">
              <a16:creationId xmlns:a16="http://schemas.microsoft.com/office/drawing/2014/main" id="{00000000-0008-0000-0A00-0000C6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785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43975" name="Picture 7" descr="C:\WINDOWS\TEMP\~0003946.gif">
          <a:extLst>
            <a:ext uri="{FF2B5EF4-FFF2-40B4-BE49-F238E27FC236}">
              <a16:creationId xmlns:a16="http://schemas.microsoft.com/office/drawing/2014/main" id="{00000000-0008-0000-0A00-0000C7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3976" name="Picture 8" descr="C:\WINDOWS\TEMP\~0003946.gif">
          <a:extLst>
            <a:ext uri="{FF2B5EF4-FFF2-40B4-BE49-F238E27FC236}">
              <a16:creationId xmlns:a16="http://schemas.microsoft.com/office/drawing/2014/main" id="{00000000-0008-0000-0A00-0000C8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3977" name="Picture 9" descr="C:\WINDOWS\TEMP\~0003946.gif">
          <a:extLst>
            <a:ext uri="{FF2B5EF4-FFF2-40B4-BE49-F238E27FC236}">
              <a16:creationId xmlns:a16="http://schemas.microsoft.com/office/drawing/2014/main" id="{00000000-0008-0000-0A00-0000C9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129</xdr:row>
      <xdr:rowOff>123825</xdr:rowOff>
    </xdr:from>
    <xdr:to>
      <xdr:col>18</xdr:col>
      <xdr:colOff>895350</xdr:colOff>
      <xdr:row>130</xdr:row>
      <xdr:rowOff>152400</xdr:rowOff>
    </xdr:to>
    <xdr:pic>
      <xdr:nvPicPr>
        <xdr:cNvPr id="43978" name="Picture 10" descr="C:\WINDOWS\TEMP\~0003946.gif">
          <a:extLst>
            <a:ext uri="{FF2B5EF4-FFF2-40B4-BE49-F238E27FC236}">
              <a16:creationId xmlns:a16="http://schemas.microsoft.com/office/drawing/2014/main" id="{00000000-0008-0000-0A00-0000CA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479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185</xdr:row>
      <xdr:rowOff>104775</xdr:rowOff>
    </xdr:from>
    <xdr:to>
      <xdr:col>18</xdr:col>
      <xdr:colOff>809625</xdr:colOff>
      <xdr:row>186</xdr:row>
      <xdr:rowOff>133350</xdr:rowOff>
    </xdr:to>
    <xdr:pic>
      <xdr:nvPicPr>
        <xdr:cNvPr id="43979" name="Picture 11" descr="C:\WINDOWS\TEMP\~0003946.gif">
          <a:extLst>
            <a:ext uri="{FF2B5EF4-FFF2-40B4-BE49-F238E27FC236}">
              <a16:creationId xmlns:a16="http://schemas.microsoft.com/office/drawing/2014/main" id="{00000000-0008-0000-0A00-0000CB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738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264</xdr:row>
      <xdr:rowOff>104775</xdr:rowOff>
    </xdr:from>
    <xdr:to>
      <xdr:col>18</xdr:col>
      <xdr:colOff>895350</xdr:colOff>
      <xdr:row>265</xdr:row>
      <xdr:rowOff>133350</xdr:rowOff>
    </xdr:to>
    <xdr:pic>
      <xdr:nvPicPr>
        <xdr:cNvPr id="43980" name="Picture 12" descr="C:\WINDOWS\TEMP\~0003946.gif">
          <a:extLst>
            <a:ext uri="{FF2B5EF4-FFF2-40B4-BE49-F238E27FC236}">
              <a16:creationId xmlns:a16="http://schemas.microsoft.com/office/drawing/2014/main" id="{00000000-0008-0000-0A00-0000CC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62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3981" name="Picture 13" descr="logoMTL">
          <a:extLst>
            <a:ext uri="{FF2B5EF4-FFF2-40B4-BE49-F238E27FC236}">
              <a16:creationId xmlns:a16="http://schemas.microsoft.com/office/drawing/2014/main" id="{00000000-0008-0000-0A00-0000CD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43982" name="Picture 14" descr="logoMTL">
          <a:extLst>
            <a:ext uri="{FF2B5EF4-FFF2-40B4-BE49-F238E27FC236}">
              <a16:creationId xmlns:a16="http://schemas.microsoft.com/office/drawing/2014/main" id="{00000000-0008-0000-0A00-0000CE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185</xdr:row>
      <xdr:rowOff>28575</xdr:rowOff>
    </xdr:from>
    <xdr:to>
      <xdr:col>17</xdr:col>
      <xdr:colOff>1171575</xdr:colOff>
      <xdr:row>186</xdr:row>
      <xdr:rowOff>152400</xdr:rowOff>
    </xdr:to>
    <xdr:pic>
      <xdr:nvPicPr>
        <xdr:cNvPr id="43983" name="Picture 15" descr="logoMTL">
          <a:extLst>
            <a:ext uri="{FF2B5EF4-FFF2-40B4-BE49-F238E27FC236}">
              <a16:creationId xmlns:a16="http://schemas.microsoft.com/office/drawing/2014/main" id="{00000000-0008-0000-0A00-0000CF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661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264</xdr:row>
      <xdr:rowOff>0</xdr:rowOff>
    </xdr:from>
    <xdr:to>
      <xdr:col>17</xdr:col>
      <xdr:colOff>1228725</xdr:colOff>
      <xdr:row>265</xdr:row>
      <xdr:rowOff>123825</xdr:rowOff>
    </xdr:to>
    <xdr:pic>
      <xdr:nvPicPr>
        <xdr:cNvPr id="43984" name="Picture 16" descr="logoMTL">
          <a:extLst>
            <a:ext uri="{FF2B5EF4-FFF2-40B4-BE49-F238E27FC236}">
              <a16:creationId xmlns:a16="http://schemas.microsoft.com/office/drawing/2014/main" id="{00000000-0008-0000-0A00-0000D0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52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4993" name="Picture 1" descr="C:\WINDOWS\TEMP\Symbol.gif">
          <a:extLst>
            <a:ext uri="{FF2B5EF4-FFF2-40B4-BE49-F238E27FC236}">
              <a16:creationId xmlns:a16="http://schemas.microsoft.com/office/drawing/2014/main" id="{00000000-0008-0000-0B00-0000C1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44994" name="Picture 2" descr="C:\WINDOWS\TEMP\Symbol.gif">
          <a:extLst>
            <a:ext uri="{FF2B5EF4-FFF2-40B4-BE49-F238E27FC236}">
              <a16:creationId xmlns:a16="http://schemas.microsoft.com/office/drawing/2014/main" id="{00000000-0008-0000-0B00-0000C2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44995" name="Picture 3" descr="C:\WINDOWS\TEMP\Symbol.gif">
          <a:extLst>
            <a:ext uri="{FF2B5EF4-FFF2-40B4-BE49-F238E27FC236}">
              <a16:creationId xmlns:a16="http://schemas.microsoft.com/office/drawing/2014/main" id="{00000000-0008-0000-0B00-0000C3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44996" name="Picture 4" descr="C:\WINDOWS\TEMP\Symbol.gif">
          <a:extLst>
            <a:ext uri="{FF2B5EF4-FFF2-40B4-BE49-F238E27FC236}">
              <a16:creationId xmlns:a16="http://schemas.microsoft.com/office/drawing/2014/main" id="{00000000-0008-0000-0B00-0000C4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44997" name="Picture 5" descr="C:\WINDOWS\TEMP\~0003946.gif">
          <a:extLst>
            <a:ext uri="{FF2B5EF4-FFF2-40B4-BE49-F238E27FC236}">
              <a16:creationId xmlns:a16="http://schemas.microsoft.com/office/drawing/2014/main" id="{00000000-0008-0000-0B00-0000C5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44998" name="Picture 6" descr="C:\WINDOWS\TEMP\~0003946.gif">
          <a:extLst>
            <a:ext uri="{FF2B5EF4-FFF2-40B4-BE49-F238E27FC236}">
              <a16:creationId xmlns:a16="http://schemas.microsoft.com/office/drawing/2014/main" id="{00000000-0008-0000-0B00-0000C6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44999" name="Picture 7" descr="C:\WINDOWS\TEMP\~0003946.gif">
          <a:extLst>
            <a:ext uri="{FF2B5EF4-FFF2-40B4-BE49-F238E27FC236}">
              <a16:creationId xmlns:a16="http://schemas.microsoft.com/office/drawing/2014/main" id="{00000000-0008-0000-0B00-0000C7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5000" name="Picture 8" descr="C:\WINDOWS\TEMP\~0003946.gif">
          <a:extLst>
            <a:ext uri="{FF2B5EF4-FFF2-40B4-BE49-F238E27FC236}">
              <a16:creationId xmlns:a16="http://schemas.microsoft.com/office/drawing/2014/main" id="{00000000-0008-0000-0B00-0000C8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5001" name="Picture 9" descr="C:\WINDOWS\TEMP\~0003946.gif">
          <a:extLst>
            <a:ext uri="{FF2B5EF4-FFF2-40B4-BE49-F238E27FC236}">
              <a16:creationId xmlns:a16="http://schemas.microsoft.com/office/drawing/2014/main" id="{00000000-0008-0000-0B00-0000C9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45002" name="Picture 10" descr="C:\WINDOWS\TEMP\~0003946.gif">
          <a:extLst>
            <a:ext uri="{FF2B5EF4-FFF2-40B4-BE49-F238E27FC236}">
              <a16:creationId xmlns:a16="http://schemas.microsoft.com/office/drawing/2014/main" id="{00000000-0008-0000-0B00-0000CA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45003" name="Picture 11" descr="C:\WINDOWS\TEMP\~0003946.gif">
          <a:extLst>
            <a:ext uri="{FF2B5EF4-FFF2-40B4-BE49-F238E27FC236}">
              <a16:creationId xmlns:a16="http://schemas.microsoft.com/office/drawing/2014/main" id="{00000000-0008-0000-0B00-0000CB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45004" name="Picture 12" descr="C:\WINDOWS\TEMP\~0003946.gif">
          <a:extLst>
            <a:ext uri="{FF2B5EF4-FFF2-40B4-BE49-F238E27FC236}">
              <a16:creationId xmlns:a16="http://schemas.microsoft.com/office/drawing/2014/main" id="{00000000-0008-0000-0B00-0000CC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5005" name="Picture 13" descr="logoMTL">
          <a:extLst>
            <a:ext uri="{FF2B5EF4-FFF2-40B4-BE49-F238E27FC236}">
              <a16:creationId xmlns:a16="http://schemas.microsoft.com/office/drawing/2014/main" id="{00000000-0008-0000-0B00-0000CDA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45006" name="Picture 14" descr="logoMTL">
          <a:extLst>
            <a:ext uri="{FF2B5EF4-FFF2-40B4-BE49-F238E27FC236}">
              <a16:creationId xmlns:a16="http://schemas.microsoft.com/office/drawing/2014/main" id="{00000000-0008-0000-0B00-0000CE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45007" name="Picture 15" descr="logoMTL">
          <a:extLst>
            <a:ext uri="{FF2B5EF4-FFF2-40B4-BE49-F238E27FC236}">
              <a16:creationId xmlns:a16="http://schemas.microsoft.com/office/drawing/2014/main" id="{00000000-0008-0000-0B00-0000CF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45008" name="Picture 16" descr="logoMTL">
          <a:extLst>
            <a:ext uri="{FF2B5EF4-FFF2-40B4-BE49-F238E27FC236}">
              <a16:creationId xmlns:a16="http://schemas.microsoft.com/office/drawing/2014/main" id="{00000000-0008-0000-0B00-0000D0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6017" name="Picture 1" descr="C:\WINDOWS\TEMP\Symbol.gif">
          <a:extLst>
            <a:ext uri="{FF2B5EF4-FFF2-40B4-BE49-F238E27FC236}">
              <a16:creationId xmlns:a16="http://schemas.microsoft.com/office/drawing/2014/main" id="{00000000-0008-0000-0C00-0000C1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46018" name="Picture 2" descr="C:\WINDOWS\TEMP\Symbol.gif">
          <a:extLst>
            <a:ext uri="{FF2B5EF4-FFF2-40B4-BE49-F238E27FC236}">
              <a16:creationId xmlns:a16="http://schemas.microsoft.com/office/drawing/2014/main" id="{00000000-0008-0000-0C00-0000C2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46019" name="Picture 3" descr="C:\WINDOWS\TEMP\Symbol.gif">
          <a:extLst>
            <a:ext uri="{FF2B5EF4-FFF2-40B4-BE49-F238E27FC236}">
              <a16:creationId xmlns:a16="http://schemas.microsoft.com/office/drawing/2014/main" id="{00000000-0008-0000-0C00-0000C3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46020" name="Picture 4" descr="C:\WINDOWS\TEMP\Symbol.gif">
          <a:extLst>
            <a:ext uri="{FF2B5EF4-FFF2-40B4-BE49-F238E27FC236}">
              <a16:creationId xmlns:a16="http://schemas.microsoft.com/office/drawing/2014/main" id="{00000000-0008-0000-0C00-0000C4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46021" name="Picture 5" descr="C:\WINDOWS\TEMP\~0003946.gif">
          <a:extLst>
            <a:ext uri="{FF2B5EF4-FFF2-40B4-BE49-F238E27FC236}">
              <a16:creationId xmlns:a16="http://schemas.microsoft.com/office/drawing/2014/main" id="{00000000-0008-0000-0C00-0000C5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46022" name="Picture 6" descr="C:\WINDOWS\TEMP\~0003946.gif">
          <a:extLst>
            <a:ext uri="{FF2B5EF4-FFF2-40B4-BE49-F238E27FC236}">
              <a16:creationId xmlns:a16="http://schemas.microsoft.com/office/drawing/2014/main" id="{00000000-0008-0000-0C00-0000C6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46023" name="Picture 7" descr="C:\WINDOWS\TEMP\~0003946.gif">
          <a:extLst>
            <a:ext uri="{FF2B5EF4-FFF2-40B4-BE49-F238E27FC236}">
              <a16:creationId xmlns:a16="http://schemas.microsoft.com/office/drawing/2014/main" id="{00000000-0008-0000-0C00-0000C7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6024" name="Picture 8" descr="C:\WINDOWS\TEMP\~0003946.gif">
          <a:extLst>
            <a:ext uri="{FF2B5EF4-FFF2-40B4-BE49-F238E27FC236}">
              <a16:creationId xmlns:a16="http://schemas.microsoft.com/office/drawing/2014/main" id="{00000000-0008-0000-0C00-0000C8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6025" name="Picture 9" descr="C:\WINDOWS\TEMP\~0003946.gif">
          <a:extLst>
            <a:ext uri="{FF2B5EF4-FFF2-40B4-BE49-F238E27FC236}">
              <a16:creationId xmlns:a16="http://schemas.microsoft.com/office/drawing/2014/main" id="{00000000-0008-0000-0C00-0000C9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46026" name="Picture 10" descr="C:\WINDOWS\TEMP\~0003946.gif">
          <a:extLst>
            <a:ext uri="{FF2B5EF4-FFF2-40B4-BE49-F238E27FC236}">
              <a16:creationId xmlns:a16="http://schemas.microsoft.com/office/drawing/2014/main" id="{00000000-0008-0000-0C00-0000CA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46027" name="Picture 11" descr="C:\WINDOWS\TEMP\~0003946.gif">
          <a:extLst>
            <a:ext uri="{FF2B5EF4-FFF2-40B4-BE49-F238E27FC236}">
              <a16:creationId xmlns:a16="http://schemas.microsoft.com/office/drawing/2014/main" id="{00000000-0008-0000-0C00-0000CB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46028" name="Picture 12" descr="C:\WINDOWS\TEMP\~0003946.gif">
          <a:extLst>
            <a:ext uri="{FF2B5EF4-FFF2-40B4-BE49-F238E27FC236}">
              <a16:creationId xmlns:a16="http://schemas.microsoft.com/office/drawing/2014/main" id="{00000000-0008-0000-0C00-0000CC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6029" name="Picture 13" descr="logoMTL">
          <a:extLst>
            <a:ext uri="{FF2B5EF4-FFF2-40B4-BE49-F238E27FC236}">
              <a16:creationId xmlns:a16="http://schemas.microsoft.com/office/drawing/2014/main" id="{00000000-0008-0000-0C00-0000CDB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46030" name="Picture 14" descr="logoMTL">
          <a:extLst>
            <a:ext uri="{FF2B5EF4-FFF2-40B4-BE49-F238E27FC236}">
              <a16:creationId xmlns:a16="http://schemas.microsoft.com/office/drawing/2014/main" id="{00000000-0008-0000-0C00-0000CE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46031" name="Picture 15" descr="logoMTL">
          <a:extLst>
            <a:ext uri="{FF2B5EF4-FFF2-40B4-BE49-F238E27FC236}">
              <a16:creationId xmlns:a16="http://schemas.microsoft.com/office/drawing/2014/main" id="{00000000-0008-0000-0C00-0000CF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46032" name="Picture 16" descr="logoMTL">
          <a:extLst>
            <a:ext uri="{FF2B5EF4-FFF2-40B4-BE49-F238E27FC236}">
              <a16:creationId xmlns:a16="http://schemas.microsoft.com/office/drawing/2014/main" id="{00000000-0008-0000-0C00-0000D0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7041" name="Picture 1" descr="C:\WINDOWS\TEMP\Symbol.gif">
          <a:extLst>
            <a:ext uri="{FF2B5EF4-FFF2-40B4-BE49-F238E27FC236}">
              <a16:creationId xmlns:a16="http://schemas.microsoft.com/office/drawing/2014/main" id="{00000000-0008-0000-0D00-0000C1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47042" name="Picture 2" descr="C:\WINDOWS\TEMP\Symbol.gif">
          <a:extLst>
            <a:ext uri="{FF2B5EF4-FFF2-40B4-BE49-F238E27FC236}">
              <a16:creationId xmlns:a16="http://schemas.microsoft.com/office/drawing/2014/main" id="{00000000-0008-0000-0D00-0000C2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47043" name="Picture 3" descr="C:\WINDOWS\TEMP\Symbol.gif">
          <a:extLst>
            <a:ext uri="{FF2B5EF4-FFF2-40B4-BE49-F238E27FC236}">
              <a16:creationId xmlns:a16="http://schemas.microsoft.com/office/drawing/2014/main" id="{00000000-0008-0000-0D00-0000C3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47044" name="Picture 4" descr="C:\WINDOWS\TEMP\Symbol.gif">
          <a:extLst>
            <a:ext uri="{FF2B5EF4-FFF2-40B4-BE49-F238E27FC236}">
              <a16:creationId xmlns:a16="http://schemas.microsoft.com/office/drawing/2014/main" id="{00000000-0008-0000-0D00-0000C4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47045" name="Picture 5" descr="C:\WINDOWS\TEMP\~0003946.gif">
          <a:extLst>
            <a:ext uri="{FF2B5EF4-FFF2-40B4-BE49-F238E27FC236}">
              <a16:creationId xmlns:a16="http://schemas.microsoft.com/office/drawing/2014/main" id="{00000000-0008-0000-0D00-0000C5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47046" name="Picture 6" descr="C:\WINDOWS\TEMP\~0003946.gif">
          <a:extLst>
            <a:ext uri="{FF2B5EF4-FFF2-40B4-BE49-F238E27FC236}">
              <a16:creationId xmlns:a16="http://schemas.microsoft.com/office/drawing/2014/main" id="{00000000-0008-0000-0D00-0000C6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47047" name="Picture 7" descr="C:\WINDOWS\TEMP\~0003946.gif">
          <a:extLst>
            <a:ext uri="{FF2B5EF4-FFF2-40B4-BE49-F238E27FC236}">
              <a16:creationId xmlns:a16="http://schemas.microsoft.com/office/drawing/2014/main" id="{00000000-0008-0000-0D00-0000C7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7048" name="Picture 8" descr="C:\WINDOWS\TEMP\~0003946.gif">
          <a:extLst>
            <a:ext uri="{FF2B5EF4-FFF2-40B4-BE49-F238E27FC236}">
              <a16:creationId xmlns:a16="http://schemas.microsoft.com/office/drawing/2014/main" id="{00000000-0008-0000-0D00-0000C8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7049" name="Picture 9" descr="C:\WINDOWS\TEMP\~0003946.gif">
          <a:extLst>
            <a:ext uri="{FF2B5EF4-FFF2-40B4-BE49-F238E27FC236}">
              <a16:creationId xmlns:a16="http://schemas.microsoft.com/office/drawing/2014/main" id="{00000000-0008-0000-0D00-0000C9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47050" name="Picture 10" descr="C:\WINDOWS\TEMP\~0003946.gif">
          <a:extLst>
            <a:ext uri="{FF2B5EF4-FFF2-40B4-BE49-F238E27FC236}">
              <a16:creationId xmlns:a16="http://schemas.microsoft.com/office/drawing/2014/main" id="{00000000-0008-0000-0D00-0000CA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47051" name="Picture 11" descr="C:\WINDOWS\TEMP\~0003946.gif">
          <a:extLst>
            <a:ext uri="{FF2B5EF4-FFF2-40B4-BE49-F238E27FC236}">
              <a16:creationId xmlns:a16="http://schemas.microsoft.com/office/drawing/2014/main" id="{00000000-0008-0000-0D00-0000CB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47052" name="Picture 12" descr="C:\WINDOWS\TEMP\~0003946.gif">
          <a:extLst>
            <a:ext uri="{FF2B5EF4-FFF2-40B4-BE49-F238E27FC236}">
              <a16:creationId xmlns:a16="http://schemas.microsoft.com/office/drawing/2014/main" id="{00000000-0008-0000-0D00-0000CC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7053" name="Picture 13" descr="logoMTL">
          <a:extLst>
            <a:ext uri="{FF2B5EF4-FFF2-40B4-BE49-F238E27FC236}">
              <a16:creationId xmlns:a16="http://schemas.microsoft.com/office/drawing/2014/main" id="{00000000-0008-0000-0D00-0000CD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47054" name="Picture 14" descr="logoMTL">
          <a:extLst>
            <a:ext uri="{FF2B5EF4-FFF2-40B4-BE49-F238E27FC236}">
              <a16:creationId xmlns:a16="http://schemas.microsoft.com/office/drawing/2014/main" id="{00000000-0008-0000-0D00-0000CE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47055" name="Picture 15" descr="logoMTL">
          <a:extLst>
            <a:ext uri="{FF2B5EF4-FFF2-40B4-BE49-F238E27FC236}">
              <a16:creationId xmlns:a16="http://schemas.microsoft.com/office/drawing/2014/main" id="{00000000-0008-0000-0D00-0000CF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47056" name="Picture 16" descr="logoMTL">
          <a:extLst>
            <a:ext uri="{FF2B5EF4-FFF2-40B4-BE49-F238E27FC236}">
              <a16:creationId xmlns:a16="http://schemas.microsoft.com/office/drawing/2014/main" id="{00000000-0008-0000-0D00-0000D0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8065" name="Picture 1" descr="C:\WINDOWS\TEMP\Symbol.gif">
          <a:extLst>
            <a:ext uri="{FF2B5EF4-FFF2-40B4-BE49-F238E27FC236}">
              <a16:creationId xmlns:a16="http://schemas.microsoft.com/office/drawing/2014/main" id="{00000000-0008-0000-0E00-0000C1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48066" name="Picture 2" descr="C:\WINDOWS\TEMP\Symbol.gif">
          <a:extLst>
            <a:ext uri="{FF2B5EF4-FFF2-40B4-BE49-F238E27FC236}">
              <a16:creationId xmlns:a16="http://schemas.microsoft.com/office/drawing/2014/main" id="{00000000-0008-0000-0E00-0000C2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48067" name="Picture 3" descr="C:\WINDOWS\TEMP\Symbol.gif">
          <a:extLst>
            <a:ext uri="{FF2B5EF4-FFF2-40B4-BE49-F238E27FC236}">
              <a16:creationId xmlns:a16="http://schemas.microsoft.com/office/drawing/2014/main" id="{00000000-0008-0000-0E00-0000C3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48068" name="Picture 4" descr="C:\WINDOWS\TEMP\Symbol.gif">
          <a:extLst>
            <a:ext uri="{FF2B5EF4-FFF2-40B4-BE49-F238E27FC236}">
              <a16:creationId xmlns:a16="http://schemas.microsoft.com/office/drawing/2014/main" id="{00000000-0008-0000-0E00-0000C4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48069" name="Picture 5" descr="C:\WINDOWS\TEMP\~0003946.gif">
          <a:extLst>
            <a:ext uri="{FF2B5EF4-FFF2-40B4-BE49-F238E27FC236}">
              <a16:creationId xmlns:a16="http://schemas.microsoft.com/office/drawing/2014/main" id="{00000000-0008-0000-0E00-0000C5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48070" name="Picture 6" descr="C:\WINDOWS\TEMP\~0003946.gif">
          <a:extLst>
            <a:ext uri="{FF2B5EF4-FFF2-40B4-BE49-F238E27FC236}">
              <a16:creationId xmlns:a16="http://schemas.microsoft.com/office/drawing/2014/main" id="{00000000-0008-0000-0E00-0000C6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48071" name="Picture 7" descr="C:\WINDOWS\TEMP\~0003946.gif">
          <a:extLst>
            <a:ext uri="{FF2B5EF4-FFF2-40B4-BE49-F238E27FC236}">
              <a16:creationId xmlns:a16="http://schemas.microsoft.com/office/drawing/2014/main" id="{00000000-0008-0000-0E00-0000C7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8072" name="Picture 8" descr="C:\WINDOWS\TEMP\~0003946.gif">
          <a:extLst>
            <a:ext uri="{FF2B5EF4-FFF2-40B4-BE49-F238E27FC236}">
              <a16:creationId xmlns:a16="http://schemas.microsoft.com/office/drawing/2014/main" id="{00000000-0008-0000-0E00-0000C8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8073" name="Picture 9" descr="C:\WINDOWS\TEMP\~0003946.gif">
          <a:extLst>
            <a:ext uri="{FF2B5EF4-FFF2-40B4-BE49-F238E27FC236}">
              <a16:creationId xmlns:a16="http://schemas.microsoft.com/office/drawing/2014/main" id="{00000000-0008-0000-0E00-0000C9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48074" name="Picture 10" descr="C:\WINDOWS\TEMP\~0003946.gif">
          <a:extLst>
            <a:ext uri="{FF2B5EF4-FFF2-40B4-BE49-F238E27FC236}">
              <a16:creationId xmlns:a16="http://schemas.microsoft.com/office/drawing/2014/main" id="{00000000-0008-0000-0E00-0000CA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48075" name="Picture 11" descr="C:\WINDOWS\TEMP\~0003946.gif">
          <a:extLst>
            <a:ext uri="{FF2B5EF4-FFF2-40B4-BE49-F238E27FC236}">
              <a16:creationId xmlns:a16="http://schemas.microsoft.com/office/drawing/2014/main" id="{00000000-0008-0000-0E00-0000CB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48076" name="Picture 12" descr="C:\WINDOWS\TEMP\~0003946.gif">
          <a:extLst>
            <a:ext uri="{FF2B5EF4-FFF2-40B4-BE49-F238E27FC236}">
              <a16:creationId xmlns:a16="http://schemas.microsoft.com/office/drawing/2014/main" id="{00000000-0008-0000-0E00-0000CC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8077" name="Picture 13" descr="logoMTL">
          <a:extLst>
            <a:ext uri="{FF2B5EF4-FFF2-40B4-BE49-F238E27FC236}">
              <a16:creationId xmlns:a16="http://schemas.microsoft.com/office/drawing/2014/main" id="{00000000-0008-0000-0E00-0000CDB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48078" name="Picture 14" descr="logoMTL">
          <a:extLst>
            <a:ext uri="{FF2B5EF4-FFF2-40B4-BE49-F238E27FC236}">
              <a16:creationId xmlns:a16="http://schemas.microsoft.com/office/drawing/2014/main" id="{00000000-0008-0000-0E00-0000CE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48079" name="Picture 15" descr="logoMTL">
          <a:extLst>
            <a:ext uri="{FF2B5EF4-FFF2-40B4-BE49-F238E27FC236}">
              <a16:creationId xmlns:a16="http://schemas.microsoft.com/office/drawing/2014/main" id="{00000000-0008-0000-0E00-0000CF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48080" name="Picture 16" descr="logoMTL">
          <a:extLst>
            <a:ext uri="{FF2B5EF4-FFF2-40B4-BE49-F238E27FC236}">
              <a16:creationId xmlns:a16="http://schemas.microsoft.com/office/drawing/2014/main" id="{00000000-0008-0000-0E00-0000D0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9089" name="Picture 1" descr="C:\WINDOWS\TEMP\Symbol.gif">
          <a:extLst>
            <a:ext uri="{FF2B5EF4-FFF2-40B4-BE49-F238E27FC236}">
              <a16:creationId xmlns:a16="http://schemas.microsoft.com/office/drawing/2014/main" id="{00000000-0008-0000-0F00-0000C1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49090" name="Picture 2" descr="C:\WINDOWS\TEMP\Symbol.gif">
          <a:extLst>
            <a:ext uri="{FF2B5EF4-FFF2-40B4-BE49-F238E27FC236}">
              <a16:creationId xmlns:a16="http://schemas.microsoft.com/office/drawing/2014/main" id="{00000000-0008-0000-0F00-0000C2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49091" name="Picture 3" descr="C:\WINDOWS\TEMP\Symbol.gif">
          <a:extLst>
            <a:ext uri="{FF2B5EF4-FFF2-40B4-BE49-F238E27FC236}">
              <a16:creationId xmlns:a16="http://schemas.microsoft.com/office/drawing/2014/main" id="{00000000-0008-0000-0F00-0000C3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49092" name="Picture 4" descr="C:\WINDOWS\TEMP\Symbol.gif">
          <a:extLst>
            <a:ext uri="{FF2B5EF4-FFF2-40B4-BE49-F238E27FC236}">
              <a16:creationId xmlns:a16="http://schemas.microsoft.com/office/drawing/2014/main" id="{00000000-0008-0000-0F00-0000C4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49093" name="Picture 5" descr="C:\WINDOWS\TEMP\~0003946.gif">
          <a:extLst>
            <a:ext uri="{FF2B5EF4-FFF2-40B4-BE49-F238E27FC236}">
              <a16:creationId xmlns:a16="http://schemas.microsoft.com/office/drawing/2014/main" id="{00000000-0008-0000-0F00-0000C5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49094" name="Picture 6" descr="C:\WINDOWS\TEMP\~0003946.gif">
          <a:extLst>
            <a:ext uri="{FF2B5EF4-FFF2-40B4-BE49-F238E27FC236}">
              <a16:creationId xmlns:a16="http://schemas.microsoft.com/office/drawing/2014/main" id="{00000000-0008-0000-0F00-0000C6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49095" name="Picture 7" descr="C:\WINDOWS\TEMP\~0003946.gif">
          <a:extLst>
            <a:ext uri="{FF2B5EF4-FFF2-40B4-BE49-F238E27FC236}">
              <a16:creationId xmlns:a16="http://schemas.microsoft.com/office/drawing/2014/main" id="{00000000-0008-0000-0F00-0000C7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9096" name="Picture 8" descr="C:\WINDOWS\TEMP\~0003946.gif">
          <a:extLst>
            <a:ext uri="{FF2B5EF4-FFF2-40B4-BE49-F238E27FC236}">
              <a16:creationId xmlns:a16="http://schemas.microsoft.com/office/drawing/2014/main" id="{00000000-0008-0000-0F00-0000C8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9097" name="Picture 9" descr="C:\WINDOWS\TEMP\~0003946.gif">
          <a:extLst>
            <a:ext uri="{FF2B5EF4-FFF2-40B4-BE49-F238E27FC236}">
              <a16:creationId xmlns:a16="http://schemas.microsoft.com/office/drawing/2014/main" id="{00000000-0008-0000-0F00-0000C9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49098" name="Picture 10" descr="C:\WINDOWS\TEMP\~0003946.gif">
          <a:extLst>
            <a:ext uri="{FF2B5EF4-FFF2-40B4-BE49-F238E27FC236}">
              <a16:creationId xmlns:a16="http://schemas.microsoft.com/office/drawing/2014/main" id="{00000000-0008-0000-0F00-0000CA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49099" name="Picture 11" descr="C:\WINDOWS\TEMP\~0003946.gif">
          <a:extLst>
            <a:ext uri="{FF2B5EF4-FFF2-40B4-BE49-F238E27FC236}">
              <a16:creationId xmlns:a16="http://schemas.microsoft.com/office/drawing/2014/main" id="{00000000-0008-0000-0F00-0000CB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49100" name="Picture 12" descr="C:\WINDOWS\TEMP\~0003946.gif">
          <a:extLst>
            <a:ext uri="{FF2B5EF4-FFF2-40B4-BE49-F238E27FC236}">
              <a16:creationId xmlns:a16="http://schemas.microsoft.com/office/drawing/2014/main" id="{00000000-0008-0000-0F00-0000CC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9101" name="Picture 13" descr="logoMTL">
          <a:extLst>
            <a:ext uri="{FF2B5EF4-FFF2-40B4-BE49-F238E27FC236}">
              <a16:creationId xmlns:a16="http://schemas.microsoft.com/office/drawing/2014/main" id="{00000000-0008-0000-0F00-0000CDB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49102" name="Picture 14" descr="logoMTL">
          <a:extLst>
            <a:ext uri="{FF2B5EF4-FFF2-40B4-BE49-F238E27FC236}">
              <a16:creationId xmlns:a16="http://schemas.microsoft.com/office/drawing/2014/main" id="{00000000-0008-0000-0F00-0000CE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49103" name="Picture 15" descr="logoMTL">
          <a:extLst>
            <a:ext uri="{FF2B5EF4-FFF2-40B4-BE49-F238E27FC236}">
              <a16:creationId xmlns:a16="http://schemas.microsoft.com/office/drawing/2014/main" id="{00000000-0008-0000-0F00-0000CF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49104" name="Picture 16" descr="logoMTL">
          <a:extLst>
            <a:ext uri="{FF2B5EF4-FFF2-40B4-BE49-F238E27FC236}">
              <a16:creationId xmlns:a16="http://schemas.microsoft.com/office/drawing/2014/main" id="{00000000-0008-0000-0F00-0000D0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50113" name="Picture 1" descr="C:\WINDOWS\TEMP\Symbol.gif">
          <a:extLst>
            <a:ext uri="{FF2B5EF4-FFF2-40B4-BE49-F238E27FC236}">
              <a16:creationId xmlns:a16="http://schemas.microsoft.com/office/drawing/2014/main" id="{00000000-0008-0000-1000-0000C1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50114" name="Picture 2" descr="C:\WINDOWS\TEMP\Symbol.gif">
          <a:extLst>
            <a:ext uri="{FF2B5EF4-FFF2-40B4-BE49-F238E27FC236}">
              <a16:creationId xmlns:a16="http://schemas.microsoft.com/office/drawing/2014/main" id="{00000000-0008-0000-1000-0000C2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50115" name="Picture 3" descr="C:\WINDOWS\TEMP\Symbol.gif">
          <a:extLst>
            <a:ext uri="{FF2B5EF4-FFF2-40B4-BE49-F238E27FC236}">
              <a16:creationId xmlns:a16="http://schemas.microsoft.com/office/drawing/2014/main" id="{00000000-0008-0000-1000-0000C3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50116" name="Picture 4" descr="C:\WINDOWS\TEMP\Symbol.gif">
          <a:extLst>
            <a:ext uri="{FF2B5EF4-FFF2-40B4-BE49-F238E27FC236}">
              <a16:creationId xmlns:a16="http://schemas.microsoft.com/office/drawing/2014/main" id="{00000000-0008-0000-1000-0000C4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50117" name="Picture 5" descr="C:\WINDOWS\TEMP\~0003946.gif">
          <a:extLst>
            <a:ext uri="{FF2B5EF4-FFF2-40B4-BE49-F238E27FC236}">
              <a16:creationId xmlns:a16="http://schemas.microsoft.com/office/drawing/2014/main" id="{00000000-0008-0000-1000-0000C5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0118" name="Picture 6" descr="C:\WINDOWS\TEMP\~0003946.gif">
          <a:extLst>
            <a:ext uri="{FF2B5EF4-FFF2-40B4-BE49-F238E27FC236}">
              <a16:creationId xmlns:a16="http://schemas.microsoft.com/office/drawing/2014/main" id="{00000000-0008-0000-1000-0000C6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50119" name="Picture 7" descr="C:\WINDOWS\TEMP\~0003946.gif">
          <a:extLst>
            <a:ext uri="{FF2B5EF4-FFF2-40B4-BE49-F238E27FC236}">
              <a16:creationId xmlns:a16="http://schemas.microsoft.com/office/drawing/2014/main" id="{00000000-0008-0000-1000-0000C7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0120" name="Picture 8" descr="C:\WINDOWS\TEMP\~0003946.gif">
          <a:extLst>
            <a:ext uri="{FF2B5EF4-FFF2-40B4-BE49-F238E27FC236}">
              <a16:creationId xmlns:a16="http://schemas.microsoft.com/office/drawing/2014/main" id="{00000000-0008-0000-1000-0000C8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50121" name="Picture 9" descr="C:\WINDOWS\TEMP\~0003946.gif">
          <a:extLst>
            <a:ext uri="{FF2B5EF4-FFF2-40B4-BE49-F238E27FC236}">
              <a16:creationId xmlns:a16="http://schemas.microsoft.com/office/drawing/2014/main" id="{00000000-0008-0000-1000-0000C9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50122" name="Picture 10" descr="C:\WINDOWS\TEMP\~0003946.gif">
          <a:extLst>
            <a:ext uri="{FF2B5EF4-FFF2-40B4-BE49-F238E27FC236}">
              <a16:creationId xmlns:a16="http://schemas.microsoft.com/office/drawing/2014/main" id="{00000000-0008-0000-1000-0000CA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50123" name="Picture 11" descr="C:\WINDOWS\TEMP\~0003946.gif">
          <a:extLst>
            <a:ext uri="{FF2B5EF4-FFF2-40B4-BE49-F238E27FC236}">
              <a16:creationId xmlns:a16="http://schemas.microsoft.com/office/drawing/2014/main" id="{00000000-0008-0000-1000-0000CB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50124" name="Picture 12" descr="C:\WINDOWS\TEMP\~0003946.gif">
          <a:extLst>
            <a:ext uri="{FF2B5EF4-FFF2-40B4-BE49-F238E27FC236}">
              <a16:creationId xmlns:a16="http://schemas.microsoft.com/office/drawing/2014/main" id="{00000000-0008-0000-1000-0000CC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0125" name="Picture 13" descr="logoMTL">
          <a:extLst>
            <a:ext uri="{FF2B5EF4-FFF2-40B4-BE49-F238E27FC236}">
              <a16:creationId xmlns:a16="http://schemas.microsoft.com/office/drawing/2014/main" id="{00000000-0008-0000-1000-0000CDC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50126" name="Picture 14" descr="logoMTL">
          <a:extLst>
            <a:ext uri="{FF2B5EF4-FFF2-40B4-BE49-F238E27FC236}">
              <a16:creationId xmlns:a16="http://schemas.microsoft.com/office/drawing/2014/main" id="{00000000-0008-0000-1000-0000CEC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0127" name="Picture 15" descr="logoMTL">
          <a:extLst>
            <a:ext uri="{FF2B5EF4-FFF2-40B4-BE49-F238E27FC236}">
              <a16:creationId xmlns:a16="http://schemas.microsoft.com/office/drawing/2014/main" id="{00000000-0008-0000-1000-0000CFC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50128" name="Picture 16" descr="logoMTL">
          <a:extLst>
            <a:ext uri="{FF2B5EF4-FFF2-40B4-BE49-F238E27FC236}">
              <a16:creationId xmlns:a16="http://schemas.microsoft.com/office/drawing/2014/main" id="{00000000-0008-0000-1000-0000D0C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51137" name="Picture 1" descr="C:\WINDOWS\TEMP\Symbol.gif">
          <a:extLst>
            <a:ext uri="{FF2B5EF4-FFF2-40B4-BE49-F238E27FC236}">
              <a16:creationId xmlns:a16="http://schemas.microsoft.com/office/drawing/2014/main" id="{00000000-0008-0000-1100-0000C1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51138" name="Picture 2" descr="C:\WINDOWS\TEMP\Symbol.gif">
          <a:extLst>
            <a:ext uri="{FF2B5EF4-FFF2-40B4-BE49-F238E27FC236}">
              <a16:creationId xmlns:a16="http://schemas.microsoft.com/office/drawing/2014/main" id="{00000000-0008-0000-1100-0000C2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51139" name="Picture 3" descr="C:\WINDOWS\TEMP\Symbol.gif">
          <a:extLst>
            <a:ext uri="{FF2B5EF4-FFF2-40B4-BE49-F238E27FC236}">
              <a16:creationId xmlns:a16="http://schemas.microsoft.com/office/drawing/2014/main" id="{00000000-0008-0000-1100-0000C3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51140" name="Picture 4" descr="C:\WINDOWS\TEMP\Symbol.gif">
          <a:extLst>
            <a:ext uri="{FF2B5EF4-FFF2-40B4-BE49-F238E27FC236}">
              <a16:creationId xmlns:a16="http://schemas.microsoft.com/office/drawing/2014/main" id="{00000000-0008-0000-1100-0000C4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51141" name="Picture 5" descr="C:\WINDOWS\TEMP\~0003946.gif">
          <a:extLst>
            <a:ext uri="{FF2B5EF4-FFF2-40B4-BE49-F238E27FC236}">
              <a16:creationId xmlns:a16="http://schemas.microsoft.com/office/drawing/2014/main" id="{00000000-0008-0000-1100-0000C5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1142" name="Picture 6" descr="C:\WINDOWS\TEMP\~0003946.gif">
          <a:extLst>
            <a:ext uri="{FF2B5EF4-FFF2-40B4-BE49-F238E27FC236}">
              <a16:creationId xmlns:a16="http://schemas.microsoft.com/office/drawing/2014/main" id="{00000000-0008-0000-1100-0000C6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51143" name="Picture 7" descr="C:\WINDOWS\TEMP\~0003946.gif">
          <a:extLst>
            <a:ext uri="{FF2B5EF4-FFF2-40B4-BE49-F238E27FC236}">
              <a16:creationId xmlns:a16="http://schemas.microsoft.com/office/drawing/2014/main" id="{00000000-0008-0000-1100-0000C7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1144" name="Picture 8" descr="C:\WINDOWS\TEMP\~0003946.gif">
          <a:extLst>
            <a:ext uri="{FF2B5EF4-FFF2-40B4-BE49-F238E27FC236}">
              <a16:creationId xmlns:a16="http://schemas.microsoft.com/office/drawing/2014/main" id="{00000000-0008-0000-1100-0000C8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51145" name="Picture 9" descr="C:\WINDOWS\TEMP\~0003946.gif">
          <a:extLst>
            <a:ext uri="{FF2B5EF4-FFF2-40B4-BE49-F238E27FC236}">
              <a16:creationId xmlns:a16="http://schemas.microsoft.com/office/drawing/2014/main" id="{00000000-0008-0000-1100-0000C9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51146" name="Picture 10" descr="C:\WINDOWS\TEMP\~0003946.gif">
          <a:extLst>
            <a:ext uri="{FF2B5EF4-FFF2-40B4-BE49-F238E27FC236}">
              <a16:creationId xmlns:a16="http://schemas.microsoft.com/office/drawing/2014/main" id="{00000000-0008-0000-1100-0000CA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51147" name="Picture 11" descr="C:\WINDOWS\TEMP\~0003946.gif">
          <a:extLst>
            <a:ext uri="{FF2B5EF4-FFF2-40B4-BE49-F238E27FC236}">
              <a16:creationId xmlns:a16="http://schemas.microsoft.com/office/drawing/2014/main" id="{00000000-0008-0000-1100-0000CB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51148" name="Picture 12" descr="C:\WINDOWS\TEMP\~0003946.gif">
          <a:extLst>
            <a:ext uri="{FF2B5EF4-FFF2-40B4-BE49-F238E27FC236}">
              <a16:creationId xmlns:a16="http://schemas.microsoft.com/office/drawing/2014/main" id="{00000000-0008-0000-1100-0000CC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1149" name="Picture 13" descr="logoMTL">
          <a:extLst>
            <a:ext uri="{FF2B5EF4-FFF2-40B4-BE49-F238E27FC236}">
              <a16:creationId xmlns:a16="http://schemas.microsoft.com/office/drawing/2014/main" id="{00000000-0008-0000-1100-0000CDC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51150" name="Picture 14" descr="logoMTL">
          <a:extLst>
            <a:ext uri="{FF2B5EF4-FFF2-40B4-BE49-F238E27FC236}">
              <a16:creationId xmlns:a16="http://schemas.microsoft.com/office/drawing/2014/main" id="{00000000-0008-0000-1100-0000CE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1151" name="Picture 15" descr="logoMTL">
          <a:extLst>
            <a:ext uri="{FF2B5EF4-FFF2-40B4-BE49-F238E27FC236}">
              <a16:creationId xmlns:a16="http://schemas.microsoft.com/office/drawing/2014/main" id="{00000000-0008-0000-1100-0000CF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51152" name="Picture 16" descr="logoMTL">
          <a:extLst>
            <a:ext uri="{FF2B5EF4-FFF2-40B4-BE49-F238E27FC236}">
              <a16:creationId xmlns:a16="http://schemas.microsoft.com/office/drawing/2014/main" id="{00000000-0008-0000-1100-0000D0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52161" name="Picture 1" descr="C:\WINDOWS\TEMP\Symbol.gif">
          <a:extLst>
            <a:ext uri="{FF2B5EF4-FFF2-40B4-BE49-F238E27FC236}">
              <a16:creationId xmlns:a16="http://schemas.microsoft.com/office/drawing/2014/main" id="{00000000-0008-0000-1200-0000C1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52162" name="Picture 2" descr="C:\WINDOWS\TEMP\Symbol.gif">
          <a:extLst>
            <a:ext uri="{FF2B5EF4-FFF2-40B4-BE49-F238E27FC236}">
              <a16:creationId xmlns:a16="http://schemas.microsoft.com/office/drawing/2014/main" id="{00000000-0008-0000-1200-0000C2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52163" name="Picture 3" descr="C:\WINDOWS\TEMP\Symbol.gif">
          <a:extLst>
            <a:ext uri="{FF2B5EF4-FFF2-40B4-BE49-F238E27FC236}">
              <a16:creationId xmlns:a16="http://schemas.microsoft.com/office/drawing/2014/main" id="{00000000-0008-0000-1200-0000C3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52164" name="Picture 4" descr="C:\WINDOWS\TEMP\Symbol.gif">
          <a:extLst>
            <a:ext uri="{FF2B5EF4-FFF2-40B4-BE49-F238E27FC236}">
              <a16:creationId xmlns:a16="http://schemas.microsoft.com/office/drawing/2014/main" id="{00000000-0008-0000-1200-0000C4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52165" name="Picture 5" descr="C:\WINDOWS\TEMP\~0003946.gif">
          <a:extLst>
            <a:ext uri="{FF2B5EF4-FFF2-40B4-BE49-F238E27FC236}">
              <a16:creationId xmlns:a16="http://schemas.microsoft.com/office/drawing/2014/main" id="{00000000-0008-0000-1200-0000C5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2166" name="Picture 6" descr="C:\WINDOWS\TEMP\~0003946.gif">
          <a:extLst>
            <a:ext uri="{FF2B5EF4-FFF2-40B4-BE49-F238E27FC236}">
              <a16:creationId xmlns:a16="http://schemas.microsoft.com/office/drawing/2014/main" id="{00000000-0008-0000-1200-0000C6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52167" name="Picture 7" descr="C:\WINDOWS\TEMP\~0003946.gif">
          <a:extLst>
            <a:ext uri="{FF2B5EF4-FFF2-40B4-BE49-F238E27FC236}">
              <a16:creationId xmlns:a16="http://schemas.microsoft.com/office/drawing/2014/main" id="{00000000-0008-0000-1200-0000C7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2168" name="Picture 8" descr="C:\WINDOWS\TEMP\~0003946.gif">
          <a:extLst>
            <a:ext uri="{FF2B5EF4-FFF2-40B4-BE49-F238E27FC236}">
              <a16:creationId xmlns:a16="http://schemas.microsoft.com/office/drawing/2014/main" id="{00000000-0008-0000-1200-0000C8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52169" name="Picture 9" descr="C:\WINDOWS\TEMP\~0003946.gif">
          <a:extLst>
            <a:ext uri="{FF2B5EF4-FFF2-40B4-BE49-F238E27FC236}">
              <a16:creationId xmlns:a16="http://schemas.microsoft.com/office/drawing/2014/main" id="{00000000-0008-0000-1200-0000C9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52170" name="Picture 10" descr="C:\WINDOWS\TEMP\~0003946.gif">
          <a:extLst>
            <a:ext uri="{FF2B5EF4-FFF2-40B4-BE49-F238E27FC236}">
              <a16:creationId xmlns:a16="http://schemas.microsoft.com/office/drawing/2014/main" id="{00000000-0008-0000-1200-0000CA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52171" name="Picture 11" descr="C:\WINDOWS\TEMP\~0003946.gif">
          <a:extLst>
            <a:ext uri="{FF2B5EF4-FFF2-40B4-BE49-F238E27FC236}">
              <a16:creationId xmlns:a16="http://schemas.microsoft.com/office/drawing/2014/main" id="{00000000-0008-0000-1200-0000CB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52172" name="Picture 12" descr="C:\WINDOWS\TEMP\~0003946.gif">
          <a:extLst>
            <a:ext uri="{FF2B5EF4-FFF2-40B4-BE49-F238E27FC236}">
              <a16:creationId xmlns:a16="http://schemas.microsoft.com/office/drawing/2014/main" id="{00000000-0008-0000-1200-0000CC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2173" name="Picture 13" descr="logoMTL">
          <a:extLst>
            <a:ext uri="{FF2B5EF4-FFF2-40B4-BE49-F238E27FC236}">
              <a16:creationId xmlns:a16="http://schemas.microsoft.com/office/drawing/2014/main" id="{00000000-0008-0000-1200-0000CDC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52174" name="Picture 14" descr="logoMTL">
          <a:extLst>
            <a:ext uri="{FF2B5EF4-FFF2-40B4-BE49-F238E27FC236}">
              <a16:creationId xmlns:a16="http://schemas.microsoft.com/office/drawing/2014/main" id="{00000000-0008-0000-1200-0000CEC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2175" name="Picture 15" descr="logoMTL">
          <a:extLst>
            <a:ext uri="{FF2B5EF4-FFF2-40B4-BE49-F238E27FC236}">
              <a16:creationId xmlns:a16="http://schemas.microsoft.com/office/drawing/2014/main" id="{00000000-0008-0000-1200-0000CFC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52176" name="Picture 16" descr="logoMTL">
          <a:extLst>
            <a:ext uri="{FF2B5EF4-FFF2-40B4-BE49-F238E27FC236}">
              <a16:creationId xmlns:a16="http://schemas.microsoft.com/office/drawing/2014/main" id="{00000000-0008-0000-1200-0000D0C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34753" name="Picture 1" descr="C:\WINDOWS\TEMP\Symbol.gif">
          <a:extLst>
            <a:ext uri="{FF2B5EF4-FFF2-40B4-BE49-F238E27FC236}">
              <a16:creationId xmlns:a16="http://schemas.microsoft.com/office/drawing/2014/main" id="{00000000-0008-0000-0100-0000C1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126</xdr:row>
      <xdr:rowOff>161925</xdr:rowOff>
    </xdr:from>
    <xdr:to>
      <xdr:col>1</xdr:col>
      <xdr:colOff>28575</xdr:colOff>
      <xdr:row>127</xdr:row>
      <xdr:rowOff>200025</xdr:rowOff>
    </xdr:to>
    <xdr:pic>
      <xdr:nvPicPr>
        <xdr:cNvPr id="34754" name="Picture 2" descr="C:\WINDOWS\TEMP\Symbol.gif">
          <a:extLst>
            <a:ext uri="{FF2B5EF4-FFF2-40B4-BE49-F238E27FC236}">
              <a16:creationId xmlns:a16="http://schemas.microsoft.com/office/drawing/2014/main" id="{00000000-0008-0000-0100-0000C2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591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34755" name="Picture 3" descr="C:\WINDOWS\TEMP\Symbol.gif">
          <a:extLst>
            <a:ext uri="{FF2B5EF4-FFF2-40B4-BE49-F238E27FC236}">
              <a16:creationId xmlns:a16="http://schemas.microsoft.com/office/drawing/2014/main" id="{00000000-0008-0000-0100-0000C3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204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260</xdr:row>
      <xdr:rowOff>161925</xdr:rowOff>
    </xdr:from>
    <xdr:to>
      <xdr:col>1</xdr:col>
      <xdr:colOff>19050</xdr:colOff>
      <xdr:row>261</xdr:row>
      <xdr:rowOff>200025</xdr:rowOff>
    </xdr:to>
    <xdr:pic>
      <xdr:nvPicPr>
        <xdr:cNvPr id="34756" name="Picture 4" descr="C:\WINDOWS\TEMP\Symbol.gif">
          <a:extLst>
            <a:ext uri="{FF2B5EF4-FFF2-40B4-BE49-F238E27FC236}">
              <a16:creationId xmlns:a16="http://schemas.microsoft.com/office/drawing/2014/main" id="{00000000-0008-0000-0100-0000C48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28828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260</xdr:row>
      <xdr:rowOff>123825</xdr:rowOff>
    </xdr:from>
    <xdr:to>
      <xdr:col>18</xdr:col>
      <xdr:colOff>1895475</xdr:colOff>
      <xdr:row>261</xdr:row>
      <xdr:rowOff>152400</xdr:rowOff>
    </xdr:to>
    <xdr:pic>
      <xdr:nvPicPr>
        <xdr:cNvPr id="34757" name="Picture 5" descr="C:\WINDOWS\TEMP\~0003946.gif">
          <a:extLst>
            <a:ext uri="{FF2B5EF4-FFF2-40B4-BE49-F238E27FC236}">
              <a16:creationId xmlns:a16="http://schemas.microsoft.com/office/drawing/2014/main" id="{00000000-0008-0000-0100-0000C5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52844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182</xdr:row>
      <xdr:rowOff>152400</xdr:rowOff>
    </xdr:from>
    <xdr:to>
      <xdr:col>18</xdr:col>
      <xdr:colOff>1924050</xdr:colOff>
      <xdr:row>183</xdr:row>
      <xdr:rowOff>180975</xdr:rowOff>
    </xdr:to>
    <xdr:pic>
      <xdr:nvPicPr>
        <xdr:cNvPr id="34758" name="Picture 6" descr="C:\WINDOWS\TEMP\~0003946.gif">
          <a:extLst>
            <a:ext uri="{FF2B5EF4-FFF2-40B4-BE49-F238E27FC236}">
              <a16:creationId xmlns:a16="http://schemas.microsoft.com/office/drawing/2014/main" id="{00000000-0008-0000-0100-0000C6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37185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126</xdr:row>
      <xdr:rowOff>161925</xdr:rowOff>
    </xdr:from>
    <xdr:to>
      <xdr:col>18</xdr:col>
      <xdr:colOff>1952625</xdr:colOff>
      <xdr:row>127</xdr:row>
      <xdr:rowOff>190500</xdr:rowOff>
    </xdr:to>
    <xdr:pic>
      <xdr:nvPicPr>
        <xdr:cNvPr id="34759" name="Picture 7" descr="C:\WINDOWS\TEMP\~0003946.gif">
          <a:extLst>
            <a:ext uri="{FF2B5EF4-FFF2-40B4-BE49-F238E27FC236}">
              <a16:creationId xmlns:a16="http://schemas.microsoft.com/office/drawing/2014/main" id="{00000000-0008-0000-0100-0000C7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2591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34760" name="Picture 8" descr="C:\WINDOWS\TEMP\~0003946.gif">
          <a:extLst>
            <a:ext uri="{FF2B5EF4-FFF2-40B4-BE49-F238E27FC236}">
              <a16:creationId xmlns:a16="http://schemas.microsoft.com/office/drawing/2014/main" id="{00000000-0008-0000-0100-0000C8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726775"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34761" name="Picture 9" descr="C:\WINDOWS\TEMP\~0003946.gif">
          <a:extLst>
            <a:ext uri="{FF2B5EF4-FFF2-40B4-BE49-F238E27FC236}">
              <a16:creationId xmlns:a16="http://schemas.microsoft.com/office/drawing/2014/main" id="{00000000-0008-0000-0100-0000C9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802850"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126</xdr:row>
      <xdr:rowOff>123825</xdr:rowOff>
    </xdr:from>
    <xdr:to>
      <xdr:col>18</xdr:col>
      <xdr:colOff>895350</xdr:colOff>
      <xdr:row>127</xdr:row>
      <xdr:rowOff>152400</xdr:rowOff>
    </xdr:to>
    <xdr:pic>
      <xdr:nvPicPr>
        <xdr:cNvPr id="34762" name="Picture 10" descr="C:\WINDOWS\TEMP\~0003946.gif">
          <a:extLst>
            <a:ext uri="{FF2B5EF4-FFF2-40B4-BE49-F238E27FC236}">
              <a16:creationId xmlns:a16="http://schemas.microsoft.com/office/drawing/2014/main" id="{00000000-0008-0000-0100-0000CA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812375" y="25879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182</xdr:row>
      <xdr:rowOff>104775</xdr:rowOff>
    </xdr:from>
    <xdr:to>
      <xdr:col>18</xdr:col>
      <xdr:colOff>809625</xdr:colOff>
      <xdr:row>183</xdr:row>
      <xdr:rowOff>133350</xdr:rowOff>
    </xdr:to>
    <xdr:pic>
      <xdr:nvPicPr>
        <xdr:cNvPr id="34763" name="Picture 11" descr="C:\WINDOWS\TEMP\~0003946.gif">
          <a:extLst>
            <a:ext uri="{FF2B5EF4-FFF2-40B4-BE49-F238E27FC236}">
              <a16:creationId xmlns:a16="http://schemas.microsoft.com/office/drawing/2014/main" id="{00000000-0008-0000-0100-0000CB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726650" y="37137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260</xdr:row>
      <xdr:rowOff>104775</xdr:rowOff>
    </xdr:from>
    <xdr:to>
      <xdr:col>18</xdr:col>
      <xdr:colOff>895350</xdr:colOff>
      <xdr:row>261</xdr:row>
      <xdr:rowOff>133350</xdr:rowOff>
    </xdr:to>
    <xdr:pic>
      <xdr:nvPicPr>
        <xdr:cNvPr id="34764" name="Picture 12" descr="C:\WINDOWS\TEMP\~0003946.gif">
          <a:extLst>
            <a:ext uri="{FF2B5EF4-FFF2-40B4-BE49-F238E27FC236}">
              <a16:creationId xmlns:a16="http://schemas.microsoft.com/office/drawing/2014/main" id="{00000000-0008-0000-0100-0000CC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812375" y="52825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34765" name="Picture 13" descr="logoMTL">
          <a:extLst>
            <a:ext uri="{FF2B5EF4-FFF2-40B4-BE49-F238E27FC236}">
              <a16:creationId xmlns:a16="http://schemas.microsoft.com/office/drawing/2014/main" id="{00000000-0008-0000-0100-0000CD8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00"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126</xdr:row>
      <xdr:rowOff>38100</xdr:rowOff>
    </xdr:from>
    <xdr:to>
      <xdr:col>17</xdr:col>
      <xdr:colOff>1171575</xdr:colOff>
      <xdr:row>127</xdr:row>
      <xdr:rowOff>161925</xdr:rowOff>
    </xdr:to>
    <xdr:pic>
      <xdr:nvPicPr>
        <xdr:cNvPr id="34766" name="Picture 14" descr="logoMTL">
          <a:extLst>
            <a:ext uri="{FF2B5EF4-FFF2-40B4-BE49-F238E27FC236}">
              <a16:creationId xmlns:a16="http://schemas.microsoft.com/office/drawing/2014/main" id="{00000000-0008-0000-0100-0000CE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31300" y="25793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182</xdr:row>
      <xdr:rowOff>28575</xdr:rowOff>
    </xdr:from>
    <xdr:to>
      <xdr:col>17</xdr:col>
      <xdr:colOff>1171575</xdr:colOff>
      <xdr:row>183</xdr:row>
      <xdr:rowOff>152400</xdr:rowOff>
    </xdr:to>
    <xdr:pic>
      <xdr:nvPicPr>
        <xdr:cNvPr id="34767" name="Picture 15" descr="logoMTL">
          <a:extLst>
            <a:ext uri="{FF2B5EF4-FFF2-40B4-BE49-F238E27FC236}">
              <a16:creationId xmlns:a16="http://schemas.microsoft.com/office/drawing/2014/main" id="{00000000-0008-0000-0100-0000CF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31300" y="37061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260</xdr:row>
      <xdr:rowOff>0</xdr:rowOff>
    </xdr:from>
    <xdr:to>
      <xdr:col>17</xdr:col>
      <xdr:colOff>1228725</xdr:colOff>
      <xdr:row>261</xdr:row>
      <xdr:rowOff>123825</xdr:rowOff>
    </xdr:to>
    <xdr:pic>
      <xdr:nvPicPr>
        <xdr:cNvPr id="34768" name="Picture 16" descr="logoMTL">
          <a:extLst>
            <a:ext uri="{FF2B5EF4-FFF2-40B4-BE49-F238E27FC236}">
              <a16:creationId xmlns:a16="http://schemas.microsoft.com/office/drawing/2014/main" id="{00000000-0008-0000-0100-0000D0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78925" y="527208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53185" name="Picture 1" descr="C:\WINDOWS\TEMP\Symbol.gif">
          <a:extLst>
            <a:ext uri="{FF2B5EF4-FFF2-40B4-BE49-F238E27FC236}">
              <a16:creationId xmlns:a16="http://schemas.microsoft.com/office/drawing/2014/main" id="{00000000-0008-0000-1300-0000C1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53186" name="Picture 2" descr="C:\WINDOWS\TEMP\Symbol.gif">
          <a:extLst>
            <a:ext uri="{FF2B5EF4-FFF2-40B4-BE49-F238E27FC236}">
              <a16:creationId xmlns:a16="http://schemas.microsoft.com/office/drawing/2014/main" id="{00000000-0008-0000-1300-0000C2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53187" name="Picture 3" descr="C:\WINDOWS\TEMP\Symbol.gif">
          <a:extLst>
            <a:ext uri="{FF2B5EF4-FFF2-40B4-BE49-F238E27FC236}">
              <a16:creationId xmlns:a16="http://schemas.microsoft.com/office/drawing/2014/main" id="{00000000-0008-0000-1300-0000C3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266</xdr:row>
      <xdr:rowOff>161925</xdr:rowOff>
    </xdr:from>
    <xdr:to>
      <xdr:col>1</xdr:col>
      <xdr:colOff>19050</xdr:colOff>
      <xdr:row>267</xdr:row>
      <xdr:rowOff>200025</xdr:rowOff>
    </xdr:to>
    <xdr:pic>
      <xdr:nvPicPr>
        <xdr:cNvPr id="53188" name="Picture 4" descr="C:\WINDOWS\TEMP\Symbol.gif">
          <a:extLst>
            <a:ext uri="{FF2B5EF4-FFF2-40B4-BE49-F238E27FC236}">
              <a16:creationId xmlns:a16="http://schemas.microsoft.com/office/drawing/2014/main" id="{00000000-0008-0000-1300-0000C4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40829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266</xdr:row>
      <xdr:rowOff>123825</xdr:rowOff>
    </xdr:from>
    <xdr:to>
      <xdr:col>18</xdr:col>
      <xdr:colOff>1895475</xdr:colOff>
      <xdr:row>267</xdr:row>
      <xdr:rowOff>152400</xdr:rowOff>
    </xdr:to>
    <xdr:pic>
      <xdr:nvPicPr>
        <xdr:cNvPr id="53189" name="Picture 5" descr="C:\WINDOWS\TEMP\~0003946.gif">
          <a:extLst>
            <a:ext uri="{FF2B5EF4-FFF2-40B4-BE49-F238E27FC236}">
              <a16:creationId xmlns:a16="http://schemas.microsoft.com/office/drawing/2014/main" id="{00000000-0008-0000-1300-0000C5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4044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53190" name="Picture 6" descr="C:\WINDOWS\TEMP\~0003946.gif">
          <a:extLst>
            <a:ext uri="{FF2B5EF4-FFF2-40B4-BE49-F238E27FC236}">
              <a16:creationId xmlns:a16="http://schemas.microsoft.com/office/drawing/2014/main" id="{00000000-0008-0000-1300-0000C6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53191" name="Picture 7" descr="C:\WINDOWS\TEMP\~0003946.gif">
          <a:extLst>
            <a:ext uri="{FF2B5EF4-FFF2-40B4-BE49-F238E27FC236}">
              <a16:creationId xmlns:a16="http://schemas.microsoft.com/office/drawing/2014/main" id="{00000000-0008-0000-1300-0000C7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3192" name="Picture 8" descr="C:\WINDOWS\TEMP\~0003946.gif">
          <a:extLst>
            <a:ext uri="{FF2B5EF4-FFF2-40B4-BE49-F238E27FC236}">
              <a16:creationId xmlns:a16="http://schemas.microsoft.com/office/drawing/2014/main" id="{00000000-0008-0000-1300-0000C8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53193" name="Picture 9" descr="C:\WINDOWS\TEMP\~0003946.gif">
          <a:extLst>
            <a:ext uri="{FF2B5EF4-FFF2-40B4-BE49-F238E27FC236}">
              <a16:creationId xmlns:a16="http://schemas.microsoft.com/office/drawing/2014/main" id="{00000000-0008-0000-1300-0000C9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53194" name="Picture 10" descr="C:\WINDOWS\TEMP\~0003946.gif">
          <a:extLst>
            <a:ext uri="{FF2B5EF4-FFF2-40B4-BE49-F238E27FC236}">
              <a16:creationId xmlns:a16="http://schemas.microsoft.com/office/drawing/2014/main" id="{00000000-0008-0000-1300-0000CA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53195" name="Picture 11" descr="C:\WINDOWS\TEMP\~0003946.gif">
          <a:extLst>
            <a:ext uri="{FF2B5EF4-FFF2-40B4-BE49-F238E27FC236}">
              <a16:creationId xmlns:a16="http://schemas.microsoft.com/office/drawing/2014/main" id="{00000000-0008-0000-1300-0000CB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266</xdr:row>
      <xdr:rowOff>104775</xdr:rowOff>
    </xdr:from>
    <xdr:to>
      <xdr:col>18</xdr:col>
      <xdr:colOff>895350</xdr:colOff>
      <xdr:row>267</xdr:row>
      <xdr:rowOff>133350</xdr:rowOff>
    </xdr:to>
    <xdr:pic>
      <xdr:nvPicPr>
        <xdr:cNvPr id="53196" name="Picture 12" descr="C:\WINDOWS\TEMP\~0003946.gif">
          <a:extLst>
            <a:ext uri="{FF2B5EF4-FFF2-40B4-BE49-F238E27FC236}">
              <a16:creationId xmlns:a16="http://schemas.microsoft.com/office/drawing/2014/main" id="{00000000-0008-0000-1300-0000CC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402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3197" name="Picture 13" descr="logoMTL">
          <a:extLst>
            <a:ext uri="{FF2B5EF4-FFF2-40B4-BE49-F238E27FC236}">
              <a16:creationId xmlns:a16="http://schemas.microsoft.com/office/drawing/2014/main" id="{00000000-0008-0000-1300-0000CDC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53198" name="Picture 14" descr="logoMTL">
          <a:extLst>
            <a:ext uri="{FF2B5EF4-FFF2-40B4-BE49-F238E27FC236}">
              <a16:creationId xmlns:a16="http://schemas.microsoft.com/office/drawing/2014/main" id="{00000000-0008-0000-1300-0000CEC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53199" name="Picture 15" descr="logoMTL">
          <a:extLst>
            <a:ext uri="{FF2B5EF4-FFF2-40B4-BE49-F238E27FC236}">
              <a16:creationId xmlns:a16="http://schemas.microsoft.com/office/drawing/2014/main" id="{00000000-0008-0000-1300-0000CFC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266</xdr:row>
      <xdr:rowOff>0</xdr:rowOff>
    </xdr:from>
    <xdr:to>
      <xdr:col>17</xdr:col>
      <xdr:colOff>1228725</xdr:colOff>
      <xdr:row>267</xdr:row>
      <xdr:rowOff>123825</xdr:rowOff>
    </xdr:to>
    <xdr:pic>
      <xdr:nvPicPr>
        <xdr:cNvPr id="53200" name="Picture 16" descr="logoMTL">
          <a:extLst>
            <a:ext uri="{FF2B5EF4-FFF2-40B4-BE49-F238E27FC236}">
              <a16:creationId xmlns:a16="http://schemas.microsoft.com/office/drawing/2014/main" id="{00000000-0008-0000-1300-0000D0C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9210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54209" name="Picture 1" descr="C:\WINDOWS\TEMP\Symbol.gif">
          <a:extLst>
            <a:ext uri="{FF2B5EF4-FFF2-40B4-BE49-F238E27FC236}">
              <a16:creationId xmlns:a16="http://schemas.microsoft.com/office/drawing/2014/main" id="{00000000-0008-0000-1400-0000C1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54210" name="Picture 2" descr="C:\WINDOWS\TEMP\Symbol.gif">
          <a:extLst>
            <a:ext uri="{FF2B5EF4-FFF2-40B4-BE49-F238E27FC236}">
              <a16:creationId xmlns:a16="http://schemas.microsoft.com/office/drawing/2014/main" id="{00000000-0008-0000-1400-0000C2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54211" name="Picture 3" descr="C:\WINDOWS\TEMP\Symbol.gif">
          <a:extLst>
            <a:ext uri="{FF2B5EF4-FFF2-40B4-BE49-F238E27FC236}">
              <a16:creationId xmlns:a16="http://schemas.microsoft.com/office/drawing/2014/main" id="{00000000-0008-0000-1400-0000C3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242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266</xdr:row>
      <xdr:rowOff>161925</xdr:rowOff>
    </xdr:from>
    <xdr:to>
      <xdr:col>1</xdr:col>
      <xdr:colOff>19050</xdr:colOff>
      <xdr:row>267</xdr:row>
      <xdr:rowOff>200025</xdr:rowOff>
    </xdr:to>
    <xdr:pic>
      <xdr:nvPicPr>
        <xdr:cNvPr id="54212" name="Picture 4" descr="C:\WINDOWS\TEMP\Symbol.gif">
          <a:extLst>
            <a:ext uri="{FF2B5EF4-FFF2-40B4-BE49-F238E27FC236}">
              <a16:creationId xmlns:a16="http://schemas.microsoft.com/office/drawing/2014/main" id="{00000000-0008-0000-1400-0000C4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41210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266</xdr:row>
      <xdr:rowOff>123825</xdr:rowOff>
    </xdr:from>
    <xdr:to>
      <xdr:col>18</xdr:col>
      <xdr:colOff>1895475</xdr:colOff>
      <xdr:row>267</xdr:row>
      <xdr:rowOff>152400</xdr:rowOff>
    </xdr:to>
    <xdr:pic>
      <xdr:nvPicPr>
        <xdr:cNvPr id="54213" name="Picture 5" descr="C:\WINDOWS\TEMP\~0003946.gif">
          <a:extLst>
            <a:ext uri="{FF2B5EF4-FFF2-40B4-BE49-F238E27FC236}">
              <a16:creationId xmlns:a16="http://schemas.microsoft.com/office/drawing/2014/main" id="{00000000-0008-0000-1400-0000C5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4082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54214" name="Picture 6" descr="C:\WINDOWS\TEMP\~0003946.gif">
          <a:extLst>
            <a:ext uri="{FF2B5EF4-FFF2-40B4-BE49-F238E27FC236}">
              <a16:creationId xmlns:a16="http://schemas.microsoft.com/office/drawing/2014/main" id="{00000000-0008-0000-1400-0000C6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8223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54215" name="Picture 7" descr="C:\WINDOWS\TEMP\~0003946.gif">
          <a:extLst>
            <a:ext uri="{FF2B5EF4-FFF2-40B4-BE49-F238E27FC236}">
              <a16:creationId xmlns:a16="http://schemas.microsoft.com/office/drawing/2014/main" id="{00000000-0008-0000-1400-0000C7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75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4216" name="Picture 8" descr="C:\WINDOWS\TEMP\~0003946.gif">
          <a:extLst>
            <a:ext uri="{FF2B5EF4-FFF2-40B4-BE49-F238E27FC236}">
              <a16:creationId xmlns:a16="http://schemas.microsoft.com/office/drawing/2014/main" id="{00000000-0008-0000-1400-0000C8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54217" name="Picture 9" descr="C:\WINDOWS\TEMP\~0003946.gif">
          <a:extLst>
            <a:ext uri="{FF2B5EF4-FFF2-40B4-BE49-F238E27FC236}">
              <a16:creationId xmlns:a16="http://schemas.microsoft.com/office/drawing/2014/main" id="{00000000-0008-0000-1400-0000C9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54218" name="Picture 10" descr="C:\WINDOWS\TEMP\~0003946.gif">
          <a:extLst>
            <a:ext uri="{FF2B5EF4-FFF2-40B4-BE49-F238E27FC236}">
              <a16:creationId xmlns:a16="http://schemas.microsoft.com/office/drawing/2014/main" id="{00000000-0008-0000-1400-0000CA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717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54219" name="Picture 11" descr="C:\WINDOWS\TEMP\~0003946.gif">
          <a:extLst>
            <a:ext uri="{FF2B5EF4-FFF2-40B4-BE49-F238E27FC236}">
              <a16:creationId xmlns:a16="http://schemas.microsoft.com/office/drawing/2014/main" id="{00000000-0008-0000-1400-0000CB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8176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266</xdr:row>
      <xdr:rowOff>104775</xdr:rowOff>
    </xdr:from>
    <xdr:to>
      <xdr:col>18</xdr:col>
      <xdr:colOff>895350</xdr:colOff>
      <xdr:row>267</xdr:row>
      <xdr:rowOff>133350</xdr:rowOff>
    </xdr:to>
    <xdr:pic>
      <xdr:nvPicPr>
        <xdr:cNvPr id="54220" name="Picture 12" descr="C:\WINDOWS\TEMP\~0003946.gif">
          <a:extLst>
            <a:ext uri="{FF2B5EF4-FFF2-40B4-BE49-F238E27FC236}">
              <a16:creationId xmlns:a16="http://schemas.microsoft.com/office/drawing/2014/main" id="{00000000-0008-0000-1400-0000CC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40639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4221" name="Picture 13" descr="logoMTL">
          <a:extLst>
            <a:ext uri="{FF2B5EF4-FFF2-40B4-BE49-F238E27FC236}">
              <a16:creationId xmlns:a16="http://schemas.microsoft.com/office/drawing/2014/main" id="{00000000-0008-0000-1400-0000CDD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54222" name="Picture 14" descr="logoMTL">
          <a:extLst>
            <a:ext uri="{FF2B5EF4-FFF2-40B4-BE49-F238E27FC236}">
              <a16:creationId xmlns:a16="http://schemas.microsoft.com/office/drawing/2014/main" id="{00000000-0008-0000-1400-0000CED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63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54223" name="Picture 15" descr="logoMTL">
          <a:extLst>
            <a:ext uri="{FF2B5EF4-FFF2-40B4-BE49-F238E27FC236}">
              <a16:creationId xmlns:a16="http://schemas.microsoft.com/office/drawing/2014/main" id="{00000000-0008-0000-1400-0000CFD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8100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266</xdr:row>
      <xdr:rowOff>0</xdr:rowOff>
    </xdr:from>
    <xdr:to>
      <xdr:col>17</xdr:col>
      <xdr:colOff>1228725</xdr:colOff>
      <xdr:row>267</xdr:row>
      <xdr:rowOff>123825</xdr:rowOff>
    </xdr:to>
    <xdr:pic>
      <xdr:nvPicPr>
        <xdr:cNvPr id="54224" name="Picture 16" descr="logoMTL">
          <a:extLst>
            <a:ext uri="{FF2B5EF4-FFF2-40B4-BE49-F238E27FC236}">
              <a16:creationId xmlns:a16="http://schemas.microsoft.com/office/drawing/2014/main" id="{00000000-0008-0000-1400-0000D0D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959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55233" name="Picture 1" descr="C:\WINDOWS\TEMP\Symbol.gif">
          <a:extLst>
            <a:ext uri="{FF2B5EF4-FFF2-40B4-BE49-F238E27FC236}">
              <a16:creationId xmlns:a16="http://schemas.microsoft.com/office/drawing/2014/main" id="{00000000-0008-0000-1500-0000C1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161925</xdr:rowOff>
    </xdr:from>
    <xdr:to>
      <xdr:col>1</xdr:col>
      <xdr:colOff>28575</xdr:colOff>
      <xdr:row>130</xdr:row>
      <xdr:rowOff>200025</xdr:rowOff>
    </xdr:to>
    <xdr:pic>
      <xdr:nvPicPr>
        <xdr:cNvPr id="55234" name="Picture 2" descr="C:\WINDOWS\TEMP\Symbol.gif">
          <a:extLst>
            <a:ext uri="{FF2B5EF4-FFF2-40B4-BE49-F238E27FC236}">
              <a16:creationId xmlns:a16="http://schemas.microsoft.com/office/drawing/2014/main" id="{00000000-0008-0000-1500-0000C2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17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186</xdr:row>
      <xdr:rowOff>171450</xdr:rowOff>
    </xdr:from>
    <xdr:to>
      <xdr:col>1</xdr:col>
      <xdr:colOff>47625</xdr:colOff>
      <xdr:row>187</xdr:row>
      <xdr:rowOff>209550</xdr:rowOff>
    </xdr:to>
    <xdr:pic>
      <xdr:nvPicPr>
        <xdr:cNvPr id="55235" name="Picture 3" descr="C:\WINDOWS\TEMP\Symbol.gif">
          <a:extLst>
            <a:ext uri="{FF2B5EF4-FFF2-40B4-BE49-F238E27FC236}">
              <a16:creationId xmlns:a16="http://schemas.microsoft.com/office/drawing/2014/main" id="{00000000-0008-0000-1500-0000C3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004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55236" name="Picture 4" descr="C:\WINDOWS\TEMP\Symbol.gif">
          <a:extLst>
            <a:ext uri="{FF2B5EF4-FFF2-40B4-BE49-F238E27FC236}">
              <a16:creationId xmlns:a16="http://schemas.microsoft.com/office/drawing/2014/main" id="{00000000-0008-0000-1500-0000C4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277</xdr:row>
      <xdr:rowOff>123825</xdr:rowOff>
    </xdr:from>
    <xdr:to>
      <xdr:col>18</xdr:col>
      <xdr:colOff>1895475</xdr:colOff>
      <xdr:row>278</xdr:row>
      <xdr:rowOff>152400</xdr:rowOff>
    </xdr:to>
    <xdr:pic>
      <xdr:nvPicPr>
        <xdr:cNvPr id="55237" name="Picture 5" descr="C:\WINDOWS\TEMP\~0003946.gif">
          <a:extLst>
            <a:ext uri="{FF2B5EF4-FFF2-40B4-BE49-F238E27FC236}">
              <a16:creationId xmlns:a16="http://schemas.microsoft.com/office/drawing/2014/main" id="{00000000-0008-0000-1500-0000C5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5238" name="Picture 6" descr="C:\WINDOWS\TEMP\~0003946.gif">
          <a:extLst>
            <a:ext uri="{FF2B5EF4-FFF2-40B4-BE49-F238E27FC236}">
              <a16:creationId xmlns:a16="http://schemas.microsoft.com/office/drawing/2014/main" id="{00000000-0008-0000-1500-0000C6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55239" name="Picture 7" descr="C:\WINDOWS\TEMP\~0003946.gif">
          <a:extLst>
            <a:ext uri="{FF2B5EF4-FFF2-40B4-BE49-F238E27FC236}">
              <a16:creationId xmlns:a16="http://schemas.microsoft.com/office/drawing/2014/main" id="{00000000-0008-0000-1500-0000C7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5240" name="Picture 8" descr="C:\WINDOWS\TEMP\~0003946.gif">
          <a:extLst>
            <a:ext uri="{FF2B5EF4-FFF2-40B4-BE49-F238E27FC236}">
              <a16:creationId xmlns:a16="http://schemas.microsoft.com/office/drawing/2014/main" id="{00000000-0008-0000-1500-0000C8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55241" name="Picture 9" descr="C:\WINDOWS\TEMP\~0003946.gif">
          <a:extLst>
            <a:ext uri="{FF2B5EF4-FFF2-40B4-BE49-F238E27FC236}">
              <a16:creationId xmlns:a16="http://schemas.microsoft.com/office/drawing/2014/main" id="{00000000-0008-0000-1500-0000C9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129</xdr:row>
      <xdr:rowOff>123825</xdr:rowOff>
    </xdr:from>
    <xdr:to>
      <xdr:col>18</xdr:col>
      <xdr:colOff>895350</xdr:colOff>
      <xdr:row>130</xdr:row>
      <xdr:rowOff>152400</xdr:rowOff>
    </xdr:to>
    <xdr:pic>
      <xdr:nvPicPr>
        <xdr:cNvPr id="55242" name="Picture 10" descr="C:\WINDOWS\TEMP\~0003946.gif">
          <a:extLst>
            <a:ext uri="{FF2B5EF4-FFF2-40B4-BE49-F238E27FC236}">
              <a16:creationId xmlns:a16="http://schemas.microsoft.com/office/drawing/2014/main" id="{00000000-0008-0000-1500-0000CA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479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186</xdr:row>
      <xdr:rowOff>104775</xdr:rowOff>
    </xdr:from>
    <xdr:to>
      <xdr:col>18</xdr:col>
      <xdr:colOff>809625</xdr:colOff>
      <xdr:row>187</xdr:row>
      <xdr:rowOff>133350</xdr:rowOff>
    </xdr:to>
    <xdr:pic>
      <xdr:nvPicPr>
        <xdr:cNvPr id="55243" name="Picture 11" descr="C:\WINDOWS\TEMP\~0003946.gif">
          <a:extLst>
            <a:ext uri="{FF2B5EF4-FFF2-40B4-BE49-F238E27FC236}">
              <a16:creationId xmlns:a16="http://schemas.microsoft.com/office/drawing/2014/main" id="{00000000-0008-0000-1500-0000CB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938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277</xdr:row>
      <xdr:rowOff>104775</xdr:rowOff>
    </xdr:from>
    <xdr:to>
      <xdr:col>18</xdr:col>
      <xdr:colOff>895350</xdr:colOff>
      <xdr:row>278</xdr:row>
      <xdr:rowOff>133350</xdr:rowOff>
    </xdr:to>
    <xdr:pic>
      <xdr:nvPicPr>
        <xdr:cNvPr id="55244" name="Picture 12" descr="C:\WINDOWS\TEMP\~0003946.gif">
          <a:extLst>
            <a:ext uri="{FF2B5EF4-FFF2-40B4-BE49-F238E27FC236}">
              <a16:creationId xmlns:a16="http://schemas.microsoft.com/office/drawing/2014/main" id="{00000000-0008-0000-1500-0000CC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5245" name="Picture 13" descr="logoMTL">
          <a:extLst>
            <a:ext uri="{FF2B5EF4-FFF2-40B4-BE49-F238E27FC236}">
              <a16:creationId xmlns:a16="http://schemas.microsoft.com/office/drawing/2014/main" id="{00000000-0008-0000-1500-0000CDD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55246" name="Picture 14" descr="logoMTL">
          <a:extLst>
            <a:ext uri="{FF2B5EF4-FFF2-40B4-BE49-F238E27FC236}">
              <a16:creationId xmlns:a16="http://schemas.microsoft.com/office/drawing/2014/main" id="{00000000-0008-0000-1500-0000CE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5247" name="Picture 15" descr="logoMTL">
          <a:extLst>
            <a:ext uri="{FF2B5EF4-FFF2-40B4-BE49-F238E27FC236}">
              <a16:creationId xmlns:a16="http://schemas.microsoft.com/office/drawing/2014/main" id="{00000000-0008-0000-1500-0000CF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55248" name="Picture 16" descr="logoMTL">
          <a:extLst>
            <a:ext uri="{FF2B5EF4-FFF2-40B4-BE49-F238E27FC236}">
              <a16:creationId xmlns:a16="http://schemas.microsoft.com/office/drawing/2014/main" id="{00000000-0008-0000-1500-0000D0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56257" name="Picture 5" descr="C:\WINDOWS\TEMP\~0003946.gif">
          <a:extLst>
            <a:ext uri="{FF2B5EF4-FFF2-40B4-BE49-F238E27FC236}">
              <a16:creationId xmlns:a16="http://schemas.microsoft.com/office/drawing/2014/main" id="{00000000-0008-0000-1600-0000C1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6258" name="Picture 6" descr="C:\WINDOWS\TEMP\~0003946.gif">
          <a:extLst>
            <a:ext uri="{FF2B5EF4-FFF2-40B4-BE49-F238E27FC236}">
              <a16:creationId xmlns:a16="http://schemas.microsoft.com/office/drawing/2014/main" id="{00000000-0008-0000-1600-0000C2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56259" name="Picture 7" descr="C:\WINDOWS\TEMP\~0003946.gif">
          <a:extLst>
            <a:ext uri="{FF2B5EF4-FFF2-40B4-BE49-F238E27FC236}">
              <a16:creationId xmlns:a16="http://schemas.microsoft.com/office/drawing/2014/main" id="{00000000-0008-0000-1600-0000C3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6260" name="Picture 8" descr="C:\WINDOWS\TEMP\~0003946.gif">
          <a:extLst>
            <a:ext uri="{FF2B5EF4-FFF2-40B4-BE49-F238E27FC236}">
              <a16:creationId xmlns:a16="http://schemas.microsoft.com/office/drawing/2014/main" id="{00000000-0008-0000-1600-0000C4D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6261" name="Picture 13" descr="logoMTL">
          <a:extLst>
            <a:ext uri="{FF2B5EF4-FFF2-40B4-BE49-F238E27FC236}">
              <a16:creationId xmlns:a16="http://schemas.microsoft.com/office/drawing/2014/main" id="{00000000-0008-0000-1600-0000C5D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56262" name="Picture 14" descr="logoMTL">
          <a:extLst>
            <a:ext uri="{FF2B5EF4-FFF2-40B4-BE49-F238E27FC236}">
              <a16:creationId xmlns:a16="http://schemas.microsoft.com/office/drawing/2014/main" id="{00000000-0008-0000-1600-0000C6D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6263" name="Picture 15" descr="logoMTL">
          <a:extLst>
            <a:ext uri="{FF2B5EF4-FFF2-40B4-BE49-F238E27FC236}">
              <a16:creationId xmlns:a16="http://schemas.microsoft.com/office/drawing/2014/main" id="{00000000-0008-0000-1600-0000C7D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56264" name="Picture 16" descr="logoMTL">
          <a:extLst>
            <a:ext uri="{FF2B5EF4-FFF2-40B4-BE49-F238E27FC236}">
              <a16:creationId xmlns:a16="http://schemas.microsoft.com/office/drawing/2014/main" id="{00000000-0008-0000-1600-0000C8D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56265" name="Picture 1" descr="C:\WINDOWS\TEMP\Symbol.gif">
          <a:extLst>
            <a:ext uri="{FF2B5EF4-FFF2-40B4-BE49-F238E27FC236}">
              <a16:creationId xmlns:a16="http://schemas.microsoft.com/office/drawing/2014/main" id="{00000000-0008-0000-1600-0000C9D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56266" name="Picture 1" descr="C:\WINDOWS\TEMP\Symbol.gif">
          <a:extLst>
            <a:ext uri="{FF2B5EF4-FFF2-40B4-BE49-F238E27FC236}">
              <a16:creationId xmlns:a16="http://schemas.microsoft.com/office/drawing/2014/main" id="{00000000-0008-0000-1600-0000CAD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56267" name="Picture 1" descr="C:\WINDOWS\TEMP\Symbol.gif">
          <a:extLst>
            <a:ext uri="{FF2B5EF4-FFF2-40B4-BE49-F238E27FC236}">
              <a16:creationId xmlns:a16="http://schemas.microsoft.com/office/drawing/2014/main" id="{00000000-0008-0000-1600-0000CBD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56268" name="Picture 1" descr="C:\WINDOWS\TEMP\Symbol.gif">
          <a:extLst>
            <a:ext uri="{FF2B5EF4-FFF2-40B4-BE49-F238E27FC236}">
              <a16:creationId xmlns:a16="http://schemas.microsoft.com/office/drawing/2014/main" id="{00000000-0008-0000-1600-0000CCD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56269" name="Picture 9" descr="C:\WINDOWS\TEMP\~0003946.gif">
          <a:extLst>
            <a:ext uri="{FF2B5EF4-FFF2-40B4-BE49-F238E27FC236}">
              <a16:creationId xmlns:a16="http://schemas.microsoft.com/office/drawing/2014/main" id="{00000000-0008-0000-1600-0000CDD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56270" name="Picture 9" descr="C:\WINDOWS\TEMP\~0003946.gif">
          <a:extLst>
            <a:ext uri="{FF2B5EF4-FFF2-40B4-BE49-F238E27FC236}">
              <a16:creationId xmlns:a16="http://schemas.microsoft.com/office/drawing/2014/main" id="{00000000-0008-0000-1600-0000CED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56271" name="Picture 9" descr="C:\WINDOWS\TEMP\~0003946.gif">
          <a:extLst>
            <a:ext uri="{FF2B5EF4-FFF2-40B4-BE49-F238E27FC236}">
              <a16:creationId xmlns:a16="http://schemas.microsoft.com/office/drawing/2014/main" id="{00000000-0008-0000-1600-0000CFD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56272" name="Picture 9" descr="C:\WINDOWS\TEMP\~0003946.gif">
          <a:extLst>
            <a:ext uri="{FF2B5EF4-FFF2-40B4-BE49-F238E27FC236}">
              <a16:creationId xmlns:a16="http://schemas.microsoft.com/office/drawing/2014/main" id="{00000000-0008-0000-1600-0000D0D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57281" name="Picture 5" descr="C:\WINDOWS\TEMP\~0003946.gif">
          <a:extLst>
            <a:ext uri="{FF2B5EF4-FFF2-40B4-BE49-F238E27FC236}">
              <a16:creationId xmlns:a16="http://schemas.microsoft.com/office/drawing/2014/main" id="{00000000-0008-0000-1700-0000C1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7282" name="Picture 6" descr="C:\WINDOWS\TEMP\~0003946.gif">
          <a:extLst>
            <a:ext uri="{FF2B5EF4-FFF2-40B4-BE49-F238E27FC236}">
              <a16:creationId xmlns:a16="http://schemas.microsoft.com/office/drawing/2014/main" id="{00000000-0008-0000-1700-0000C2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57283" name="Picture 7" descr="C:\WINDOWS\TEMP\~0003946.gif">
          <a:extLst>
            <a:ext uri="{FF2B5EF4-FFF2-40B4-BE49-F238E27FC236}">
              <a16:creationId xmlns:a16="http://schemas.microsoft.com/office/drawing/2014/main" id="{00000000-0008-0000-1700-0000C3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7284" name="Picture 8" descr="C:\WINDOWS\TEMP\~0003946.gif">
          <a:extLst>
            <a:ext uri="{FF2B5EF4-FFF2-40B4-BE49-F238E27FC236}">
              <a16:creationId xmlns:a16="http://schemas.microsoft.com/office/drawing/2014/main" id="{00000000-0008-0000-1700-0000C4D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7285" name="Picture 13" descr="logoMTL">
          <a:extLst>
            <a:ext uri="{FF2B5EF4-FFF2-40B4-BE49-F238E27FC236}">
              <a16:creationId xmlns:a16="http://schemas.microsoft.com/office/drawing/2014/main" id="{00000000-0008-0000-1700-0000C5D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57286" name="Picture 14" descr="logoMTL">
          <a:extLst>
            <a:ext uri="{FF2B5EF4-FFF2-40B4-BE49-F238E27FC236}">
              <a16:creationId xmlns:a16="http://schemas.microsoft.com/office/drawing/2014/main" id="{00000000-0008-0000-1700-0000C6D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7287" name="Picture 15" descr="logoMTL">
          <a:extLst>
            <a:ext uri="{FF2B5EF4-FFF2-40B4-BE49-F238E27FC236}">
              <a16:creationId xmlns:a16="http://schemas.microsoft.com/office/drawing/2014/main" id="{00000000-0008-0000-1700-0000C7D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57288" name="Picture 16" descr="logoMTL">
          <a:extLst>
            <a:ext uri="{FF2B5EF4-FFF2-40B4-BE49-F238E27FC236}">
              <a16:creationId xmlns:a16="http://schemas.microsoft.com/office/drawing/2014/main" id="{00000000-0008-0000-1700-0000C8D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57289" name="Picture 1" descr="C:\WINDOWS\TEMP\Symbol.gif">
          <a:extLst>
            <a:ext uri="{FF2B5EF4-FFF2-40B4-BE49-F238E27FC236}">
              <a16:creationId xmlns:a16="http://schemas.microsoft.com/office/drawing/2014/main" id="{00000000-0008-0000-1700-0000C9D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57290" name="Picture 1" descr="C:\WINDOWS\TEMP\Symbol.gif">
          <a:extLst>
            <a:ext uri="{FF2B5EF4-FFF2-40B4-BE49-F238E27FC236}">
              <a16:creationId xmlns:a16="http://schemas.microsoft.com/office/drawing/2014/main" id="{00000000-0008-0000-1700-0000CAD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57291" name="Picture 1" descr="C:\WINDOWS\TEMP\Symbol.gif">
          <a:extLst>
            <a:ext uri="{FF2B5EF4-FFF2-40B4-BE49-F238E27FC236}">
              <a16:creationId xmlns:a16="http://schemas.microsoft.com/office/drawing/2014/main" id="{00000000-0008-0000-1700-0000CBD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57292" name="Picture 1" descr="C:\WINDOWS\TEMP\Symbol.gif">
          <a:extLst>
            <a:ext uri="{FF2B5EF4-FFF2-40B4-BE49-F238E27FC236}">
              <a16:creationId xmlns:a16="http://schemas.microsoft.com/office/drawing/2014/main" id="{00000000-0008-0000-1700-0000CCDF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57293" name="Picture 9" descr="C:\WINDOWS\TEMP\~0003946.gif">
          <a:extLst>
            <a:ext uri="{FF2B5EF4-FFF2-40B4-BE49-F238E27FC236}">
              <a16:creationId xmlns:a16="http://schemas.microsoft.com/office/drawing/2014/main" id="{00000000-0008-0000-1700-0000CDD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57294" name="Picture 9" descr="C:\WINDOWS\TEMP\~0003946.gif">
          <a:extLst>
            <a:ext uri="{FF2B5EF4-FFF2-40B4-BE49-F238E27FC236}">
              <a16:creationId xmlns:a16="http://schemas.microsoft.com/office/drawing/2014/main" id="{00000000-0008-0000-1700-0000CED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57295" name="Picture 9" descr="C:\WINDOWS\TEMP\~0003946.gif">
          <a:extLst>
            <a:ext uri="{FF2B5EF4-FFF2-40B4-BE49-F238E27FC236}">
              <a16:creationId xmlns:a16="http://schemas.microsoft.com/office/drawing/2014/main" id="{00000000-0008-0000-1700-0000CFD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57296" name="Picture 9" descr="C:\WINDOWS\TEMP\~0003946.gif">
          <a:extLst>
            <a:ext uri="{FF2B5EF4-FFF2-40B4-BE49-F238E27FC236}">
              <a16:creationId xmlns:a16="http://schemas.microsoft.com/office/drawing/2014/main" id="{00000000-0008-0000-1700-0000D0DF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58273" name="Picture 5" descr="C:\WINDOWS\TEMP\~0003946.gif">
          <a:extLst>
            <a:ext uri="{FF2B5EF4-FFF2-40B4-BE49-F238E27FC236}">
              <a16:creationId xmlns:a16="http://schemas.microsoft.com/office/drawing/2014/main" id="{00000000-0008-0000-1800-0000A1E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8274" name="Picture 6" descr="C:\WINDOWS\TEMP\~0003946.gif">
          <a:extLst>
            <a:ext uri="{FF2B5EF4-FFF2-40B4-BE49-F238E27FC236}">
              <a16:creationId xmlns:a16="http://schemas.microsoft.com/office/drawing/2014/main" id="{00000000-0008-0000-1800-0000A2E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58275" name="Picture 7" descr="C:\WINDOWS\TEMP\~0003946.gif">
          <a:extLst>
            <a:ext uri="{FF2B5EF4-FFF2-40B4-BE49-F238E27FC236}">
              <a16:creationId xmlns:a16="http://schemas.microsoft.com/office/drawing/2014/main" id="{00000000-0008-0000-1800-0000A3E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8276" name="Picture 8" descr="C:\WINDOWS\TEMP\~0003946.gif">
          <a:extLst>
            <a:ext uri="{FF2B5EF4-FFF2-40B4-BE49-F238E27FC236}">
              <a16:creationId xmlns:a16="http://schemas.microsoft.com/office/drawing/2014/main" id="{00000000-0008-0000-1800-0000A4E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8277" name="Picture 13" descr="logoMTL">
          <a:extLst>
            <a:ext uri="{FF2B5EF4-FFF2-40B4-BE49-F238E27FC236}">
              <a16:creationId xmlns:a16="http://schemas.microsoft.com/office/drawing/2014/main" id="{00000000-0008-0000-1800-0000A5E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58278" name="Picture 14" descr="logoMTL">
          <a:extLst>
            <a:ext uri="{FF2B5EF4-FFF2-40B4-BE49-F238E27FC236}">
              <a16:creationId xmlns:a16="http://schemas.microsoft.com/office/drawing/2014/main" id="{00000000-0008-0000-1800-0000A6E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8279" name="Picture 15" descr="logoMTL">
          <a:extLst>
            <a:ext uri="{FF2B5EF4-FFF2-40B4-BE49-F238E27FC236}">
              <a16:creationId xmlns:a16="http://schemas.microsoft.com/office/drawing/2014/main" id="{00000000-0008-0000-1800-0000A7E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58280" name="Picture 16" descr="logoMTL">
          <a:extLst>
            <a:ext uri="{FF2B5EF4-FFF2-40B4-BE49-F238E27FC236}">
              <a16:creationId xmlns:a16="http://schemas.microsoft.com/office/drawing/2014/main" id="{00000000-0008-0000-1800-0000A8E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58281" name="Picture 1" descr="C:\WINDOWS\TEMP\Symbol.gif">
          <a:extLst>
            <a:ext uri="{FF2B5EF4-FFF2-40B4-BE49-F238E27FC236}">
              <a16:creationId xmlns:a16="http://schemas.microsoft.com/office/drawing/2014/main" id="{00000000-0008-0000-1800-0000A9E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58282" name="Picture 1" descr="C:\WINDOWS\TEMP\Symbol.gif">
          <a:extLst>
            <a:ext uri="{FF2B5EF4-FFF2-40B4-BE49-F238E27FC236}">
              <a16:creationId xmlns:a16="http://schemas.microsoft.com/office/drawing/2014/main" id="{00000000-0008-0000-1800-0000AAE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58283" name="Picture 1" descr="C:\WINDOWS\TEMP\Symbol.gif">
          <a:extLst>
            <a:ext uri="{FF2B5EF4-FFF2-40B4-BE49-F238E27FC236}">
              <a16:creationId xmlns:a16="http://schemas.microsoft.com/office/drawing/2014/main" id="{00000000-0008-0000-1800-0000ABE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58284" name="Picture 1" descr="C:\WINDOWS\TEMP\Symbol.gif">
          <a:extLst>
            <a:ext uri="{FF2B5EF4-FFF2-40B4-BE49-F238E27FC236}">
              <a16:creationId xmlns:a16="http://schemas.microsoft.com/office/drawing/2014/main" id="{00000000-0008-0000-1800-0000ACE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58285" name="Picture 9" descr="C:\WINDOWS\TEMP\~0003946.gif">
          <a:extLst>
            <a:ext uri="{FF2B5EF4-FFF2-40B4-BE49-F238E27FC236}">
              <a16:creationId xmlns:a16="http://schemas.microsoft.com/office/drawing/2014/main" id="{00000000-0008-0000-1800-0000ADE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58286" name="Picture 9" descr="C:\WINDOWS\TEMP\~0003946.gif">
          <a:extLst>
            <a:ext uri="{FF2B5EF4-FFF2-40B4-BE49-F238E27FC236}">
              <a16:creationId xmlns:a16="http://schemas.microsoft.com/office/drawing/2014/main" id="{00000000-0008-0000-1800-0000AEE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58287" name="Picture 9" descr="C:\WINDOWS\TEMP\~0003946.gif">
          <a:extLst>
            <a:ext uri="{FF2B5EF4-FFF2-40B4-BE49-F238E27FC236}">
              <a16:creationId xmlns:a16="http://schemas.microsoft.com/office/drawing/2014/main" id="{00000000-0008-0000-1800-0000AFE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58288" name="Picture 9" descr="C:\WINDOWS\TEMP\~0003946.gif">
          <a:extLst>
            <a:ext uri="{FF2B5EF4-FFF2-40B4-BE49-F238E27FC236}">
              <a16:creationId xmlns:a16="http://schemas.microsoft.com/office/drawing/2014/main" id="{00000000-0008-0000-1800-0000B0E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60241" name="Picture 5" descr="C:\WINDOWS\TEMP\~0003946.gif">
          <a:extLst>
            <a:ext uri="{FF2B5EF4-FFF2-40B4-BE49-F238E27FC236}">
              <a16:creationId xmlns:a16="http://schemas.microsoft.com/office/drawing/2014/main" id="{00000000-0008-0000-1900-000051E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60242" name="Picture 6" descr="C:\WINDOWS\TEMP\~0003946.gif">
          <a:extLst>
            <a:ext uri="{FF2B5EF4-FFF2-40B4-BE49-F238E27FC236}">
              <a16:creationId xmlns:a16="http://schemas.microsoft.com/office/drawing/2014/main" id="{00000000-0008-0000-1900-000052E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60243" name="Picture 7" descr="C:\WINDOWS\TEMP\~0003946.gif">
          <a:extLst>
            <a:ext uri="{FF2B5EF4-FFF2-40B4-BE49-F238E27FC236}">
              <a16:creationId xmlns:a16="http://schemas.microsoft.com/office/drawing/2014/main" id="{00000000-0008-0000-1900-000053E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0244" name="Picture 8" descr="C:\WINDOWS\TEMP\~0003946.gif">
          <a:extLst>
            <a:ext uri="{FF2B5EF4-FFF2-40B4-BE49-F238E27FC236}">
              <a16:creationId xmlns:a16="http://schemas.microsoft.com/office/drawing/2014/main" id="{00000000-0008-0000-1900-000054E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0245" name="Picture 13" descr="logoMTL">
          <a:extLst>
            <a:ext uri="{FF2B5EF4-FFF2-40B4-BE49-F238E27FC236}">
              <a16:creationId xmlns:a16="http://schemas.microsoft.com/office/drawing/2014/main" id="{00000000-0008-0000-1900-000055E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60246" name="Picture 14" descr="logoMTL">
          <a:extLst>
            <a:ext uri="{FF2B5EF4-FFF2-40B4-BE49-F238E27FC236}">
              <a16:creationId xmlns:a16="http://schemas.microsoft.com/office/drawing/2014/main" id="{00000000-0008-0000-1900-000056E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60247" name="Picture 15" descr="logoMTL">
          <a:extLst>
            <a:ext uri="{FF2B5EF4-FFF2-40B4-BE49-F238E27FC236}">
              <a16:creationId xmlns:a16="http://schemas.microsoft.com/office/drawing/2014/main" id="{00000000-0008-0000-1900-000057E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60248" name="Picture 16" descr="logoMTL">
          <a:extLst>
            <a:ext uri="{FF2B5EF4-FFF2-40B4-BE49-F238E27FC236}">
              <a16:creationId xmlns:a16="http://schemas.microsoft.com/office/drawing/2014/main" id="{00000000-0008-0000-1900-000058E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60249" name="Picture 1" descr="C:\WINDOWS\TEMP\Symbol.gif">
          <a:extLst>
            <a:ext uri="{FF2B5EF4-FFF2-40B4-BE49-F238E27FC236}">
              <a16:creationId xmlns:a16="http://schemas.microsoft.com/office/drawing/2014/main" id="{00000000-0008-0000-1900-000059E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60250" name="Picture 1" descr="C:\WINDOWS\TEMP\Symbol.gif">
          <a:extLst>
            <a:ext uri="{FF2B5EF4-FFF2-40B4-BE49-F238E27FC236}">
              <a16:creationId xmlns:a16="http://schemas.microsoft.com/office/drawing/2014/main" id="{00000000-0008-0000-1900-00005AE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60251" name="Picture 1" descr="C:\WINDOWS\TEMP\Symbol.gif">
          <a:extLst>
            <a:ext uri="{FF2B5EF4-FFF2-40B4-BE49-F238E27FC236}">
              <a16:creationId xmlns:a16="http://schemas.microsoft.com/office/drawing/2014/main" id="{00000000-0008-0000-1900-00005BE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60252" name="Picture 1" descr="C:\WINDOWS\TEMP\Symbol.gif">
          <a:extLst>
            <a:ext uri="{FF2B5EF4-FFF2-40B4-BE49-F238E27FC236}">
              <a16:creationId xmlns:a16="http://schemas.microsoft.com/office/drawing/2014/main" id="{00000000-0008-0000-1900-00005CEB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60253" name="Picture 9" descr="C:\WINDOWS\TEMP\~0003946.gif">
          <a:extLst>
            <a:ext uri="{FF2B5EF4-FFF2-40B4-BE49-F238E27FC236}">
              <a16:creationId xmlns:a16="http://schemas.microsoft.com/office/drawing/2014/main" id="{00000000-0008-0000-1900-00005DE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60254" name="Picture 9" descr="C:\WINDOWS\TEMP\~0003946.gif">
          <a:extLst>
            <a:ext uri="{FF2B5EF4-FFF2-40B4-BE49-F238E27FC236}">
              <a16:creationId xmlns:a16="http://schemas.microsoft.com/office/drawing/2014/main" id="{00000000-0008-0000-1900-00005EE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60255" name="Picture 9" descr="C:\WINDOWS\TEMP\~0003946.gif">
          <a:extLst>
            <a:ext uri="{FF2B5EF4-FFF2-40B4-BE49-F238E27FC236}">
              <a16:creationId xmlns:a16="http://schemas.microsoft.com/office/drawing/2014/main" id="{00000000-0008-0000-1900-00005FE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28575</xdr:rowOff>
    </xdr:from>
    <xdr:to>
      <xdr:col>18</xdr:col>
      <xdr:colOff>800100</xdr:colOff>
      <xdr:row>61</xdr:row>
      <xdr:rowOff>57150</xdr:rowOff>
    </xdr:to>
    <xdr:pic>
      <xdr:nvPicPr>
        <xdr:cNvPr id="60256" name="Picture 9" descr="C:\WINDOWS\TEMP\~0003946.gif">
          <a:extLst>
            <a:ext uri="{FF2B5EF4-FFF2-40B4-BE49-F238E27FC236}">
              <a16:creationId xmlns:a16="http://schemas.microsoft.com/office/drawing/2014/main" id="{00000000-0008-0000-1900-000060EB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34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61153" name="Picture 5" descr="C:\WINDOWS\TEMP\~0003946.gif">
          <a:extLst>
            <a:ext uri="{FF2B5EF4-FFF2-40B4-BE49-F238E27FC236}">
              <a16:creationId xmlns:a16="http://schemas.microsoft.com/office/drawing/2014/main" id="{00000000-0008-0000-1A00-0000E1E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61154" name="Picture 6" descr="C:\WINDOWS\TEMP\~0003946.gif">
          <a:extLst>
            <a:ext uri="{FF2B5EF4-FFF2-40B4-BE49-F238E27FC236}">
              <a16:creationId xmlns:a16="http://schemas.microsoft.com/office/drawing/2014/main" id="{00000000-0008-0000-1A00-0000E2E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61155" name="Picture 7" descr="C:\WINDOWS\TEMP\~0003946.gif">
          <a:extLst>
            <a:ext uri="{FF2B5EF4-FFF2-40B4-BE49-F238E27FC236}">
              <a16:creationId xmlns:a16="http://schemas.microsoft.com/office/drawing/2014/main" id="{00000000-0008-0000-1A00-0000E3E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1156" name="Picture 8" descr="C:\WINDOWS\TEMP\~0003946.gif">
          <a:extLst>
            <a:ext uri="{FF2B5EF4-FFF2-40B4-BE49-F238E27FC236}">
              <a16:creationId xmlns:a16="http://schemas.microsoft.com/office/drawing/2014/main" id="{00000000-0008-0000-1A00-0000E4E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1157" name="Picture 13" descr="logoMTL">
          <a:extLst>
            <a:ext uri="{FF2B5EF4-FFF2-40B4-BE49-F238E27FC236}">
              <a16:creationId xmlns:a16="http://schemas.microsoft.com/office/drawing/2014/main" id="{00000000-0008-0000-1A00-0000E5E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61158" name="Picture 14" descr="logoMTL">
          <a:extLst>
            <a:ext uri="{FF2B5EF4-FFF2-40B4-BE49-F238E27FC236}">
              <a16:creationId xmlns:a16="http://schemas.microsoft.com/office/drawing/2014/main" id="{00000000-0008-0000-1A00-0000E6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61159" name="Picture 15" descr="logoMTL">
          <a:extLst>
            <a:ext uri="{FF2B5EF4-FFF2-40B4-BE49-F238E27FC236}">
              <a16:creationId xmlns:a16="http://schemas.microsoft.com/office/drawing/2014/main" id="{00000000-0008-0000-1A00-0000E7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61160" name="Picture 16" descr="logoMTL">
          <a:extLst>
            <a:ext uri="{FF2B5EF4-FFF2-40B4-BE49-F238E27FC236}">
              <a16:creationId xmlns:a16="http://schemas.microsoft.com/office/drawing/2014/main" id="{00000000-0008-0000-1A00-0000E8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61161" name="Picture 1" descr="C:\WINDOWS\TEMP\Symbol.gif">
          <a:extLst>
            <a:ext uri="{FF2B5EF4-FFF2-40B4-BE49-F238E27FC236}">
              <a16:creationId xmlns:a16="http://schemas.microsoft.com/office/drawing/2014/main" id="{00000000-0008-0000-1A00-0000E9E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61162" name="Picture 1" descr="C:\WINDOWS\TEMP\Symbol.gif">
          <a:extLst>
            <a:ext uri="{FF2B5EF4-FFF2-40B4-BE49-F238E27FC236}">
              <a16:creationId xmlns:a16="http://schemas.microsoft.com/office/drawing/2014/main" id="{00000000-0008-0000-1A00-0000EAE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61163" name="Picture 1" descr="C:\WINDOWS\TEMP\Symbol.gif">
          <a:extLst>
            <a:ext uri="{FF2B5EF4-FFF2-40B4-BE49-F238E27FC236}">
              <a16:creationId xmlns:a16="http://schemas.microsoft.com/office/drawing/2014/main" id="{00000000-0008-0000-1A00-0000EBE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61164" name="Picture 1" descr="C:\WINDOWS\TEMP\Symbol.gif">
          <a:extLst>
            <a:ext uri="{FF2B5EF4-FFF2-40B4-BE49-F238E27FC236}">
              <a16:creationId xmlns:a16="http://schemas.microsoft.com/office/drawing/2014/main" id="{00000000-0008-0000-1A00-0000ECE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61165" name="Picture 9" descr="C:\WINDOWS\TEMP\~0003946.gif">
          <a:extLst>
            <a:ext uri="{FF2B5EF4-FFF2-40B4-BE49-F238E27FC236}">
              <a16:creationId xmlns:a16="http://schemas.microsoft.com/office/drawing/2014/main" id="{00000000-0008-0000-1A00-0000EDE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61166" name="Picture 9" descr="C:\WINDOWS\TEMP\~0003946.gif">
          <a:extLst>
            <a:ext uri="{FF2B5EF4-FFF2-40B4-BE49-F238E27FC236}">
              <a16:creationId xmlns:a16="http://schemas.microsoft.com/office/drawing/2014/main" id="{00000000-0008-0000-1A00-0000EEE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61167" name="Picture 9" descr="C:\WINDOWS\TEMP\~0003946.gif">
          <a:extLst>
            <a:ext uri="{FF2B5EF4-FFF2-40B4-BE49-F238E27FC236}">
              <a16:creationId xmlns:a16="http://schemas.microsoft.com/office/drawing/2014/main" id="{00000000-0008-0000-1A00-0000EFE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61168" name="Picture 9" descr="C:\WINDOWS\TEMP\~0003946.gif">
          <a:extLst>
            <a:ext uri="{FF2B5EF4-FFF2-40B4-BE49-F238E27FC236}">
              <a16:creationId xmlns:a16="http://schemas.microsoft.com/office/drawing/2014/main" id="{00000000-0008-0000-1A00-0000F0E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63118" name="Picture 5" descr="C:\WINDOWS\TEMP\~0003946.gif">
          <a:extLst>
            <a:ext uri="{FF2B5EF4-FFF2-40B4-BE49-F238E27FC236}">
              <a16:creationId xmlns:a16="http://schemas.microsoft.com/office/drawing/2014/main" id="{00000000-0008-0000-1B00-00008EF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63119" name="Picture 6" descr="C:\WINDOWS\TEMP\~0003946.gif">
          <a:extLst>
            <a:ext uri="{FF2B5EF4-FFF2-40B4-BE49-F238E27FC236}">
              <a16:creationId xmlns:a16="http://schemas.microsoft.com/office/drawing/2014/main" id="{00000000-0008-0000-1B00-00008FF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63120" name="Picture 7" descr="C:\WINDOWS\TEMP\~0003946.gif">
          <a:extLst>
            <a:ext uri="{FF2B5EF4-FFF2-40B4-BE49-F238E27FC236}">
              <a16:creationId xmlns:a16="http://schemas.microsoft.com/office/drawing/2014/main" id="{00000000-0008-0000-1B00-000090F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3121" name="Picture 8" descr="C:\WINDOWS\TEMP\~0003946.gif">
          <a:extLst>
            <a:ext uri="{FF2B5EF4-FFF2-40B4-BE49-F238E27FC236}">
              <a16:creationId xmlns:a16="http://schemas.microsoft.com/office/drawing/2014/main" id="{00000000-0008-0000-1B00-000091F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3122" name="Picture 13" descr="logoMTL">
          <a:extLst>
            <a:ext uri="{FF2B5EF4-FFF2-40B4-BE49-F238E27FC236}">
              <a16:creationId xmlns:a16="http://schemas.microsoft.com/office/drawing/2014/main" id="{00000000-0008-0000-1B00-000092F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63123" name="Picture 14" descr="logoMTL">
          <a:extLst>
            <a:ext uri="{FF2B5EF4-FFF2-40B4-BE49-F238E27FC236}">
              <a16:creationId xmlns:a16="http://schemas.microsoft.com/office/drawing/2014/main" id="{00000000-0008-0000-1B00-000093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63124" name="Picture 15" descr="logoMTL">
          <a:extLst>
            <a:ext uri="{FF2B5EF4-FFF2-40B4-BE49-F238E27FC236}">
              <a16:creationId xmlns:a16="http://schemas.microsoft.com/office/drawing/2014/main" id="{00000000-0008-0000-1B00-000094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63125" name="Picture 16" descr="logoMTL">
          <a:extLst>
            <a:ext uri="{FF2B5EF4-FFF2-40B4-BE49-F238E27FC236}">
              <a16:creationId xmlns:a16="http://schemas.microsoft.com/office/drawing/2014/main" id="{00000000-0008-0000-1B00-000095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63126" name="Picture 1" descr="C:\WINDOWS\TEMP\Symbol.gif">
          <a:extLst>
            <a:ext uri="{FF2B5EF4-FFF2-40B4-BE49-F238E27FC236}">
              <a16:creationId xmlns:a16="http://schemas.microsoft.com/office/drawing/2014/main" id="{00000000-0008-0000-1B00-000096F6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63127" name="Picture 1" descr="C:\WINDOWS\TEMP\Symbol.gif">
          <a:extLst>
            <a:ext uri="{FF2B5EF4-FFF2-40B4-BE49-F238E27FC236}">
              <a16:creationId xmlns:a16="http://schemas.microsoft.com/office/drawing/2014/main" id="{00000000-0008-0000-1B00-000097F6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63128" name="Picture 1" descr="C:\WINDOWS\TEMP\Symbol.gif">
          <a:extLst>
            <a:ext uri="{FF2B5EF4-FFF2-40B4-BE49-F238E27FC236}">
              <a16:creationId xmlns:a16="http://schemas.microsoft.com/office/drawing/2014/main" id="{00000000-0008-0000-1B00-000098F6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63129" name="Picture 1" descr="C:\WINDOWS\TEMP\Symbol.gif">
          <a:extLst>
            <a:ext uri="{FF2B5EF4-FFF2-40B4-BE49-F238E27FC236}">
              <a16:creationId xmlns:a16="http://schemas.microsoft.com/office/drawing/2014/main" id="{00000000-0008-0000-1B00-000099F6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63130" name="Picture 9" descr="C:\WINDOWS\TEMP\~0003946.gif">
          <a:extLst>
            <a:ext uri="{FF2B5EF4-FFF2-40B4-BE49-F238E27FC236}">
              <a16:creationId xmlns:a16="http://schemas.microsoft.com/office/drawing/2014/main" id="{00000000-0008-0000-1B00-00009AF6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63131" name="Picture 9" descr="C:\WINDOWS\TEMP\~0003946.gif">
          <a:extLst>
            <a:ext uri="{FF2B5EF4-FFF2-40B4-BE49-F238E27FC236}">
              <a16:creationId xmlns:a16="http://schemas.microsoft.com/office/drawing/2014/main" id="{00000000-0008-0000-1B00-00009BF6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63132" name="Picture 9" descr="C:\WINDOWS\TEMP\~0003946.gif">
          <a:extLst>
            <a:ext uri="{FF2B5EF4-FFF2-40B4-BE49-F238E27FC236}">
              <a16:creationId xmlns:a16="http://schemas.microsoft.com/office/drawing/2014/main" id="{00000000-0008-0000-1B00-00009CF6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63133" name="Picture 9" descr="C:\WINDOWS\TEMP\~0003946.gif">
          <a:extLst>
            <a:ext uri="{FF2B5EF4-FFF2-40B4-BE49-F238E27FC236}">
              <a16:creationId xmlns:a16="http://schemas.microsoft.com/office/drawing/2014/main" id="{00000000-0008-0000-1B00-00009DF6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64941" name="Picture 5" descr="C:\WINDOWS\TEMP\~0003946.gif">
          <a:extLst>
            <a:ext uri="{FF2B5EF4-FFF2-40B4-BE49-F238E27FC236}">
              <a16:creationId xmlns:a16="http://schemas.microsoft.com/office/drawing/2014/main" id="{00000000-0008-0000-1C00-0000AD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64942" name="Picture 6" descr="C:\WINDOWS\TEMP\~0003946.gif">
          <a:extLst>
            <a:ext uri="{FF2B5EF4-FFF2-40B4-BE49-F238E27FC236}">
              <a16:creationId xmlns:a16="http://schemas.microsoft.com/office/drawing/2014/main" id="{00000000-0008-0000-1C00-0000AE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64943" name="Picture 7" descr="C:\WINDOWS\TEMP\~0003946.gif">
          <a:extLst>
            <a:ext uri="{FF2B5EF4-FFF2-40B4-BE49-F238E27FC236}">
              <a16:creationId xmlns:a16="http://schemas.microsoft.com/office/drawing/2014/main" id="{00000000-0008-0000-1C00-0000AF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4944" name="Picture 8" descr="C:\WINDOWS\TEMP\~0003946.gif">
          <a:extLst>
            <a:ext uri="{FF2B5EF4-FFF2-40B4-BE49-F238E27FC236}">
              <a16:creationId xmlns:a16="http://schemas.microsoft.com/office/drawing/2014/main" id="{00000000-0008-0000-1C00-0000B0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4945" name="Picture 13" descr="logoMTL">
          <a:extLst>
            <a:ext uri="{FF2B5EF4-FFF2-40B4-BE49-F238E27FC236}">
              <a16:creationId xmlns:a16="http://schemas.microsoft.com/office/drawing/2014/main" id="{00000000-0008-0000-1C00-0000B1F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64946" name="Picture 14" descr="logoMTL">
          <a:extLst>
            <a:ext uri="{FF2B5EF4-FFF2-40B4-BE49-F238E27FC236}">
              <a16:creationId xmlns:a16="http://schemas.microsoft.com/office/drawing/2014/main" id="{00000000-0008-0000-1C00-0000B2F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64947" name="Picture 15" descr="logoMTL">
          <a:extLst>
            <a:ext uri="{FF2B5EF4-FFF2-40B4-BE49-F238E27FC236}">
              <a16:creationId xmlns:a16="http://schemas.microsoft.com/office/drawing/2014/main" id="{00000000-0008-0000-1C00-0000B3F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64948" name="Picture 16" descr="logoMTL">
          <a:extLst>
            <a:ext uri="{FF2B5EF4-FFF2-40B4-BE49-F238E27FC236}">
              <a16:creationId xmlns:a16="http://schemas.microsoft.com/office/drawing/2014/main" id="{00000000-0008-0000-1C00-0000B4F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64949" name="Picture 1" descr="C:\WINDOWS\TEMP\Symbol.gif">
          <a:extLst>
            <a:ext uri="{FF2B5EF4-FFF2-40B4-BE49-F238E27FC236}">
              <a16:creationId xmlns:a16="http://schemas.microsoft.com/office/drawing/2014/main" id="{00000000-0008-0000-1C00-0000B5FD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64950" name="Picture 1" descr="C:\WINDOWS\TEMP\Symbol.gif">
          <a:extLst>
            <a:ext uri="{FF2B5EF4-FFF2-40B4-BE49-F238E27FC236}">
              <a16:creationId xmlns:a16="http://schemas.microsoft.com/office/drawing/2014/main" id="{00000000-0008-0000-1C00-0000B6FD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64951" name="Picture 1" descr="C:\WINDOWS\TEMP\Symbol.gif">
          <a:extLst>
            <a:ext uri="{FF2B5EF4-FFF2-40B4-BE49-F238E27FC236}">
              <a16:creationId xmlns:a16="http://schemas.microsoft.com/office/drawing/2014/main" id="{00000000-0008-0000-1C00-0000B7FD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64952" name="Picture 1" descr="C:\WINDOWS\TEMP\Symbol.gif">
          <a:extLst>
            <a:ext uri="{FF2B5EF4-FFF2-40B4-BE49-F238E27FC236}">
              <a16:creationId xmlns:a16="http://schemas.microsoft.com/office/drawing/2014/main" id="{00000000-0008-0000-1C00-0000B8FD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64953" name="Picture 9" descr="C:\WINDOWS\TEMP\~0003946.gif">
          <a:extLst>
            <a:ext uri="{FF2B5EF4-FFF2-40B4-BE49-F238E27FC236}">
              <a16:creationId xmlns:a16="http://schemas.microsoft.com/office/drawing/2014/main" id="{00000000-0008-0000-1C00-0000B9FD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64954" name="Picture 9" descr="C:\WINDOWS\TEMP\~0003946.gif">
          <a:extLst>
            <a:ext uri="{FF2B5EF4-FFF2-40B4-BE49-F238E27FC236}">
              <a16:creationId xmlns:a16="http://schemas.microsoft.com/office/drawing/2014/main" id="{00000000-0008-0000-1C00-0000BAFD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129</xdr:row>
      <xdr:rowOff>66675</xdr:rowOff>
    </xdr:from>
    <xdr:to>
      <xdr:col>18</xdr:col>
      <xdr:colOff>809625</xdr:colOff>
      <xdr:row>130</xdr:row>
      <xdr:rowOff>95250</xdr:rowOff>
    </xdr:to>
    <xdr:pic>
      <xdr:nvPicPr>
        <xdr:cNvPr id="64955" name="Picture 9" descr="C:\WINDOWS\TEMP\~0003946.gif">
          <a:extLst>
            <a:ext uri="{FF2B5EF4-FFF2-40B4-BE49-F238E27FC236}">
              <a16:creationId xmlns:a16="http://schemas.microsoft.com/office/drawing/2014/main" id="{00000000-0008-0000-1C00-0000BBFD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64475" y="26422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64956" name="Picture 9" descr="C:\WINDOWS\TEMP\~0003946.gif">
          <a:extLst>
            <a:ext uri="{FF2B5EF4-FFF2-40B4-BE49-F238E27FC236}">
              <a16:creationId xmlns:a16="http://schemas.microsoft.com/office/drawing/2014/main" id="{00000000-0008-0000-1C00-0000BCFD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35777" name="Picture 1" descr="C:\WINDOWS\TEMP\Symbol.gif">
          <a:extLst>
            <a:ext uri="{FF2B5EF4-FFF2-40B4-BE49-F238E27FC236}">
              <a16:creationId xmlns:a16="http://schemas.microsoft.com/office/drawing/2014/main" id="{00000000-0008-0000-0200-0000C1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126</xdr:row>
      <xdr:rowOff>161925</xdr:rowOff>
    </xdr:from>
    <xdr:to>
      <xdr:col>1</xdr:col>
      <xdr:colOff>28575</xdr:colOff>
      <xdr:row>127</xdr:row>
      <xdr:rowOff>200025</xdr:rowOff>
    </xdr:to>
    <xdr:pic>
      <xdr:nvPicPr>
        <xdr:cNvPr id="35778" name="Picture 2" descr="C:\WINDOWS\TEMP\Symbol.gif">
          <a:extLst>
            <a:ext uri="{FF2B5EF4-FFF2-40B4-BE49-F238E27FC236}">
              <a16:creationId xmlns:a16="http://schemas.microsoft.com/office/drawing/2014/main" id="{00000000-0008-0000-0200-0000C2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591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35779" name="Picture 3" descr="C:\WINDOWS\TEMP\Symbol.gif">
          <a:extLst>
            <a:ext uri="{FF2B5EF4-FFF2-40B4-BE49-F238E27FC236}">
              <a16:creationId xmlns:a16="http://schemas.microsoft.com/office/drawing/2014/main" id="{00000000-0008-0000-0200-0000C3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204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260</xdr:row>
      <xdr:rowOff>161925</xdr:rowOff>
    </xdr:from>
    <xdr:to>
      <xdr:col>1</xdr:col>
      <xdr:colOff>19050</xdr:colOff>
      <xdr:row>261</xdr:row>
      <xdr:rowOff>200025</xdr:rowOff>
    </xdr:to>
    <xdr:pic>
      <xdr:nvPicPr>
        <xdr:cNvPr id="35780" name="Picture 4" descr="C:\WINDOWS\TEMP\Symbol.gif">
          <a:extLst>
            <a:ext uri="{FF2B5EF4-FFF2-40B4-BE49-F238E27FC236}">
              <a16:creationId xmlns:a16="http://schemas.microsoft.com/office/drawing/2014/main" id="{00000000-0008-0000-0200-0000C48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28828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260</xdr:row>
      <xdr:rowOff>123825</xdr:rowOff>
    </xdr:from>
    <xdr:to>
      <xdr:col>18</xdr:col>
      <xdr:colOff>1895475</xdr:colOff>
      <xdr:row>261</xdr:row>
      <xdr:rowOff>152400</xdr:rowOff>
    </xdr:to>
    <xdr:pic>
      <xdr:nvPicPr>
        <xdr:cNvPr id="35781" name="Picture 5" descr="C:\WINDOWS\TEMP\~0003946.gif">
          <a:extLst>
            <a:ext uri="{FF2B5EF4-FFF2-40B4-BE49-F238E27FC236}">
              <a16:creationId xmlns:a16="http://schemas.microsoft.com/office/drawing/2014/main" id="{00000000-0008-0000-0200-0000C5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52844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182</xdr:row>
      <xdr:rowOff>152400</xdr:rowOff>
    </xdr:from>
    <xdr:to>
      <xdr:col>18</xdr:col>
      <xdr:colOff>1924050</xdr:colOff>
      <xdr:row>183</xdr:row>
      <xdr:rowOff>180975</xdr:rowOff>
    </xdr:to>
    <xdr:pic>
      <xdr:nvPicPr>
        <xdr:cNvPr id="35782" name="Picture 6" descr="C:\WINDOWS\TEMP\~0003946.gif">
          <a:extLst>
            <a:ext uri="{FF2B5EF4-FFF2-40B4-BE49-F238E27FC236}">
              <a16:creationId xmlns:a16="http://schemas.microsoft.com/office/drawing/2014/main" id="{00000000-0008-0000-0200-0000C6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37185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126</xdr:row>
      <xdr:rowOff>161925</xdr:rowOff>
    </xdr:from>
    <xdr:to>
      <xdr:col>18</xdr:col>
      <xdr:colOff>1952625</xdr:colOff>
      <xdr:row>127</xdr:row>
      <xdr:rowOff>190500</xdr:rowOff>
    </xdr:to>
    <xdr:pic>
      <xdr:nvPicPr>
        <xdr:cNvPr id="35783" name="Picture 7" descr="C:\WINDOWS\TEMP\~0003946.gif">
          <a:extLst>
            <a:ext uri="{FF2B5EF4-FFF2-40B4-BE49-F238E27FC236}">
              <a16:creationId xmlns:a16="http://schemas.microsoft.com/office/drawing/2014/main" id="{00000000-0008-0000-0200-0000C7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2591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35784" name="Picture 8" descr="C:\WINDOWS\TEMP\~0003946.gif">
          <a:extLst>
            <a:ext uri="{FF2B5EF4-FFF2-40B4-BE49-F238E27FC236}">
              <a16:creationId xmlns:a16="http://schemas.microsoft.com/office/drawing/2014/main" id="{00000000-0008-0000-0200-0000C8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35785" name="Picture 9" descr="C:\WINDOWS\TEMP\~0003946.gif">
          <a:extLst>
            <a:ext uri="{FF2B5EF4-FFF2-40B4-BE49-F238E27FC236}">
              <a16:creationId xmlns:a16="http://schemas.microsoft.com/office/drawing/2014/main" id="{00000000-0008-0000-0200-0000C9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126</xdr:row>
      <xdr:rowOff>123825</xdr:rowOff>
    </xdr:from>
    <xdr:to>
      <xdr:col>18</xdr:col>
      <xdr:colOff>895350</xdr:colOff>
      <xdr:row>127</xdr:row>
      <xdr:rowOff>152400</xdr:rowOff>
    </xdr:to>
    <xdr:pic>
      <xdr:nvPicPr>
        <xdr:cNvPr id="35786" name="Picture 10" descr="C:\WINDOWS\TEMP\~0003946.gif">
          <a:extLst>
            <a:ext uri="{FF2B5EF4-FFF2-40B4-BE49-F238E27FC236}">
              <a16:creationId xmlns:a16="http://schemas.microsoft.com/office/drawing/2014/main" id="{00000000-0008-0000-0200-0000CA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60025" y="25879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182</xdr:row>
      <xdr:rowOff>104775</xdr:rowOff>
    </xdr:from>
    <xdr:to>
      <xdr:col>18</xdr:col>
      <xdr:colOff>809625</xdr:colOff>
      <xdr:row>183</xdr:row>
      <xdr:rowOff>133350</xdr:rowOff>
    </xdr:to>
    <xdr:pic>
      <xdr:nvPicPr>
        <xdr:cNvPr id="35787" name="Picture 11" descr="C:\WINDOWS\TEMP\~0003946.gif">
          <a:extLst>
            <a:ext uri="{FF2B5EF4-FFF2-40B4-BE49-F238E27FC236}">
              <a16:creationId xmlns:a16="http://schemas.microsoft.com/office/drawing/2014/main" id="{00000000-0008-0000-0200-0000CB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74300" y="37137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260</xdr:row>
      <xdr:rowOff>104775</xdr:rowOff>
    </xdr:from>
    <xdr:to>
      <xdr:col>18</xdr:col>
      <xdr:colOff>895350</xdr:colOff>
      <xdr:row>261</xdr:row>
      <xdr:rowOff>133350</xdr:rowOff>
    </xdr:to>
    <xdr:pic>
      <xdr:nvPicPr>
        <xdr:cNvPr id="35788" name="Picture 12" descr="C:\WINDOWS\TEMP\~0003946.gif">
          <a:extLst>
            <a:ext uri="{FF2B5EF4-FFF2-40B4-BE49-F238E27FC236}">
              <a16:creationId xmlns:a16="http://schemas.microsoft.com/office/drawing/2014/main" id="{00000000-0008-0000-0200-0000CC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60025" y="52825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35789" name="Picture 13" descr="logoMTL">
          <a:extLst>
            <a:ext uri="{FF2B5EF4-FFF2-40B4-BE49-F238E27FC236}">
              <a16:creationId xmlns:a16="http://schemas.microsoft.com/office/drawing/2014/main" id="{00000000-0008-0000-0200-0000CD8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55150"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126</xdr:row>
      <xdr:rowOff>38100</xdr:rowOff>
    </xdr:from>
    <xdr:to>
      <xdr:col>17</xdr:col>
      <xdr:colOff>1171575</xdr:colOff>
      <xdr:row>127</xdr:row>
      <xdr:rowOff>161925</xdr:rowOff>
    </xdr:to>
    <xdr:pic>
      <xdr:nvPicPr>
        <xdr:cNvPr id="35790" name="Picture 14" descr="logoMTL">
          <a:extLst>
            <a:ext uri="{FF2B5EF4-FFF2-40B4-BE49-F238E27FC236}">
              <a16:creationId xmlns:a16="http://schemas.microsoft.com/office/drawing/2014/main" id="{00000000-0008-0000-0200-0000CE8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257937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182</xdr:row>
      <xdr:rowOff>28575</xdr:rowOff>
    </xdr:from>
    <xdr:to>
      <xdr:col>17</xdr:col>
      <xdr:colOff>1171575</xdr:colOff>
      <xdr:row>183</xdr:row>
      <xdr:rowOff>152400</xdr:rowOff>
    </xdr:to>
    <xdr:pic>
      <xdr:nvPicPr>
        <xdr:cNvPr id="35791" name="Picture 15" descr="logoMTL">
          <a:extLst>
            <a:ext uri="{FF2B5EF4-FFF2-40B4-BE49-F238E27FC236}">
              <a16:creationId xmlns:a16="http://schemas.microsoft.com/office/drawing/2014/main" id="{00000000-0008-0000-0200-0000CF8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37061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260</xdr:row>
      <xdr:rowOff>0</xdr:rowOff>
    </xdr:from>
    <xdr:to>
      <xdr:col>17</xdr:col>
      <xdr:colOff>1228725</xdr:colOff>
      <xdr:row>261</xdr:row>
      <xdr:rowOff>123825</xdr:rowOff>
    </xdr:to>
    <xdr:pic>
      <xdr:nvPicPr>
        <xdr:cNvPr id="35792" name="Picture 16" descr="logoMTL">
          <a:extLst>
            <a:ext uri="{FF2B5EF4-FFF2-40B4-BE49-F238E27FC236}">
              <a16:creationId xmlns:a16="http://schemas.microsoft.com/office/drawing/2014/main" id="{00000000-0008-0000-0200-0000D08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26575" y="527208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66781" name="Picture 5" descr="C:\WINDOWS\TEMP\~0003946.gif">
          <a:extLst>
            <a:ext uri="{FF2B5EF4-FFF2-40B4-BE49-F238E27FC236}">
              <a16:creationId xmlns:a16="http://schemas.microsoft.com/office/drawing/2014/main" id="{00000000-0008-0000-1D00-0000DD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66782" name="Picture 6" descr="C:\WINDOWS\TEMP\~0003946.gif">
          <a:extLst>
            <a:ext uri="{FF2B5EF4-FFF2-40B4-BE49-F238E27FC236}">
              <a16:creationId xmlns:a16="http://schemas.microsoft.com/office/drawing/2014/main" id="{00000000-0008-0000-1D00-0000DE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66783" name="Picture 7" descr="C:\WINDOWS\TEMP\~0003946.gif">
          <a:extLst>
            <a:ext uri="{FF2B5EF4-FFF2-40B4-BE49-F238E27FC236}">
              <a16:creationId xmlns:a16="http://schemas.microsoft.com/office/drawing/2014/main" id="{00000000-0008-0000-1D00-0000DF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6784" name="Picture 8" descr="C:\WINDOWS\TEMP\~0003946.gif">
          <a:extLst>
            <a:ext uri="{FF2B5EF4-FFF2-40B4-BE49-F238E27FC236}">
              <a16:creationId xmlns:a16="http://schemas.microsoft.com/office/drawing/2014/main" id="{00000000-0008-0000-1D00-0000E0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6785" name="Picture 13" descr="logoMTL">
          <a:extLst>
            <a:ext uri="{FF2B5EF4-FFF2-40B4-BE49-F238E27FC236}">
              <a16:creationId xmlns:a16="http://schemas.microsoft.com/office/drawing/2014/main" id="{00000000-0008-0000-1D00-0000E10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66786" name="Picture 14" descr="logoMTL">
          <a:extLst>
            <a:ext uri="{FF2B5EF4-FFF2-40B4-BE49-F238E27FC236}">
              <a16:creationId xmlns:a16="http://schemas.microsoft.com/office/drawing/2014/main" id="{00000000-0008-0000-1D00-0000E20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66787" name="Picture 15" descr="logoMTL">
          <a:extLst>
            <a:ext uri="{FF2B5EF4-FFF2-40B4-BE49-F238E27FC236}">
              <a16:creationId xmlns:a16="http://schemas.microsoft.com/office/drawing/2014/main" id="{00000000-0008-0000-1D00-0000E30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66788" name="Picture 16" descr="logoMTL">
          <a:extLst>
            <a:ext uri="{FF2B5EF4-FFF2-40B4-BE49-F238E27FC236}">
              <a16:creationId xmlns:a16="http://schemas.microsoft.com/office/drawing/2014/main" id="{00000000-0008-0000-1D00-0000E40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66789" name="Picture 1" descr="C:\WINDOWS\TEMP\Symbol.gif">
          <a:extLst>
            <a:ext uri="{FF2B5EF4-FFF2-40B4-BE49-F238E27FC236}">
              <a16:creationId xmlns:a16="http://schemas.microsoft.com/office/drawing/2014/main" id="{00000000-0008-0000-1D00-0000E50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66790" name="Picture 1" descr="C:\WINDOWS\TEMP\Symbol.gif">
          <a:extLst>
            <a:ext uri="{FF2B5EF4-FFF2-40B4-BE49-F238E27FC236}">
              <a16:creationId xmlns:a16="http://schemas.microsoft.com/office/drawing/2014/main" id="{00000000-0008-0000-1D00-0000E60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66791" name="Picture 1" descr="C:\WINDOWS\TEMP\Symbol.gif">
          <a:extLst>
            <a:ext uri="{FF2B5EF4-FFF2-40B4-BE49-F238E27FC236}">
              <a16:creationId xmlns:a16="http://schemas.microsoft.com/office/drawing/2014/main" id="{00000000-0008-0000-1D00-0000E70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66792" name="Picture 1" descr="C:\WINDOWS\TEMP\Symbol.gif">
          <a:extLst>
            <a:ext uri="{FF2B5EF4-FFF2-40B4-BE49-F238E27FC236}">
              <a16:creationId xmlns:a16="http://schemas.microsoft.com/office/drawing/2014/main" id="{00000000-0008-0000-1D00-0000E80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66793" name="Picture 9" descr="C:\WINDOWS\TEMP\~0003946.gif">
          <a:extLst>
            <a:ext uri="{FF2B5EF4-FFF2-40B4-BE49-F238E27FC236}">
              <a16:creationId xmlns:a16="http://schemas.microsoft.com/office/drawing/2014/main" id="{00000000-0008-0000-1D00-0000E90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66794" name="Picture 9" descr="C:\WINDOWS\TEMP\~0003946.gif">
          <a:extLst>
            <a:ext uri="{FF2B5EF4-FFF2-40B4-BE49-F238E27FC236}">
              <a16:creationId xmlns:a16="http://schemas.microsoft.com/office/drawing/2014/main" id="{00000000-0008-0000-1D00-0000EA0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66795" name="Picture 9" descr="C:\WINDOWS\TEMP\~0003946.gif">
          <a:extLst>
            <a:ext uri="{FF2B5EF4-FFF2-40B4-BE49-F238E27FC236}">
              <a16:creationId xmlns:a16="http://schemas.microsoft.com/office/drawing/2014/main" id="{00000000-0008-0000-1D00-0000EB0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66796" name="Picture 9" descr="C:\WINDOWS\TEMP\~0003946.gif">
          <a:extLst>
            <a:ext uri="{FF2B5EF4-FFF2-40B4-BE49-F238E27FC236}">
              <a16:creationId xmlns:a16="http://schemas.microsoft.com/office/drawing/2014/main" id="{00000000-0008-0000-1D00-0000EC0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68637" name="Picture 5" descr="C:\WINDOWS\TEMP\~0003946.gif">
          <a:extLst>
            <a:ext uri="{FF2B5EF4-FFF2-40B4-BE49-F238E27FC236}">
              <a16:creationId xmlns:a16="http://schemas.microsoft.com/office/drawing/2014/main" id="{00000000-0008-0000-1E00-00001D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68638" name="Picture 6" descr="C:\WINDOWS\TEMP\~0003946.gif">
          <a:extLst>
            <a:ext uri="{FF2B5EF4-FFF2-40B4-BE49-F238E27FC236}">
              <a16:creationId xmlns:a16="http://schemas.microsoft.com/office/drawing/2014/main" id="{00000000-0008-0000-1E00-00001E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68639" name="Picture 7" descr="C:\WINDOWS\TEMP\~0003946.gif">
          <a:extLst>
            <a:ext uri="{FF2B5EF4-FFF2-40B4-BE49-F238E27FC236}">
              <a16:creationId xmlns:a16="http://schemas.microsoft.com/office/drawing/2014/main" id="{00000000-0008-0000-1E00-00001F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8640" name="Picture 8" descr="C:\WINDOWS\TEMP\~0003946.gif">
          <a:extLst>
            <a:ext uri="{FF2B5EF4-FFF2-40B4-BE49-F238E27FC236}">
              <a16:creationId xmlns:a16="http://schemas.microsoft.com/office/drawing/2014/main" id="{00000000-0008-0000-1E00-000020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8641" name="Picture 13" descr="logoMTL">
          <a:extLst>
            <a:ext uri="{FF2B5EF4-FFF2-40B4-BE49-F238E27FC236}">
              <a16:creationId xmlns:a16="http://schemas.microsoft.com/office/drawing/2014/main" id="{00000000-0008-0000-1E00-0000210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68642" name="Picture 14" descr="logoMTL">
          <a:extLst>
            <a:ext uri="{FF2B5EF4-FFF2-40B4-BE49-F238E27FC236}">
              <a16:creationId xmlns:a16="http://schemas.microsoft.com/office/drawing/2014/main" id="{00000000-0008-0000-1E00-0000220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68643" name="Picture 15" descr="logoMTL">
          <a:extLst>
            <a:ext uri="{FF2B5EF4-FFF2-40B4-BE49-F238E27FC236}">
              <a16:creationId xmlns:a16="http://schemas.microsoft.com/office/drawing/2014/main" id="{00000000-0008-0000-1E00-0000230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68644" name="Picture 16" descr="logoMTL">
          <a:extLst>
            <a:ext uri="{FF2B5EF4-FFF2-40B4-BE49-F238E27FC236}">
              <a16:creationId xmlns:a16="http://schemas.microsoft.com/office/drawing/2014/main" id="{00000000-0008-0000-1E00-0000240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68645" name="Picture 1" descr="C:\WINDOWS\TEMP\Symbol.gif">
          <a:extLst>
            <a:ext uri="{FF2B5EF4-FFF2-40B4-BE49-F238E27FC236}">
              <a16:creationId xmlns:a16="http://schemas.microsoft.com/office/drawing/2014/main" id="{00000000-0008-0000-1E00-0000250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68646" name="Picture 1" descr="C:\WINDOWS\TEMP\Symbol.gif">
          <a:extLst>
            <a:ext uri="{FF2B5EF4-FFF2-40B4-BE49-F238E27FC236}">
              <a16:creationId xmlns:a16="http://schemas.microsoft.com/office/drawing/2014/main" id="{00000000-0008-0000-1E00-0000260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68647" name="Picture 1" descr="C:\WINDOWS\TEMP\Symbol.gif">
          <a:extLst>
            <a:ext uri="{FF2B5EF4-FFF2-40B4-BE49-F238E27FC236}">
              <a16:creationId xmlns:a16="http://schemas.microsoft.com/office/drawing/2014/main" id="{00000000-0008-0000-1E00-0000270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68648" name="Picture 1" descr="C:\WINDOWS\TEMP\Symbol.gif">
          <a:extLst>
            <a:ext uri="{FF2B5EF4-FFF2-40B4-BE49-F238E27FC236}">
              <a16:creationId xmlns:a16="http://schemas.microsoft.com/office/drawing/2014/main" id="{00000000-0008-0000-1E00-0000280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68649" name="Picture 9" descr="C:\WINDOWS\TEMP\~0003946.gif">
          <a:extLst>
            <a:ext uri="{FF2B5EF4-FFF2-40B4-BE49-F238E27FC236}">
              <a16:creationId xmlns:a16="http://schemas.microsoft.com/office/drawing/2014/main" id="{00000000-0008-0000-1E00-0000290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68650" name="Picture 9" descr="C:\WINDOWS\TEMP\~0003946.gif">
          <a:extLst>
            <a:ext uri="{FF2B5EF4-FFF2-40B4-BE49-F238E27FC236}">
              <a16:creationId xmlns:a16="http://schemas.microsoft.com/office/drawing/2014/main" id="{00000000-0008-0000-1E00-00002A0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68651" name="Picture 9" descr="C:\WINDOWS\TEMP\~0003946.gif">
          <a:extLst>
            <a:ext uri="{FF2B5EF4-FFF2-40B4-BE49-F238E27FC236}">
              <a16:creationId xmlns:a16="http://schemas.microsoft.com/office/drawing/2014/main" id="{00000000-0008-0000-1E00-00002B0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68652" name="Picture 9" descr="C:\WINDOWS\TEMP\~0003946.gif">
          <a:extLst>
            <a:ext uri="{FF2B5EF4-FFF2-40B4-BE49-F238E27FC236}">
              <a16:creationId xmlns:a16="http://schemas.microsoft.com/office/drawing/2014/main" id="{00000000-0008-0000-1E00-00002C0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59245" name="Picture 5" descr="C:\WINDOWS\TEMP\~0003946.gif">
          <a:extLst>
            <a:ext uri="{FF2B5EF4-FFF2-40B4-BE49-F238E27FC236}">
              <a16:creationId xmlns:a16="http://schemas.microsoft.com/office/drawing/2014/main" id="{00000000-0008-0000-1F00-00006DE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186</xdr:row>
      <xdr:rowOff>152400</xdr:rowOff>
    </xdr:from>
    <xdr:to>
      <xdr:col>18</xdr:col>
      <xdr:colOff>1924050</xdr:colOff>
      <xdr:row>187</xdr:row>
      <xdr:rowOff>180975</xdr:rowOff>
    </xdr:to>
    <xdr:pic>
      <xdr:nvPicPr>
        <xdr:cNvPr id="59246" name="Picture 6" descr="C:\WINDOWS\TEMP\~0003946.gif">
          <a:extLst>
            <a:ext uri="{FF2B5EF4-FFF2-40B4-BE49-F238E27FC236}">
              <a16:creationId xmlns:a16="http://schemas.microsoft.com/office/drawing/2014/main" id="{00000000-0008-0000-1F00-00006EE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7985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59247" name="Picture 7" descr="C:\WINDOWS\TEMP\~0003946.gif">
          <a:extLst>
            <a:ext uri="{FF2B5EF4-FFF2-40B4-BE49-F238E27FC236}">
              <a16:creationId xmlns:a16="http://schemas.microsoft.com/office/drawing/2014/main" id="{00000000-0008-0000-1F00-00006FE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9248" name="Picture 8" descr="C:\WINDOWS\TEMP\~0003946.gif">
          <a:extLst>
            <a:ext uri="{FF2B5EF4-FFF2-40B4-BE49-F238E27FC236}">
              <a16:creationId xmlns:a16="http://schemas.microsoft.com/office/drawing/2014/main" id="{00000000-0008-0000-1F00-000070E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59249" name="Picture 13" descr="logoMTL">
          <a:extLst>
            <a:ext uri="{FF2B5EF4-FFF2-40B4-BE49-F238E27FC236}">
              <a16:creationId xmlns:a16="http://schemas.microsoft.com/office/drawing/2014/main" id="{00000000-0008-0000-1F00-000071E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59250" name="Picture 14" descr="logoMTL">
          <a:extLst>
            <a:ext uri="{FF2B5EF4-FFF2-40B4-BE49-F238E27FC236}">
              <a16:creationId xmlns:a16="http://schemas.microsoft.com/office/drawing/2014/main" id="{00000000-0008-0000-1F00-000072E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186</xdr:row>
      <xdr:rowOff>28575</xdr:rowOff>
    </xdr:from>
    <xdr:to>
      <xdr:col>17</xdr:col>
      <xdr:colOff>1171575</xdr:colOff>
      <xdr:row>187</xdr:row>
      <xdr:rowOff>152400</xdr:rowOff>
    </xdr:to>
    <xdr:pic>
      <xdr:nvPicPr>
        <xdr:cNvPr id="59251" name="Picture 15" descr="logoMTL">
          <a:extLst>
            <a:ext uri="{FF2B5EF4-FFF2-40B4-BE49-F238E27FC236}">
              <a16:creationId xmlns:a16="http://schemas.microsoft.com/office/drawing/2014/main" id="{00000000-0008-0000-1F00-000073E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7861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123825</xdr:rowOff>
    </xdr:to>
    <xdr:pic>
      <xdr:nvPicPr>
        <xdr:cNvPr id="59252" name="Picture 16" descr="logoMTL">
          <a:extLst>
            <a:ext uri="{FF2B5EF4-FFF2-40B4-BE49-F238E27FC236}">
              <a16:creationId xmlns:a16="http://schemas.microsoft.com/office/drawing/2014/main" id="{00000000-0008-0000-1F00-000074E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197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278</xdr:row>
      <xdr:rowOff>0</xdr:rowOff>
    </xdr:from>
    <xdr:to>
      <xdr:col>1</xdr:col>
      <xdr:colOff>0</xdr:colOff>
      <xdr:row>278</xdr:row>
      <xdr:rowOff>238125</xdr:rowOff>
    </xdr:to>
    <xdr:pic>
      <xdr:nvPicPr>
        <xdr:cNvPr id="59253" name="Picture 1" descr="C:\WINDOWS\TEMP\Symbol.gif">
          <a:extLst>
            <a:ext uri="{FF2B5EF4-FFF2-40B4-BE49-F238E27FC236}">
              <a16:creationId xmlns:a16="http://schemas.microsoft.com/office/drawing/2014/main" id="{00000000-0008-0000-1F00-000075E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397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xdr:row>
      <xdr:rowOff>0</xdr:rowOff>
    </xdr:from>
    <xdr:to>
      <xdr:col>1</xdr:col>
      <xdr:colOff>0</xdr:colOff>
      <xdr:row>187</xdr:row>
      <xdr:rowOff>238125</xdr:rowOff>
    </xdr:to>
    <xdr:pic>
      <xdr:nvPicPr>
        <xdr:cNvPr id="59254" name="Picture 1" descr="C:\WINDOWS\TEMP\Symbol.gif">
          <a:extLst>
            <a:ext uri="{FF2B5EF4-FFF2-40B4-BE49-F238E27FC236}">
              <a16:creationId xmlns:a16="http://schemas.microsoft.com/office/drawing/2014/main" id="{00000000-0008-0000-1F00-000076E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0333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130</xdr:row>
      <xdr:rowOff>0</xdr:rowOff>
    </xdr:from>
    <xdr:to>
      <xdr:col>1</xdr:col>
      <xdr:colOff>0</xdr:colOff>
      <xdr:row>130</xdr:row>
      <xdr:rowOff>238125</xdr:rowOff>
    </xdr:to>
    <xdr:pic>
      <xdr:nvPicPr>
        <xdr:cNvPr id="59255" name="Picture 1" descr="C:\WINDOWS\TEMP\Symbol.gif">
          <a:extLst>
            <a:ext uri="{FF2B5EF4-FFF2-40B4-BE49-F238E27FC236}">
              <a16:creationId xmlns:a16="http://schemas.microsoft.com/office/drawing/2014/main" id="{00000000-0008-0000-1F00-000077E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555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59256" name="Picture 1" descr="C:\WINDOWS\TEMP\Symbol.gif">
          <a:extLst>
            <a:ext uri="{FF2B5EF4-FFF2-40B4-BE49-F238E27FC236}">
              <a16:creationId xmlns:a16="http://schemas.microsoft.com/office/drawing/2014/main" id="{00000000-0008-0000-1F00-000078E7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277</xdr:row>
      <xdr:rowOff>0</xdr:rowOff>
    </xdr:from>
    <xdr:to>
      <xdr:col>18</xdr:col>
      <xdr:colOff>800100</xdr:colOff>
      <xdr:row>278</xdr:row>
      <xdr:rowOff>28575</xdr:rowOff>
    </xdr:to>
    <xdr:pic>
      <xdr:nvPicPr>
        <xdr:cNvPr id="59257" name="Picture 9" descr="C:\WINDOWS\TEMP\~0003946.gif">
          <a:extLst>
            <a:ext uri="{FF2B5EF4-FFF2-40B4-BE49-F238E27FC236}">
              <a16:creationId xmlns:a16="http://schemas.microsoft.com/office/drawing/2014/main" id="{00000000-0008-0000-1F00-000079E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197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186</xdr:row>
      <xdr:rowOff>0</xdr:rowOff>
    </xdr:from>
    <xdr:to>
      <xdr:col>18</xdr:col>
      <xdr:colOff>800100</xdr:colOff>
      <xdr:row>187</xdr:row>
      <xdr:rowOff>28575</xdr:rowOff>
    </xdr:to>
    <xdr:pic>
      <xdr:nvPicPr>
        <xdr:cNvPr id="59258" name="Picture 9" descr="C:\WINDOWS\TEMP\~0003946.gif">
          <a:extLst>
            <a:ext uri="{FF2B5EF4-FFF2-40B4-BE49-F238E27FC236}">
              <a16:creationId xmlns:a16="http://schemas.microsoft.com/office/drawing/2014/main" id="{00000000-0008-0000-1F00-00007AE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7833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129</xdr:row>
      <xdr:rowOff>0</xdr:rowOff>
    </xdr:from>
    <xdr:to>
      <xdr:col>18</xdr:col>
      <xdr:colOff>800100</xdr:colOff>
      <xdr:row>130</xdr:row>
      <xdr:rowOff>28575</xdr:rowOff>
    </xdr:to>
    <xdr:pic>
      <xdr:nvPicPr>
        <xdr:cNvPr id="59259" name="Picture 9" descr="C:\WINDOWS\TEMP\~0003946.gif">
          <a:extLst>
            <a:ext uri="{FF2B5EF4-FFF2-40B4-BE49-F238E27FC236}">
              <a16:creationId xmlns:a16="http://schemas.microsoft.com/office/drawing/2014/main" id="{00000000-0008-0000-1F00-00007BE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355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60</xdr:row>
      <xdr:rowOff>0</xdr:rowOff>
    </xdr:from>
    <xdr:to>
      <xdr:col>18</xdr:col>
      <xdr:colOff>800100</xdr:colOff>
      <xdr:row>61</xdr:row>
      <xdr:rowOff>28575</xdr:rowOff>
    </xdr:to>
    <xdr:pic>
      <xdr:nvPicPr>
        <xdr:cNvPr id="59260" name="Picture 9" descr="C:\WINDOWS\TEMP\~0003946.gif">
          <a:extLst>
            <a:ext uri="{FF2B5EF4-FFF2-40B4-BE49-F238E27FC236}">
              <a16:creationId xmlns:a16="http://schemas.microsoft.com/office/drawing/2014/main" id="{00000000-0008-0000-1F00-00007CE7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1210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1095375</xdr:colOff>
      <xdr:row>278</xdr:row>
      <xdr:rowOff>123825</xdr:rowOff>
    </xdr:from>
    <xdr:to>
      <xdr:col>18</xdr:col>
      <xdr:colOff>1895475</xdr:colOff>
      <xdr:row>279</xdr:row>
      <xdr:rowOff>152400</xdr:rowOff>
    </xdr:to>
    <xdr:pic>
      <xdr:nvPicPr>
        <xdr:cNvPr id="62165" name="Picture 5" descr="C:\WINDOWS\TEMP\~0003946.gif">
          <a:extLst>
            <a:ext uri="{FF2B5EF4-FFF2-40B4-BE49-F238E27FC236}">
              <a16:creationId xmlns:a16="http://schemas.microsoft.com/office/drawing/2014/main" id="{00000000-0008-0000-2000-0000D5F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62166" name="Picture 6" descr="C:\WINDOWS\TEMP\~0003946.gif">
          <a:extLst>
            <a:ext uri="{FF2B5EF4-FFF2-40B4-BE49-F238E27FC236}">
              <a16:creationId xmlns:a16="http://schemas.microsoft.com/office/drawing/2014/main" id="{00000000-0008-0000-2000-0000D6F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62167" name="Picture 7" descr="C:\WINDOWS\TEMP\~0003946.gif">
          <a:extLst>
            <a:ext uri="{FF2B5EF4-FFF2-40B4-BE49-F238E27FC236}">
              <a16:creationId xmlns:a16="http://schemas.microsoft.com/office/drawing/2014/main" id="{00000000-0008-0000-2000-0000D7F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2168" name="Picture 8" descr="C:\WINDOWS\TEMP\~0003946.gif">
          <a:extLst>
            <a:ext uri="{FF2B5EF4-FFF2-40B4-BE49-F238E27FC236}">
              <a16:creationId xmlns:a16="http://schemas.microsoft.com/office/drawing/2014/main" id="{00000000-0008-0000-2000-0000D8F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2169" name="Picture 13" descr="logoMTL">
          <a:extLst>
            <a:ext uri="{FF2B5EF4-FFF2-40B4-BE49-F238E27FC236}">
              <a16:creationId xmlns:a16="http://schemas.microsoft.com/office/drawing/2014/main" id="{00000000-0008-0000-2000-0000D9F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62170" name="Picture 14" descr="logoMTL">
          <a:extLst>
            <a:ext uri="{FF2B5EF4-FFF2-40B4-BE49-F238E27FC236}">
              <a16:creationId xmlns:a16="http://schemas.microsoft.com/office/drawing/2014/main" id="{00000000-0008-0000-2000-0000DA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62171" name="Picture 15" descr="logoMTL">
          <a:extLst>
            <a:ext uri="{FF2B5EF4-FFF2-40B4-BE49-F238E27FC236}">
              <a16:creationId xmlns:a16="http://schemas.microsoft.com/office/drawing/2014/main" id="{00000000-0008-0000-2000-0000DB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62172" name="Picture 16" descr="logoMTL">
          <a:extLst>
            <a:ext uri="{FF2B5EF4-FFF2-40B4-BE49-F238E27FC236}">
              <a16:creationId xmlns:a16="http://schemas.microsoft.com/office/drawing/2014/main" id="{00000000-0008-0000-2000-0000DC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279</xdr:row>
      <xdr:rowOff>0</xdr:rowOff>
    </xdr:from>
    <xdr:to>
      <xdr:col>1</xdr:col>
      <xdr:colOff>0</xdr:colOff>
      <xdr:row>279</xdr:row>
      <xdr:rowOff>238125</xdr:rowOff>
    </xdr:to>
    <xdr:pic>
      <xdr:nvPicPr>
        <xdr:cNvPr id="62173" name="Picture 1" descr="C:\WINDOWS\TEMP\Symbol.gif">
          <a:extLst>
            <a:ext uri="{FF2B5EF4-FFF2-40B4-BE49-F238E27FC236}">
              <a16:creationId xmlns:a16="http://schemas.microsoft.com/office/drawing/2014/main" id="{00000000-0008-0000-2000-0000DDF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65975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188</xdr:row>
      <xdr:rowOff>0</xdr:rowOff>
    </xdr:from>
    <xdr:to>
      <xdr:col>1</xdr:col>
      <xdr:colOff>0</xdr:colOff>
      <xdr:row>188</xdr:row>
      <xdr:rowOff>238125</xdr:rowOff>
    </xdr:to>
    <xdr:pic>
      <xdr:nvPicPr>
        <xdr:cNvPr id="62174" name="Picture 1" descr="C:\WINDOWS\TEMP\Symbol.gif">
          <a:extLst>
            <a:ext uri="{FF2B5EF4-FFF2-40B4-BE49-F238E27FC236}">
              <a16:creationId xmlns:a16="http://schemas.microsoft.com/office/drawing/2014/main" id="{00000000-0008-0000-2000-0000DEF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233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62175" name="Picture 1" descr="C:\WINDOWS\TEMP\Symbol.gif">
          <a:extLst>
            <a:ext uri="{FF2B5EF4-FFF2-40B4-BE49-F238E27FC236}">
              <a16:creationId xmlns:a16="http://schemas.microsoft.com/office/drawing/2014/main" id="{00000000-0008-0000-2000-0000DFF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1</xdr:col>
      <xdr:colOff>0</xdr:colOff>
      <xdr:row>61</xdr:row>
      <xdr:rowOff>238125</xdr:rowOff>
    </xdr:to>
    <xdr:pic>
      <xdr:nvPicPr>
        <xdr:cNvPr id="62176" name="Picture 1" descr="C:\WINDOWS\TEMP\Symbol.gif">
          <a:extLst>
            <a:ext uri="{FF2B5EF4-FFF2-40B4-BE49-F238E27FC236}">
              <a16:creationId xmlns:a16="http://schemas.microsoft.com/office/drawing/2014/main" id="{00000000-0008-0000-2000-0000E0F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3063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278</xdr:row>
      <xdr:rowOff>0</xdr:rowOff>
    </xdr:from>
    <xdr:to>
      <xdr:col>18</xdr:col>
      <xdr:colOff>800100</xdr:colOff>
      <xdr:row>279</xdr:row>
      <xdr:rowOff>28575</xdr:rowOff>
    </xdr:to>
    <xdr:pic>
      <xdr:nvPicPr>
        <xdr:cNvPr id="62177" name="Picture 9" descr="C:\WINDOWS\TEMP\~0003946.gif">
          <a:extLst>
            <a:ext uri="{FF2B5EF4-FFF2-40B4-BE49-F238E27FC236}">
              <a16:creationId xmlns:a16="http://schemas.microsoft.com/office/drawing/2014/main" id="{00000000-0008-0000-2000-0000E1F2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56397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187</xdr:row>
      <xdr:rowOff>0</xdr:rowOff>
    </xdr:from>
    <xdr:to>
      <xdr:col>18</xdr:col>
      <xdr:colOff>800100</xdr:colOff>
      <xdr:row>188</xdr:row>
      <xdr:rowOff>28575</xdr:rowOff>
    </xdr:to>
    <xdr:pic>
      <xdr:nvPicPr>
        <xdr:cNvPr id="62178" name="Picture 9" descr="C:\WINDOWS\TEMP\~0003946.gif">
          <a:extLst>
            <a:ext uri="{FF2B5EF4-FFF2-40B4-BE49-F238E27FC236}">
              <a16:creationId xmlns:a16="http://schemas.microsoft.com/office/drawing/2014/main" id="{00000000-0008-0000-2000-0000E2F2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38033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130</xdr:row>
      <xdr:rowOff>0</xdr:rowOff>
    </xdr:from>
    <xdr:to>
      <xdr:col>18</xdr:col>
      <xdr:colOff>800100</xdr:colOff>
      <xdr:row>131</xdr:row>
      <xdr:rowOff>28575</xdr:rowOff>
    </xdr:to>
    <xdr:pic>
      <xdr:nvPicPr>
        <xdr:cNvPr id="62179" name="Picture 9" descr="C:\WINDOWS\TEMP\~0003946.gif">
          <a:extLst>
            <a:ext uri="{FF2B5EF4-FFF2-40B4-BE49-F238E27FC236}">
              <a16:creationId xmlns:a16="http://schemas.microsoft.com/office/drawing/2014/main" id="{00000000-0008-0000-2000-0000E3F2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5549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66675</xdr:colOff>
      <xdr:row>60</xdr:row>
      <xdr:rowOff>28575</xdr:rowOff>
    </xdr:from>
    <xdr:to>
      <xdr:col>18</xdr:col>
      <xdr:colOff>866775</xdr:colOff>
      <xdr:row>61</xdr:row>
      <xdr:rowOff>57150</xdr:rowOff>
    </xdr:to>
    <xdr:pic>
      <xdr:nvPicPr>
        <xdr:cNvPr id="62180" name="Picture 9" descr="C:\WINDOWS\TEMP\~0003946.gif">
          <a:extLst>
            <a:ext uri="{FF2B5EF4-FFF2-40B4-BE49-F238E27FC236}">
              <a16:creationId xmlns:a16="http://schemas.microsoft.com/office/drawing/2014/main" id="{00000000-0008-0000-2000-0000E4F2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0621625" y="12134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63985" name="Picture 1" descr="C:\WINDOWS\TEMP\Symbol.gif">
          <a:extLst>
            <a:ext uri="{FF2B5EF4-FFF2-40B4-BE49-F238E27FC236}">
              <a16:creationId xmlns:a16="http://schemas.microsoft.com/office/drawing/2014/main" id="{00000000-0008-0000-2100-0000F1F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63986" name="Picture 2" descr="C:\WINDOWS\TEMP\Symbol.gif">
          <a:extLst>
            <a:ext uri="{FF2B5EF4-FFF2-40B4-BE49-F238E27FC236}">
              <a16:creationId xmlns:a16="http://schemas.microsoft.com/office/drawing/2014/main" id="{00000000-0008-0000-2100-0000F2F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63987" name="Picture 3" descr="C:\WINDOWS\TEMP\Symbol.gif">
          <a:extLst>
            <a:ext uri="{FF2B5EF4-FFF2-40B4-BE49-F238E27FC236}">
              <a16:creationId xmlns:a16="http://schemas.microsoft.com/office/drawing/2014/main" id="{00000000-0008-0000-2100-0000F3F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63988" name="Picture 4" descr="C:\WINDOWS\TEMP\Symbol.gif">
          <a:extLst>
            <a:ext uri="{FF2B5EF4-FFF2-40B4-BE49-F238E27FC236}">
              <a16:creationId xmlns:a16="http://schemas.microsoft.com/office/drawing/2014/main" id="{00000000-0008-0000-2100-0000F4F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3989" name="Picture 5" descr="C:\WINDOWS\TEMP\~0003946.gif">
          <a:extLst>
            <a:ext uri="{FF2B5EF4-FFF2-40B4-BE49-F238E27FC236}">
              <a16:creationId xmlns:a16="http://schemas.microsoft.com/office/drawing/2014/main" id="{00000000-0008-0000-2100-0000F5F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63990" name="Picture 6" descr="C:\WINDOWS\TEMP\~0003946.gif">
          <a:extLst>
            <a:ext uri="{FF2B5EF4-FFF2-40B4-BE49-F238E27FC236}">
              <a16:creationId xmlns:a16="http://schemas.microsoft.com/office/drawing/2014/main" id="{00000000-0008-0000-2100-0000F6F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63991" name="Picture 7" descr="C:\WINDOWS\TEMP\~0003946.gif">
          <a:extLst>
            <a:ext uri="{FF2B5EF4-FFF2-40B4-BE49-F238E27FC236}">
              <a16:creationId xmlns:a16="http://schemas.microsoft.com/office/drawing/2014/main" id="{00000000-0008-0000-2100-0000F7F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3992" name="Picture 8" descr="C:\WINDOWS\TEMP\~0003946.gif">
          <a:extLst>
            <a:ext uri="{FF2B5EF4-FFF2-40B4-BE49-F238E27FC236}">
              <a16:creationId xmlns:a16="http://schemas.microsoft.com/office/drawing/2014/main" id="{00000000-0008-0000-2100-0000F8F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63993" name="Picture 9" descr="C:\WINDOWS\TEMP\~0003946.gif">
          <a:extLst>
            <a:ext uri="{FF2B5EF4-FFF2-40B4-BE49-F238E27FC236}">
              <a16:creationId xmlns:a16="http://schemas.microsoft.com/office/drawing/2014/main" id="{00000000-0008-0000-2100-0000F9F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63994" name="Picture 10" descr="C:\WINDOWS\TEMP\~0003946.gif">
          <a:extLst>
            <a:ext uri="{FF2B5EF4-FFF2-40B4-BE49-F238E27FC236}">
              <a16:creationId xmlns:a16="http://schemas.microsoft.com/office/drawing/2014/main" id="{00000000-0008-0000-2100-0000FAF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63995" name="Picture 11" descr="C:\WINDOWS\TEMP\~0003946.gif">
          <a:extLst>
            <a:ext uri="{FF2B5EF4-FFF2-40B4-BE49-F238E27FC236}">
              <a16:creationId xmlns:a16="http://schemas.microsoft.com/office/drawing/2014/main" id="{00000000-0008-0000-2100-0000FBF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63996" name="Picture 12" descr="C:\WINDOWS\TEMP\~0003946.gif">
          <a:extLst>
            <a:ext uri="{FF2B5EF4-FFF2-40B4-BE49-F238E27FC236}">
              <a16:creationId xmlns:a16="http://schemas.microsoft.com/office/drawing/2014/main" id="{00000000-0008-0000-2100-0000FCF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3997" name="Picture 13" descr="logoMTL">
          <a:extLst>
            <a:ext uri="{FF2B5EF4-FFF2-40B4-BE49-F238E27FC236}">
              <a16:creationId xmlns:a16="http://schemas.microsoft.com/office/drawing/2014/main" id="{00000000-0008-0000-2100-0000FDF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63998" name="Picture 14" descr="logoMTL">
          <a:extLst>
            <a:ext uri="{FF2B5EF4-FFF2-40B4-BE49-F238E27FC236}">
              <a16:creationId xmlns:a16="http://schemas.microsoft.com/office/drawing/2014/main" id="{00000000-0008-0000-2100-0000FEF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63999" name="Picture 15" descr="logoMTL">
          <a:extLst>
            <a:ext uri="{FF2B5EF4-FFF2-40B4-BE49-F238E27FC236}">
              <a16:creationId xmlns:a16="http://schemas.microsoft.com/office/drawing/2014/main" id="{00000000-0008-0000-2100-0000FFF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64000" name="Picture 16" descr="logoMTL">
          <a:extLst>
            <a:ext uri="{FF2B5EF4-FFF2-40B4-BE49-F238E27FC236}">
              <a16:creationId xmlns:a16="http://schemas.microsoft.com/office/drawing/2014/main" id="{00000000-0008-0000-2100-000000F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65809" name="Picture 1" descr="C:\WINDOWS\TEMP\Symbol.gif">
          <a:extLst>
            <a:ext uri="{FF2B5EF4-FFF2-40B4-BE49-F238E27FC236}">
              <a16:creationId xmlns:a16="http://schemas.microsoft.com/office/drawing/2014/main" id="{00000000-0008-0000-2200-00001101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65810" name="Picture 2" descr="C:\WINDOWS\TEMP\Symbol.gif">
          <a:extLst>
            <a:ext uri="{FF2B5EF4-FFF2-40B4-BE49-F238E27FC236}">
              <a16:creationId xmlns:a16="http://schemas.microsoft.com/office/drawing/2014/main" id="{00000000-0008-0000-2200-00001201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65811" name="Picture 3" descr="C:\WINDOWS\TEMP\Symbol.gif">
          <a:extLst>
            <a:ext uri="{FF2B5EF4-FFF2-40B4-BE49-F238E27FC236}">
              <a16:creationId xmlns:a16="http://schemas.microsoft.com/office/drawing/2014/main" id="{00000000-0008-0000-2200-00001301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65812" name="Picture 4" descr="C:\WINDOWS\TEMP\Symbol.gif">
          <a:extLst>
            <a:ext uri="{FF2B5EF4-FFF2-40B4-BE49-F238E27FC236}">
              <a16:creationId xmlns:a16="http://schemas.microsoft.com/office/drawing/2014/main" id="{00000000-0008-0000-2200-00001401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5813" name="Picture 5" descr="C:\WINDOWS\TEMP\~0003946.gif">
          <a:extLst>
            <a:ext uri="{FF2B5EF4-FFF2-40B4-BE49-F238E27FC236}">
              <a16:creationId xmlns:a16="http://schemas.microsoft.com/office/drawing/2014/main" id="{00000000-0008-0000-2200-00001501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65814" name="Picture 6" descr="C:\WINDOWS\TEMP\~0003946.gif">
          <a:extLst>
            <a:ext uri="{FF2B5EF4-FFF2-40B4-BE49-F238E27FC236}">
              <a16:creationId xmlns:a16="http://schemas.microsoft.com/office/drawing/2014/main" id="{00000000-0008-0000-2200-00001601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65815" name="Picture 7" descr="C:\WINDOWS\TEMP\~0003946.gif">
          <a:extLst>
            <a:ext uri="{FF2B5EF4-FFF2-40B4-BE49-F238E27FC236}">
              <a16:creationId xmlns:a16="http://schemas.microsoft.com/office/drawing/2014/main" id="{00000000-0008-0000-2200-00001701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5816" name="Picture 8" descr="C:\WINDOWS\TEMP\~0003946.gif">
          <a:extLst>
            <a:ext uri="{FF2B5EF4-FFF2-40B4-BE49-F238E27FC236}">
              <a16:creationId xmlns:a16="http://schemas.microsoft.com/office/drawing/2014/main" id="{00000000-0008-0000-2200-00001801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65817" name="Picture 9" descr="C:\WINDOWS\TEMP\~0003946.gif">
          <a:extLst>
            <a:ext uri="{FF2B5EF4-FFF2-40B4-BE49-F238E27FC236}">
              <a16:creationId xmlns:a16="http://schemas.microsoft.com/office/drawing/2014/main" id="{00000000-0008-0000-2200-00001901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65818" name="Picture 10" descr="C:\WINDOWS\TEMP\~0003946.gif">
          <a:extLst>
            <a:ext uri="{FF2B5EF4-FFF2-40B4-BE49-F238E27FC236}">
              <a16:creationId xmlns:a16="http://schemas.microsoft.com/office/drawing/2014/main" id="{00000000-0008-0000-2200-00001A01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65819" name="Picture 11" descr="C:\WINDOWS\TEMP\~0003946.gif">
          <a:extLst>
            <a:ext uri="{FF2B5EF4-FFF2-40B4-BE49-F238E27FC236}">
              <a16:creationId xmlns:a16="http://schemas.microsoft.com/office/drawing/2014/main" id="{00000000-0008-0000-2200-00001B01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65820" name="Picture 12" descr="C:\WINDOWS\TEMP\~0003946.gif">
          <a:extLst>
            <a:ext uri="{FF2B5EF4-FFF2-40B4-BE49-F238E27FC236}">
              <a16:creationId xmlns:a16="http://schemas.microsoft.com/office/drawing/2014/main" id="{00000000-0008-0000-2200-00001C01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5821" name="Picture 13" descr="logoMTL">
          <a:extLst>
            <a:ext uri="{FF2B5EF4-FFF2-40B4-BE49-F238E27FC236}">
              <a16:creationId xmlns:a16="http://schemas.microsoft.com/office/drawing/2014/main" id="{00000000-0008-0000-2200-00001D01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65822" name="Picture 14" descr="logoMTL">
          <a:extLst>
            <a:ext uri="{FF2B5EF4-FFF2-40B4-BE49-F238E27FC236}">
              <a16:creationId xmlns:a16="http://schemas.microsoft.com/office/drawing/2014/main" id="{00000000-0008-0000-2200-00001E01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65823" name="Picture 15" descr="logoMTL">
          <a:extLst>
            <a:ext uri="{FF2B5EF4-FFF2-40B4-BE49-F238E27FC236}">
              <a16:creationId xmlns:a16="http://schemas.microsoft.com/office/drawing/2014/main" id="{00000000-0008-0000-2200-00001F01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65824" name="Picture 16" descr="logoMTL">
          <a:extLst>
            <a:ext uri="{FF2B5EF4-FFF2-40B4-BE49-F238E27FC236}">
              <a16:creationId xmlns:a16="http://schemas.microsoft.com/office/drawing/2014/main" id="{00000000-0008-0000-2200-00002001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67745" name="Picture 1" descr="C:\WINDOWS\TEMP\Symbol.gif">
          <a:extLst>
            <a:ext uri="{FF2B5EF4-FFF2-40B4-BE49-F238E27FC236}">
              <a16:creationId xmlns:a16="http://schemas.microsoft.com/office/drawing/2014/main" id="{00000000-0008-0000-2300-0000A108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67746" name="Picture 2" descr="C:\WINDOWS\TEMP\Symbol.gif">
          <a:extLst>
            <a:ext uri="{FF2B5EF4-FFF2-40B4-BE49-F238E27FC236}">
              <a16:creationId xmlns:a16="http://schemas.microsoft.com/office/drawing/2014/main" id="{00000000-0008-0000-2300-0000A208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67747" name="Picture 3" descr="C:\WINDOWS\TEMP\Symbol.gif">
          <a:extLst>
            <a:ext uri="{FF2B5EF4-FFF2-40B4-BE49-F238E27FC236}">
              <a16:creationId xmlns:a16="http://schemas.microsoft.com/office/drawing/2014/main" id="{00000000-0008-0000-2300-0000A308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67748" name="Picture 4" descr="C:\WINDOWS\TEMP\Symbol.gif">
          <a:extLst>
            <a:ext uri="{FF2B5EF4-FFF2-40B4-BE49-F238E27FC236}">
              <a16:creationId xmlns:a16="http://schemas.microsoft.com/office/drawing/2014/main" id="{00000000-0008-0000-2300-0000A408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7749" name="Picture 5" descr="C:\WINDOWS\TEMP\~0003946.gif">
          <a:extLst>
            <a:ext uri="{FF2B5EF4-FFF2-40B4-BE49-F238E27FC236}">
              <a16:creationId xmlns:a16="http://schemas.microsoft.com/office/drawing/2014/main" id="{00000000-0008-0000-2300-0000A508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67750" name="Picture 6" descr="C:\WINDOWS\TEMP\~0003946.gif">
          <a:extLst>
            <a:ext uri="{FF2B5EF4-FFF2-40B4-BE49-F238E27FC236}">
              <a16:creationId xmlns:a16="http://schemas.microsoft.com/office/drawing/2014/main" id="{00000000-0008-0000-2300-0000A608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67751" name="Picture 7" descr="C:\WINDOWS\TEMP\~0003946.gif">
          <a:extLst>
            <a:ext uri="{FF2B5EF4-FFF2-40B4-BE49-F238E27FC236}">
              <a16:creationId xmlns:a16="http://schemas.microsoft.com/office/drawing/2014/main" id="{00000000-0008-0000-2300-0000A708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67752" name="Picture 8" descr="C:\WINDOWS\TEMP\~0003946.gif">
          <a:extLst>
            <a:ext uri="{FF2B5EF4-FFF2-40B4-BE49-F238E27FC236}">
              <a16:creationId xmlns:a16="http://schemas.microsoft.com/office/drawing/2014/main" id="{00000000-0008-0000-2300-0000A808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67753" name="Picture 9" descr="C:\WINDOWS\TEMP\~0003946.gif">
          <a:extLst>
            <a:ext uri="{FF2B5EF4-FFF2-40B4-BE49-F238E27FC236}">
              <a16:creationId xmlns:a16="http://schemas.microsoft.com/office/drawing/2014/main" id="{00000000-0008-0000-2300-0000A908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67754" name="Picture 10" descr="C:\WINDOWS\TEMP\~0003946.gif">
          <a:extLst>
            <a:ext uri="{FF2B5EF4-FFF2-40B4-BE49-F238E27FC236}">
              <a16:creationId xmlns:a16="http://schemas.microsoft.com/office/drawing/2014/main" id="{00000000-0008-0000-2300-0000AA08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67755" name="Picture 11" descr="C:\WINDOWS\TEMP\~0003946.gif">
          <a:extLst>
            <a:ext uri="{FF2B5EF4-FFF2-40B4-BE49-F238E27FC236}">
              <a16:creationId xmlns:a16="http://schemas.microsoft.com/office/drawing/2014/main" id="{00000000-0008-0000-2300-0000AB08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67756" name="Picture 12" descr="C:\WINDOWS\TEMP\~0003946.gif">
          <a:extLst>
            <a:ext uri="{FF2B5EF4-FFF2-40B4-BE49-F238E27FC236}">
              <a16:creationId xmlns:a16="http://schemas.microsoft.com/office/drawing/2014/main" id="{00000000-0008-0000-2300-0000AC08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67757" name="Picture 13" descr="logoMTL">
          <a:extLst>
            <a:ext uri="{FF2B5EF4-FFF2-40B4-BE49-F238E27FC236}">
              <a16:creationId xmlns:a16="http://schemas.microsoft.com/office/drawing/2014/main" id="{00000000-0008-0000-2300-0000AD08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67758" name="Picture 14" descr="logoMTL">
          <a:extLst>
            <a:ext uri="{FF2B5EF4-FFF2-40B4-BE49-F238E27FC236}">
              <a16:creationId xmlns:a16="http://schemas.microsoft.com/office/drawing/2014/main" id="{00000000-0008-0000-2300-0000AE08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67759" name="Picture 15" descr="logoMTL">
          <a:extLst>
            <a:ext uri="{FF2B5EF4-FFF2-40B4-BE49-F238E27FC236}">
              <a16:creationId xmlns:a16="http://schemas.microsoft.com/office/drawing/2014/main" id="{00000000-0008-0000-2300-0000AF08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67760" name="Picture 16" descr="logoMTL">
          <a:extLst>
            <a:ext uri="{FF2B5EF4-FFF2-40B4-BE49-F238E27FC236}">
              <a16:creationId xmlns:a16="http://schemas.microsoft.com/office/drawing/2014/main" id="{00000000-0008-0000-2300-0000B008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36801" name="Picture 1" descr="C:\WINDOWS\TEMP\Symbol.gif">
          <a:extLst>
            <a:ext uri="{FF2B5EF4-FFF2-40B4-BE49-F238E27FC236}">
              <a16:creationId xmlns:a16="http://schemas.microsoft.com/office/drawing/2014/main" id="{00000000-0008-0000-0300-0000C1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128</xdr:row>
      <xdr:rowOff>161925</xdr:rowOff>
    </xdr:from>
    <xdr:to>
      <xdr:col>1</xdr:col>
      <xdr:colOff>28575</xdr:colOff>
      <xdr:row>129</xdr:row>
      <xdr:rowOff>200025</xdr:rowOff>
    </xdr:to>
    <xdr:pic>
      <xdr:nvPicPr>
        <xdr:cNvPr id="36802" name="Picture 2" descr="C:\WINDOWS\TEMP\Symbol.gif">
          <a:extLst>
            <a:ext uri="{FF2B5EF4-FFF2-40B4-BE49-F238E27FC236}">
              <a16:creationId xmlns:a16="http://schemas.microsoft.com/office/drawing/2014/main" id="{00000000-0008-0000-0300-0000C2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17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184</xdr:row>
      <xdr:rowOff>171450</xdr:rowOff>
    </xdr:from>
    <xdr:to>
      <xdr:col>1</xdr:col>
      <xdr:colOff>47625</xdr:colOff>
      <xdr:row>185</xdr:row>
      <xdr:rowOff>209550</xdr:rowOff>
    </xdr:to>
    <xdr:pic>
      <xdr:nvPicPr>
        <xdr:cNvPr id="36803" name="Picture 3" descr="C:\WINDOWS\TEMP\Symbol.gif">
          <a:extLst>
            <a:ext uri="{FF2B5EF4-FFF2-40B4-BE49-F238E27FC236}">
              <a16:creationId xmlns:a16="http://schemas.microsoft.com/office/drawing/2014/main" id="{00000000-0008-0000-0300-0000C3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604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36804" name="Picture 4" descr="C:\WINDOWS\TEMP\Symbol.gif">
          <a:extLst>
            <a:ext uri="{FF2B5EF4-FFF2-40B4-BE49-F238E27FC236}">
              <a16:creationId xmlns:a16="http://schemas.microsoft.com/office/drawing/2014/main" id="{00000000-0008-0000-0300-0000C4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68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264</xdr:row>
      <xdr:rowOff>123825</xdr:rowOff>
    </xdr:from>
    <xdr:to>
      <xdr:col>18</xdr:col>
      <xdr:colOff>1895475</xdr:colOff>
      <xdr:row>265</xdr:row>
      <xdr:rowOff>152400</xdr:rowOff>
    </xdr:to>
    <xdr:pic>
      <xdr:nvPicPr>
        <xdr:cNvPr id="36805" name="Picture 5" descr="C:\WINDOWS\TEMP\~0003946.gif">
          <a:extLst>
            <a:ext uri="{FF2B5EF4-FFF2-40B4-BE49-F238E27FC236}">
              <a16:creationId xmlns:a16="http://schemas.microsoft.com/office/drawing/2014/main" id="{00000000-0008-0000-0300-0000C5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5364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184</xdr:row>
      <xdr:rowOff>152400</xdr:rowOff>
    </xdr:from>
    <xdr:to>
      <xdr:col>18</xdr:col>
      <xdr:colOff>1924050</xdr:colOff>
      <xdr:row>185</xdr:row>
      <xdr:rowOff>180975</xdr:rowOff>
    </xdr:to>
    <xdr:pic>
      <xdr:nvPicPr>
        <xdr:cNvPr id="36806" name="Picture 6" descr="C:\WINDOWS\TEMP\~0003946.gif">
          <a:extLst>
            <a:ext uri="{FF2B5EF4-FFF2-40B4-BE49-F238E27FC236}">
              <a16:creationId xmlns:a16="http://schemas.microsoft.com/office/drawing/2014/main" id="{00000000-0008-0000-0300-0000C6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37585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128</xdr:row>
      <xdr:rowOff>161925</xdr:rowOff>
    </xdr:from>
    <xdr:to>
      <xdr:col>18</xdr:col>
      <xdr:colOff>1952625</xdr:colOff>
      <xdr:row>129</xdr:row>
      <xdr:rowOff>190500</xdr:rowOff>
    </xdr:to>
    <xdr:pic>
      <xdr:nvPicPr>
        <xdr:cNvPr id="36807" name="Picture 7" descr="C:\WINDOWS\TEMP\~0003946.gif">
          <a:extLst>
            <a:ext uri="{FF2B5EF4-FFF2-40B4-BE49-F238E27FC236}">
              <a16:creationId xmlns:a16="http://schemas.microsoft.com/office/drawing/2014/main" id="{00000000-0008-0000-0300-0000C7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2631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36808" name="Picture 8" descr="C:\WINDOWS\TEMP\~0003946.gif">
          <a:extLst>
            <a:ext uri="{FF2B5EF4-FFF2-40B4-BE49-F238E27FC236}">
              <a16:creationId xmlns:a16="http://schemas.microsoft.com/office/drawing/2014/main" id="{00000000-0008-0000-0300-0000C8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36809" name="Picture 9" descr="C:\WINDOWS\TEMP\~0003946.gif">
          <a:extLst>
            <a:ext uri="{FF2B5EF4-FFF2-40B4-BE49-F238E27FC236}">
              <a16:creationId xmlns:a16="http://schemas.microsoft.com/office/drawing/2014/main" id="{00000000-0008-0000-0300-0000C9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128</xdr:row>
      <xdr:rowOff>123825</xdr:rowOff>
    </xdr:from>
    <xdr:to>
      <xdr:col>18</xdr:col>
      <xdr:colOff>895350</xdr:colOff>
      <xdr:row>129</xdr:row>
      <xdr:rowOff>152400</xdr:rowOff>
    </xdr:to>
    <xdr:pic>
      <xdr:nvPicPr>
        <xdr:cNvPr id="36810" name="Picture 10" descr="C:\WINDOWS\TEMP\~0003946.gif">
          <a:extLst>
            <a:ext uri="{FF2B5EF4-FFF2-40B4-BE49-F238E27FC236}">
              <a16:creationId xmlns:a16="http://schemas.microsoft.com/office/drawing/2014/main" id="{00000000-0008-0000-0300-0000CA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60025" y="26279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184</xdr:row>
      <xdr:rowOff>104775</xdr:rowOff>
    </xdr:from>
    <xdr:to>
      <xdr:col>18</xdr:col>
      <xdr:colOff>809625</xdr:colOff>
      <xdr:row>185</xdr:row>
      <xdr:rowOff>133350</xdr:rowOff>
    </xdr:to>
    <xdr:pic>
      <xdr:nvPicPr>
        <xdr:cNvPr id="36811" name="Picture 11" descr="C:\WINDOWS\TEMP\~0003946.gif">
          <a:extLst>
            <a:ext uri="{FF2B5EF4-FFF2-40B4-BE49-F238E27FC236}">
              <a16:creationId xmlns:a16="http://schemas.microsoft.com/office/drawing/2014/main" id="{00000000-0008-0000-0300-0000CB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74300" y="37538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264</xdr:row>
      <xdr:rowOff>104775</xdr:rowOff>
    </xdr:from>
    <xdr:to>
      <xdr:col>18</xdr:col>
      <xdr:colOff>895350</xdr:colOff>
      <xdr:row>265</xdr:row>
      <xdr:rowOff>133350</xdr:rowOff>
    </xdr:to>
    <xdr:pic>
      <xdr:nvPicPr>
        <xdr:cNvPr id="36812" name="Picture 12" descr="C:\WINDOWS\TEMP\~0003946.gif">
          <a:extLst>
            <a:ext uri="{FF2B5EF4-FFF2-40B4-BE49-F238E27FC236}">
              <a16:creationId xmlns:a16="http://schemas.microsoft.com/office/drawing/2014/main" id="{00000000-0008-0000-0300-0000CC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60025" y="5362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36813" name="Picture 13" descr="logoMTL">
          <a:extLst>
            <a:ext uri="{FF2B5EF4-FFF2-40B4-BE49-F238E27FC236}">
              <a16:creationId xmlns:a16="http://schemas.microsoft.com/office/drawing/2014/main" id="{00000000-0008-0000-0300-0000CD8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55150"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128</xdr:row>
      <xdr:rowOff>38100</xdr:rowOff>
    </xdr:from>
    <xdr:to>
      <xdr:col>17</xdr:col>
      <xdr:colOff>1171575</xdr:colOff>
      <xdr:row>129</xdr:row>
      <xdr:rowOff>161925</xdr:rowOff>
    </xdr:to>
    <xdr:pic>
      <xdr:nvPicPr>
        <xdr:cNvPr id="36814" name="Picture 14" descr="logoMTL">
          <a:extLst>
            <a:ext uri="{FF2B5EF4-FFF2-40B4-BE49-F238E27FC236}">
              <a16:creationId xmlns:a16="http://schemas.microsoft.com/office/drawing/2014/main" id="{00000000-0008-0000-0300-0000CE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2619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184</xdr:row>
      <xdr:rowOff>28575</xdr:rowOff>
    </xdr:from>
    <xdr:to>
      <xdr:col>17</xdr:col>
      <xdr:colOff>1171575</xdr:colOff>
      <xdr:row>185</xdr:row>
      <xdr:rowOff>152400</xdr:rowOff>
    </xdr:to>
    <xdr:pic>
      <xdr:nvPicPr>
        <xdr:cNvPr id="36815" name="Picture 15" descr="logoMTL">
          <a:extLst>
            <a:ext uri="{FF2B5EF4-FFF2-40B4-BE49-F238E27FC236}">
              <a16:creationId xmlns:a16="http://schemas.microsoft.com/office/drawing/2014/main" id="{00000000-0008-0000-0300-0000CF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37461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264</xdr:row>
      <xdr:rowOff>0</xdr:rowOff>
    </xdr:from>
    <xdr:to>
      <xdr:col>17</xdr:col>
      <xdr:colOff>1228725</xdr:colOff>
      <xdr:row>265</xdr:row>
      <xdr:rowOff>123825</xdr:rowOff>
    </xdr:to>
    <xdr:pic>
      <xdr:nvPicPr>
        <xdr:cNvPr id="36816" name="Picture 16" descr="logoMTL">
          <a:extLst>
            <a:ext uri="{FF2B5EF4-FFF2-40B4-BE49-F238E27FC236}">
              <a16:creationId xmlns:a16="http://schemas.microsoft.com/office/drawing/2014/main" id="{00000000-0008-0000-0300-0000D0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26575" y="5352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B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C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C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D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E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E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E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E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E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E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E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E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 name="Picture 4" descr="C:\WINDOWS\TEMP\Symbol.gif">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278</xdr:row>
      <xdr:rowOff>123825</xdr:rowOff>
    </xdr:from>
    <xdr:to>
      <xdr:col>18</xdr:col>
      <xdr:colOff>1895475</xdr:colOff>
      <xdr:row>279</xdr:row>
      <xdr:rowOff>152400</xdr:rowOff>
    </xdr:to>
    <xdr:pic>
      <xdr:nvPicPr>
        <xdr:cNvPr id="6" name="Picture 5" descr="C:\WINDOWS\TEMP\~0003946.gif">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278</xdr:row>
      <xdr:rowOff>104775</xdr:rowOff>
    </xdr:from>
    <xdr:to>
      <xdr:col>18</xdr:col>
      <xdr:colOff>895350</xdr:colOff>
      <xdr:row>279</xdr:row>
      <xdr:rowOff>133350</xdr:rowOff>
    </xdr:to>
    <xdr:pic>
      <xdr:nvPicPr>
        <xdr:cNvPr id="13" name="Picture 12" descr="C:\WINDOWS\TEMP\~0003946.gif">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2F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2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2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278</xdr:row>
      <xdr:rowOff>0</xdr:rowOff>
    </xdr:from>
    <xdr:to>
      <xdr:col>17</xdr:col>
      <xdr:colOff>1228725</xdr:colOff>
      <xdr:row>279</xdr:row>
      <xdr:rowOff>123825</xdr:rowOff>
    </xdr:to>
    <xdr:pic>
      <xdr:nvPicPr>
        <xdr:cNvPr id="17" name="Picture 16" descr="logoMTL">
          <a:extLst>
            <a:ext uri="{FF2B5EF4-FFF2-40B4-BE49-F238E27FC236}">
              <a16:creationId xmlns:a16="http://schemas.microsoft.com/office/drawing/2014/main" id="{00000000-0008-0000-2F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00000000-0008-0000-3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5" name="Picture 4" descr="C:\WINDOWS\TEMP\Symbol.gif">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559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277</xdr:row>
      <xdr:rowOff>123825</xdr:rowOff>
    </xdr:from>
    <xdr:to>
      <xdr:col>18</xdr:col>
      <xdr:colOff>1895475</xdr:colOff>
      <xdr:row>278</xdr:row>
      <xdr:rowOff>152400</xdr:rowOff>
    </xdr:to>
    <xdr:pic>
      <xdr:nvPicPr>
        <xdr:cNvPr id="6" name="Picture 5" descr="C:\WINDOWS\TEMP\~0003946.gif">
          <a:extLst>
            <a:ext uri="{FF2B5EF4-FFF2-40B4-BE49-F238E27FC236}">
              <a16:creationId xmlns:a16="http://schemas.microsoft.com/office/drawing/2014/main" id="{00000000-0008-0000-3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521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00000000-0008-0000-3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00000000-0008-0000-3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3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00000000-0008-0000-3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277</xdr:row>
      <xdr:rowOff>104775</xdr:rowOff>
    </xdr:from>
    <xdr:to>
      <xdr:col>18</xdr:col>
      <xdr:colOff>895350</xdr:colOff>
      <xdr:row>278</xdr:row>
      <xdr:rowOff>133350</xdr:rowOff>
    </xdr:to>
    <xdr:pic>
      <xdr:nvPicPr>
        <xdr:cNvPr id="13" name="Picture 12" descr="C:\WINDOWS\TEMP\~0003946.gif">
          <a:extLst>
            <a:ext uri="{FF2B5EF4-FFF2-40B4-BE49-F238E27FC236}">
              <a16:creationId xmlns:a16="http://schemas.microsoft.com/office/drawing/2014/main" id="{00000000-0008-0000-3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502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00000000-0008-0000-30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00000000-0008-0000-3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0000000-0008-0000-3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123826</xdr:rowOff>
    </xdr:to>
    <xdr:pic>
      <xdr:nvPicPr>
        <xdr:cNvPr id="17" name="Picture 16" descr="logoMTL">
          <a:extLst>
            <a:ext uri="{FF2B5EF4-FFF2-40B4-BE49-F238E27FC236}">
              <a16:creationId xmlns:a16="http://schemas.microsoft.com/office/drawing/2014/main" id="{00000000-0008-0000-3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397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37825" name="Picture 1" descr="C:\WINDOWS\TEMP\Symbol.gif">
          <a:extLst>
            <a:ext uri="{FF2B5EF4-FFF2-40B4-BE49-F238E27FC236}">
              <a16:creationId xmlns:a16="http://schemas.microsoft.com/office/drawing/2014/main" id="{00000000-0008-0000-0400-0000C1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128</xdr:row>
      <xdr:rowOff>161925</xdr:rowOff>
    </xdr:from>
    <xdr:to>
      <xdr:col>1</xdr:col>
      <xdr:colOff>28575</xdr:colOff>
      <xdr:row>129</xdr:row>
      <xdr:rowOff>200025</xdr:rowOff>
    </xdr:to>
    <xdr:pic>
      <xdr:nvPicPr>
        <xdr:cNvPr id="37826" name="Picture 2" descr="C:\WINDOWS\TEMP\Symbol.gif">
          <a:extLst>
            <a:ext uri="{FF2B5EF4-FFF2-40B4-BE49-F238E27FC236}">
              <a16:creationId xmlns:a16="http://schemas.microsoft.com/office/drawing/2014/main" id="{00000000-0008-0000-0400-0000C2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17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184</xdr:row>
      <xdr:rowOff>171450</xdr:rowOff>
    </xdr:from>
    <xdr:to>
      <xdr:col>1</xdr:col>
      <xdr:colOff>47625</xdr:colOff>
      <xdr:row>185</xdr:row>
      <xdr:rowOff>209550</xdr:rowOff>
    </xdr:to>
    <xdr:pic>
      <xdr:nvPicPr>
        <xdr:cNvPr id="37827" name="Picture 3" descr="C:\WINDOWS\TEMP\Symbol.gif">
          <a:extLst>
            <a:ext uri="{FF2B5EF4-FFF2-40B4-BE49-F238E27FC236}">
              <a16:creationId xmlns:a16="http://schemas.microsoft.com/office/drawing/2014/main" id="{00000000-0008-0000-0400-0000C3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604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37828" name="Picture 4" descr="C:\WINDOWS\TEMP\Symbol.gif">
          <a:extLst>
            <a:ext uri="{FF2B5EF4-FFF2-40B4-BE49-F238E27FC236}">
              <a16:creationId xmlns:a16="http://schemas.microsoft.com/office/drawing/2014/main" id="{00000000-0008-0000-0400-0000C4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68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264</xdr:row>
      <xdr:rowOff>123825</xdr:rowOff>
    </xdr:from>
    <xdr:to>
      <xdr:col>18</xdr:col>
      <xdr:colOff>1895475</xdr:colOff>
      <xdr:row>265</xdr:row>
      <xdr:rowOff>152400</xdr:rowOff>
    </xdr:to>
    <xdr:pic>
      <xdr:nvPicPr>
        <xdr:cNvPr id="37829" name="Picture 5" descr="C:\WINDOWS\TEMP\~0003946.gif">
          <a:extLst>
            <a:ext uri="{FF2B5EF4-FFF2-40B4-BE49-F238E27FC236}">
              <a16:creationId xmlns:a16="http://schemas.microsoft.com/office/drawing/2014/main" id="{00000000-0008-0000-0400-0000C5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5364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184</xdr:row>
      <xdr:rowOff>152400</xdr:rowOff>
    </xdr:from>
    <xdr:to>
      <xdr:col>18</xdr:col>
      <xdr:colOff>1924050</xdr:colOff>
      <xdr:row>185</xdr:row>
      <xdr:rowOff>180975</xdr:rowOff>
    </xdr:to>
    <xdr:pic>
      <xdr:nvPicPr>
        <xdr:cNvPr id="37830" name="Picture 6" descr="C:\WINDOWS\TEMP\~0003946.gif">
          <a:extLst>
            <a:ext uri="{FF2B5EF4-FFF2-40B4-BE49-F238E27FC236}">
              <a16:creationId xmlns:a16="http://schemas.microsoft.com/office/drawing/2014/main" id="{00000000-0008-0000-0400-0000C6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37585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128</xdr:row>
      <xdr:rowOff>161925</xdr:rowOff>
    </xdr:from>
    <xdr:to>
      <xdr:col>18</xdr:col>
      <xdr:colOff>1952625</xdr:colOff>
      <xdr:row>129</xdr:row>
      <xdr:rowOff>190500</xdr:rowOff>
    </xdr:to>
    <xdr:pic>
      <xdr:nvPicPr>
        <xdr:cNvPr id="37831" name="Picture 7" descr="C:\WINDOWS\TEMP\~0003946.gif">
          <a:extLst>
            <a:ext uri="{FF2B5EF4-FFF2-40B4-BE49-F238E27FC236}">
              <a16:creationId xmlns:a16="http://schemas.microsoft.com/office/drawing/2014/main" id="{00000000-0008-0000-0400-0000C7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2631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37832" name="Picture 8" descr="C:\WINDOWS\TEMP\~0003946.gif">
          <a:extLst>
            <a:ext uri="{FF2B5EF4-FFF2-40B4-BE49-F238E27FC236}">
              <a16:creationId xmlns:a16="http://schemas.microsoft.com/office/drawing/2014/main" id="{00000000-0008-0000-0400-0000C8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974425"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37833" name="Picture 9" descr="C:\WINDOWS\TEMP\~0003946.gif">
          <a:extLst>
            <a:ext uri="{FF2B5EF4-FFF2-40B4-BE49-F238E27FC236}">
              <a16:creationId xmlns:a16="http://schemas.microsoft.com/office/drawing/2014/main" id="{00000000-0008-0000-0400-0000C9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128</xdr:row>
      <xdr:rowOff>123825</xdr:rowOff>
    </xdr:from>
    <xdr:to>
      <xdr:col>18</xdr:col>
      <xdr:colOff>895350</xdr:colOff>
      <xdr:row>129</xdr:row>
      <xdr:rowOff>152400</xdr:rowOff>
    </xdr:to>
    <xdr:pic>
      <xdr:nvPicPr>
        <xdr:cNvPr id="37834" name="Picture 10" descr="C:\WINDOWS\TEMP\~0003946.gif">
          <a:extLst>
            <a:ext uri="{FF2B5EF4-FFF2-40B4-BE49-F238E27FC236}">
              <a16:creationId xmlns:a16="http://schemas.microsoft.com/office/drawing/2014/main" id="{00000000-0008-0000-0400-0000CA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60025" y="26279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184</xdr:row>
      <xdr:rowOff>104775</xdr:rowOff>
    </xdr:from>
    <xdr:to>
      <xdr:col>18</xdr:col>
      <xdr:colOff>809625</xdr:colOff>
      <xdr:row>185</xdr:row>
      <xdr:rowOff>133350</xdr:rowOff>
    </xdr:to>
    <xdr:pic>
      <xdr:nvPicPr>
        <xdr:cNvPr id="37835" name="Picture 11" descr="C:\WINDOWS\TEMP\~0003946.gif">
          <a:extLst>
            <a:ext uri="{FF2B5EF4-FFF2-40B4-BE49-F238E27FC236}">
              <a16:creationId xmlns:a16="http://schemas.microsoft.com/office/drawing/2014/main" id="{00000000-0008-0000-0400-0000CB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74300" y="37538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264</xdr:row>
      <xdr:rowOff>104775</xdr:rowOff>
    </xdr:from>
    <xdr:to>
      <xdr:col>18</xdr:col>
      <xdr:colOff>895350</xdr:colOff>
      <xdr:row>265</xdr:row>
      <xdr:rowOff>133350</xdr:rowOff>
    </xdr:to>
    <xdr:pic>
      <xdr:nvPicPr>
        <xdr:cNvPr id="37836" name="Picture 12" descr="C:\WINDOWS\TEMP\~0003946.gif">
          <a:extLst>
            <a:ext uri="{FF2B5EF4-FFF2-40B4-BE49-F238E27FC236}">
              <a16:creationId xmlns:a16="http://schemas.microsoft.com/office/drawing/2014/main" id="{00000000-0008-0000-0400-0000CC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60025" y="5362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37837" name="Picture 13" descr="logoMTL">
          <a:extLst>
            <a:ext uri="{FF2B5EF4-FFF2-40B4-BE49-F238E27FC236}">
              <a16:creationId xmlns:a16="http://schemas.microsoft.com/office/drawing/2014/main" id="{00000000-0008-0000-0400-0000CD9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55150"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128</xdr:row>
      <xdr:rowOff>38100</xdr:rowOff>
    </xdr:from>
    <xdr:to>
      <xdr:col>17</xdr:col>
      <xdr:colOff>1171575</xdr:colOff>
      <xdr:row>129</xdr:row>
      <xdr:rowOff>161925</xdr:rowOff>
    </xdr:to>
    <xdr:pic>
      <xdr:nvPicPr>
        <xdr:cNvPr id="37838" name="Picture 14" descr="logoMTL">
          <a:extLst>
            <a:ext uri="{FF2B5EF4-FFF2-40B4-BE49-F238E27FC236}">
              <a16:creationId xmlns:a16="http://schemas.microsoft.com/office/drawing/2014/main" id="{00000000-0008-0000-0400-0000CE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2619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184</xdr:row>
      <xdr:rowOff>28575</xdr:rowOff>
    </xdr:from>
    <xdr:to>
      <xdr:col>17</xdr:col>
      <xdr:colOff>1171575</xdr:colOff>
      <xdr:row>185</xdr:row>
      <xdr:rowOff>152400</xdr:rowOff>
    </xdr:to>
    <xdr:pic>
      <xdr:nvPicPr>
        <xdr:cNvPr id="37839" name="Picture 15" descr="logoMTL">
          <a:extLst>
            <a:ext uri="{FF2B5EF4-FFF2-40B4-BE49-F238E27FC236}">
              <a16:creationId xmlns:a16="http://schemas.microsoft.com/office/drawing/2014/main" id="{00000000-0008-0000-0400-0000CF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37461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264</xdr:row>
      <xdr:rowOff>0</xdr:rowOff>
    </xdr:from>
    <xdr:to>
      <xdr:col>17</xdr:col>
      <xdr:colOff>1228725</xdr:colOff>
      <xdr:row>265</xdr:row>
      <xdr:rowOff>123825</xdr:rowOff>
    </xdr:to>
    <xdr:pic>
      <xdr:nvPicPr>
        <xdr:cNvPr id="37840" name="Picture 16" descr="logoMTL">
          <a:extLst>
            <a:ext uri="{FF2B5EF4-FFF2-40B4-BE49-F238E27FC236}">
              <a16:creationId xmlns:a16="http://schemas.microsoft.com/office/drawing/2014/main" id="{00000000-0008-0000-0400-0000D0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26575" y="5352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2" name="Picture 1" descr="C:\WINDOWS\TEMP\Symbol.gif">
          <a:extLst>
            <a:ext uri="{FF2B5EF4-FFF2-40B4-BE49-F238E27FC236}">
              <a16:creationId xmlns:a16="http://schemas.microsoft.com/office/drawing/2014/main" id="{287D1627-A3B5-4C44-9676-A715534EBA8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EE8BBEBD-AEFA-4194-A662-C35DC2D96E7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4" name="Picture 3" descr="C:\WINDOWS\TEMP\Symbol.gif">
          <a:extLst>
            <a:ext uri="{FF2B5EF4-FFF2-40B4-BE49-F238E27FC236}">
              <a16:creationId xmlns:a16="http://schemas.microsoft.com/office/drawing/2014/main" id="{4CABE24B-E796-4834-BD61-AE8B421DA62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5" name="Picture 4" descr="C:\WINDOWS\TEMP\Symbol.gif">
          <a:extLst>
            <a:ext uri="{FF2B5EF4-FFF2-40B4-BE49-F238E27FC236}">
              <a16:creationId xmlns:a16="http://schemas.microsoft.com/office/drawing/2014/main" id="{E0112353-A6F4-4766-B3E3-508A4715FAC9}"/>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3594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277</xdr:row>
      <xdr:rowOff>123825</xdr:rowOff>
    </xdr:from>
    <xdr:to>
      <xdr:col>18</xdr:col>
      <xdr:colOff>1895475</xdr:colOff>
      <xdr:row>278</xdr:row>
      <xdr:rowOff>152400</xdr:rowOff>
    </xdr:to>
    <xdr:pic>
      <xdr:nvPicPr>
        <xdr:cNvPr id="6" name="Picture 5" descr="C:\WINDOWS\TEMP\~0003946.gif">
          <a:extLst>
            <a:ext uri="{FF2B5EF4-FFF2-40B4-BE49-F238E27FC236}">
              <a16:creationId xmlns:a16="http://schemas.microsoft.com/office/drawing/2014/main" id="{CD394CDE-AAD5-4C40-9C2A-C3CA85866656}"/>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7FF5617B-A323-4C13-AD57-F5CE91FD3D96}"/>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5A7D547D-7785-4FB2-A9B3-B9F7961979D9}"/>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683A4647-6185-4AD0-A123-9B56B0C77BEE}"/>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10" name="Picture 9" descr="C:\WINDOWS\TEMP\~0003946.gif">
          <a:extLst>
            <a:ext uri="{FF2B5EF4-FFF2-40B4-BE49-F238E27FC236}">
              <a16:creationId xmlns:a16="http://schemas.microsoft.com/office/drawing/2014/main" id="{344C5755-559F-474D-8E06-2C5798D612F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130</xdr:row>
      <xdr:rowOff>123825</xdr:rowOff>
    </xdr:from>
    <xdr:to>
      <xdr:col>18</xdr:col>
      <xdr:colOff>895350</xdr:colOff>
      <xdr:row>131</xdr:row>
      <xdr:rowOff>152400</xdr:rowOff>
    </xdr:to>
    <xdr:pic>
      <xdr:nvPicPr>
        <xdr:cNvPr id="11" name="Picture 10" descr="C:\WINDOWS\TEMP\~0003946.gif">
          <a:extLst>
            <a:ext uri="{FF2B5EF4-FFF2-40B4-BE49-F238E27FC236}">
              <a16:creationId xmlns:a16="http://schemas.microsoft.com/office/drawing/2014/main" id="{87B32BA6-8E6E-4BE4-AD5A-42789A26A7C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187</xdr:row>
      <xdr:rowOff>104775</xdr:rowOff>
    </xdr:from>
    <xdr:to>
      <xdr:col>18</xdr:col>
      <xdr:colOff>809625</xdr:colOff>
      <xdr:row>188</xdr:row>
      <xdr:rowOff>133350</xdr:rowOff>
    </xdr:to>
    <xdr:pic>
      <xdr:nvPicPr>
        <xdr:cNvPr id="12" name="Picture 11" descr="C:\WINDOWS\TEMP\~0003946.gif">
          <a:extLst>
            <a:ext uri="{FF2B5EF4-FFF2-40B4-BE49-F238E27FC236}">
              <a16:creationId xmlns:a16="http://schemas.microsoft.com/office/drawing/2014/main" id="{C129F0A7-D54B-48C8-BB55-B2D5EF6C852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5644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277</xdr:row>
      <xdr:rowOff>104775</xdr:rowOff>
    </xdr:from>
    <xdr:to>
      <xdr:col>18</xdr:col>
      <xdr:colOff>895350</xdr:colOff>
      <xdr:row>278</xdr:row>
      <xdr:rowOff>133350</xdr:rowOff>
    </xdr:to>
    <xdr:pic>
      <xdr:nvPicPr>
        <xdr:cNvPr id="13" name="Picture 12" descr="C:\WINDOWS\TEMP\~0003946.gif">
          <a:extLst>
            <a:ext uri="{FF2B5EF4-FFF2-40B4-BE49-F238E27FC236}">
              <a16:creationId xmlns:a16="http://schemas.microsoft.com/office/drawing/2014/main" id="{42537B87-E3DB-4DF6-9261-8D0647CBF03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0650200" y="56302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14" name="Picture 13" descr="logoMTL">
          <a:extLst>
            <a:ext uri="{FF2B5EF4-FFF2-40B4-BE49-F238E27FC236}">
              <a16:creationId xmlns:a16="http://schemas.microsoft.com/office/drawing/2014/main" id="{6915EC4F-BDF3-4DF6-AFA4-144C7BF8B46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130</xdr:row>
      <xdr:rowOff>38100</xdr:rowOff>
    </xdr:from>
    <xdr:to>
      <xdr:col>17</xdr:col>
      <xdr:colOff>1171575</xdr:colOff>
      <xdr:row>131</xdr:row>
      <xdr:rowOff>161925</xdr:rowOff>
    </xdr:to>
    <xdr:pic>
      <xdr:nvPicPr>
        <xdr:cNvPr id="15" name="Picture 14" descr="logoMTL">
          <a:extLst>
            <a:ext uri="{FF2B5EF4-FFF2-40B4-BE49-F238E27FC236}">
              <a16:creationId xmlns:a16="http://schemas.microsoft.com/office/drawing/2014/main" id="{9FBF83EA-A0A5-43C9-A220-8C06EC73D2D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187</xdr:row>
      <xdr:rowOff>28575</xdr:rowOff>
    </xdr:from>
    <xdr:to>
      <xdr:col>17</xdr:col>
      <xdr:colOff>1171575</xdr:colOff>
      <xdr:row>188</xdr:row>
      <xdr:rowOff>152400</xdr:rowOff>
    </xdr:to>
    <xdr:pic>
      <xdr:nvPicPr>
        <xdr:cNvPr id="16" name="Picture 15" descr="logoMTL">
          <a:extLst>
            <a:ext uri="{FF2B5EF4-FFF2-40B4-BE49-F238E27FC236}">
              <a16:creationId xmlns:a16="http://schemas.microsoft.com/office/drawing/2014/main" id="{021D2611-4BAC-46FA-A636-2EB1B5FC5B8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691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277</xdr:row>
      <xdr:rowOff>0</xdr:rowOff>
    </xdr:from>
    <xdr:to>
      <xdr:col>17</xdr:col>
      <xdr:colOff>1228725</xdr:colOff>
      <xdr:row>278</xdr:row>
      <xdr:rowOff>123826</xdr:rowOff>
    </xdr:to>
    <xdr:pic>
      <xdr:nvPicPr>
        <xdr:cNvPr id="17" name="Picture 16" descr="logoMTL">
          <a:extLst>
            <a:ext uri="{FF2B5EF4-FFF2-40B4-BE49-F238E27FC236}">
              <a16:creationId xmlns:a16="http://schemas.microsoft.com/office/drawing/2014/main" id="{2525596F-3DC7-44CE-BD78-55AB839319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0" y="56197500"/>
          <a:ext cx="809625" cy="323851"/>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18</xdr:col>
      <xdr:colOff>1095375</xdr:colOff>
      <xdr:row>277</xdr:row>
      <xdr:rowOff>123825</xdr:rowOff>
    </xdr:from>
    <xdr:to>
      <xdr:col>18</xdr:col>
      <xdr:colOff>1895475</xdr:colOff>
      <xdr:row>278</xdr:row>
      <xdr:rowOff>152400</xdr:rowOff>
    </xdr:to>
    <xdr:pic>
      <xdr:nvPicPr>
        <xdr:cNvPr id="6" name="Picture 5" descr="C:\WINDOWS\TEMP\~0003946.gif">
          <a:extLst>
            <a:ext uri="{FF2B5EF4-FFF2-40B4-BE49-F238E27FC236}">
              <a16:creationId xmlns:a16="http://schemas.microsoft.com/office/drawing/2014/main" id="{840D4FDD-CFEC-4087-BE16-89DCF2BE45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56321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187</xdr:row>
      <xdr:rowOff>152400</xdr:rowOff>
    </xdr:from>
    <xdr:to>
      <xdr:col>18</xdr:col>
      <xdr:colOff>1924050</xdr:colOff>
      <xdr:row>188</xdr:row>
      <xdr:rowOff>180975</xdr:rowOff>
    </xdr:to>
    <xdr:pic>
      <xdr:nvPicPr>
        <xdr:cNvPr id="7" name="Picture 6" descr="C:\WINDOWS\TEMP\~0003946.gif">
          <a:extLst>
            <a:ext uri="{FF2B5EF4-FFF2-40B4-BE49-F238E27FC236}">
              <a16:creationId xmlns:a16="http://schemas.microsoft.com/office/drawing/2014/main" id="{B1AEF881-6E8F-493C-8584-C9046D972FA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130</xdr:row>
      <xdr:rowOff>161925</xdr:rowOff>
    </xdr:from>
    <xdr:to>
      <xdr:col>18</xdr:col>
      <xdr:colOff>1952625</xdr:colOff>
      <xdr:row>131</xdr:row>
      <xdr:rowOff>190500</xdr:rowOff>
    </xdr:to>
    <xdr:pic>
      <xdr:nvPicPr>
        <xdr:cNvPr id="8" name="Picture 7" descr="C:\WINDOWS\TEMP\~0003946.gif">
          <a:extLst>
            <a:ext uri="{FF2B5EF4-FFF2-40B4-BE49-F238E27FC236}">
              <a16:creationId xmlns:a16="http://schemas.microsoft.com/office/drawing/2014/main" id="{CE52829B-1CA7-48F8-85B3-BB96D4930C4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9" name="Picture 8" descr="C:\WINDOWS\TEMP\~0003946.gif">
          <a:extLst>
            <a:ext uri="{FF2B5EF4-FFF2-40B4-BE49-F238E27FC236}">
              <a16:creationId xmlns:a16="http://schemas.microsoft.com/office/drawing/2014/main" id="{20B04920-FDAB-4701-8F4A-2B42337FEB2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176893</xdr:colOff>
      <xdr:row>60</xdr:row>
      <xdr:rowOff>122465</xdr:rowOff>
    </xdr:from>
    <xdr:to>
      <xdr:col>1</xdr:col>
      <xdr:colOff>8164</xdr:colOff>
      <xdr:row>61</xdr:row>
      <xdr:rowOff>146958</xdr:rowOff>
    </xdr:to>
    <xdr:pic>
      <xdr:nvPicPr>
        <xdr:cNvPr id="18" name="Picture 17" descr="C:\Users\gijulia\AppData\Local\Microsoft\Windows\INetCache\Content.Word\boomerangs (002).png">
          <a:extLst>
            <a:ext uri="{FF2B5EF4-FFF2-40B4-BE49-F238E27FC236}">
              <a16:creationId xmlns:a16="http://schemas.microsoft.com/office/drawing/2014/main" id="{3EDEA5E5-D81A-4E41-A86B-183B494BF65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93" y="12464144"/>
          <a:ext cx="171450" cy="228600"/>
        </a:xfrm>
        <a:prstGeom prst="rect">
          <a:avLst/>
        </a:prstGeom>
        <a:noFill/>
        <a:ln>
          <a:noFill/>
        </a:ln>
      </xdr:spPr>
    </xdr:pic>
    <xdr:clientData/>
  </xdr:twoCellAnchor>
  <xdr:twoCellAnchor editAs="oneCell">
    <xdr:from>
      <xdr:col>0</xdr:col>
      <xdr:colOff>136072</xdr:colOff>
      <xdr:row>130</xdr:row>
      <xdr:rowOff>108857</xdr:rowOff>
    </xdr:from>
    <xdr:to>
      <xdr:col>0</xdr:col>
      <xdr:colOff>307522</xdr:colOff>
      <xdr:row>131</xdr:row>
      <xdr:rowOff>133350</xdr:rowOff>
    </xdr:to>
    <xdr:pic>
      <xdr:nvPicPr>
        <xdr:cNvPr id="19" name="Picture 18" descr="C:\Users\gijulia\AppData\Local\Microsoft\Windows\INetCache\Content.Word\boomerangs (002).png">
          <a:extLst>
            <a:ext uri="{FF2B5EF4-FFF2-40B4-BE49-F238E27FC236}">
              <a16:creationId xmlns:a16="http://schemas.microsoft.com/office/drawing/2014/main" id="{294D8B1C-3B24-4AD6-90A6-FAAC25E6FC4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072" y="27173464"/>
          <a:ext cx="171450" cy="228600"/>
        </a:xfrm>
        <a:prstGeom prst="rect">
          <a:avLst/>
        </a:prstGeom>
        <a:noFill/>
        <a:ln>
          <a:noFill/>
        </a:ln>
      </xdr:spPr>
    </xdr:pic>
    <xdr:clientData/>
  </xdr:twoCellAnchor>
  <xdr:twoCellAnchor editAs="oneCell">
    <xdr:from>
      <xdr:col>0</xdr:col>
      <xdr:colOff>163286</xdr:colOff>
      <xdr:row>187</xdr:row>
      <xdr:rowOff>122464</xdr:rowOff>
    </xdr:from>
    <xdr:to>
      <xdr:col>0</xdr:col>
      <xdr:colOff>334736</xdr:colOff>
      <xdr:row>188</xdr:row>
      <xdr:rowOff>146955</xdr:rowOff>
    </xdr:to>
    <xdr:pic>
      <xdr:nvPicPr>
        <xdr:cNvPr id="20" name="Picture 19" descr="C:\Users\gijulia\AppData\Local\Microsoft\Windows\INetCache\Content.Word\boomerangs (002).png">
          <a:extLst>
            <a:ext uri="{FF2B5EF4-FFF2-40B4-BE49-F238E27FC236}">
              <a16:creationId xmlns:a16="http://schemas.microsoft.com/office/drawing/2014/main" id="{87365E65-4B22-441D-B0B3-83A3AE663FE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286" y="38862000"/>
          <a:ext cx="171450" cy="228600"/>
        </a:xfrm>
        <a:prstGeom prst="rect">
          <a:avLst/>
        </a:prstGeom>
        <a:noFill/>
        <a:ln>
          <a:noFill/>
        </a:ln>
      </xdr:spPr>
    </xdr:pic>
    <xdr:clientData/>
  </xdr:twoCellAnchor>
  <xdr:twoCellAnchor editAs="oneCell">
    <xdr:from>
      <xdr:col>0</xdr:col>
      <xdr:colOff>176894</xdr:colOff>
      <xdr:row>277</xdr:row>
      <xdr:rowOff>136071</xdr:rowOff>
    </xdr:from>
    <xdr:to>
      <xdr:col>1</xdr:col>
      <xdr:colOff>8165</xdr:colOff>
      <xdr:row>278</xdr:row>
      <xdr:rowOff>160564</xdr:rowOff>
    </xdr:to>
    <xdr:pic>
      <xdr:nvPicPr>
        <xdr:cNvPr id="21" name="Picture 20" descr="C:\Users\gijulia\AppData\Local\Microsoft\Windows\INetCache\Content.Word\boomerangs (002).png">
          <a:extLst>
            <a:ext uri="{FF2B5EF4-FFF2-40B4-BE49-F238E27FC236}">
              <a16:creationId xmlns:a16="http://schemas.microsoft.com/office/drawing/2014/main" id="{FED802A0-7AF8-4EB7-8F9D-B7F86461791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94" y="57408535"/>
          <a:ext cx="171450" cy="228600"/>
        </a:xfrm>
        <a:prstGeom prst="rect">
          <a:avLst/>
        </a:prstGeom>
        <a:noFill/>
        <a:ln>
          <a:noFill/>
        </a:ln>
      </xdr:spPr>
    </xdr:pic>
    <xdr:clientData/>
  </xdr:twoCellAnchor>
  <xdr:twoCellAnchor editAs="oneCell">
    <xdr:from>
      <xdr:col>18</xdr:col>
      <xdr:colOff>54428</xdr:colOff>
      <xdr:row>59</xdr:row>
      <xdr:rowOff>176893</xdr:rowOff>
    </xdr:from>
    <xdr:to>
      <xdr:col>18</xdr:col>
      <xdr:colOff>938892</xdr:colOff>
      <xdr:row>61</xdr:row>
      <xdr:rowOff>70757</xdr:rowOff>
    </xdr:to>
    <xdr:pic>
      <xdr:nvPicPr>
        <xdr:cNvPr id="22" name="Picture 21" descr="C:\Users\gijulia\AppData\Local\Microsoft\Windows\INetCache\Content.Word\paragon_logo (002).png">
          <a:extLst>
            <a:ext uri="{FF2B5EF4-FFF2-40B4-BE49-F238E27FC236}">
              <a16:creationId xmlns:a16="http://schemas.microsoft.com/office/drawing/2014/main" id="{1A3AC153-0FCB-4186-9098-0D776BCAAA2E}"/>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614821" y="12314464"/>
          <a:ext cx="884464" cy="302078"/>
        </a:xfrm>
        <a:prstGeom prst="rect">
          <a:avLst/>
        </a:prstGeom>
        <a:noFill/>
        <a:ln>
          <a:noFill/>
        </a:ln>
      </xdr:spPr>
    </xdr:pic>
    <xdr:clientData/>
  </xdr:twoCellAnchor>
  <xdr:twoCellAnchor editAs="oneCell">
    <xdr:from>
      <xdr:col>18</xdr:col>
      <xdr:colOff>13607</xdr:colOff>
      <xdr:row>130</xdr:row>
      <xdr:rowOff>68035</xdr:rowOff>
    </xdr:from>
    <xdr:to>
      <xdr:col>18</xdr:col>
      <xdr:colOff>898071</xdr:colOff>
      <xdr:row>131</xdr:row>
      <xdr:rowOff>166006</xdr:rowOff>
    </xdr:to>
    <xdr:pic>
      <xdr:nvPicPr>
        <xdr:cNvPr id="24" name="Picture 23" descr="C:\Users\gijulia\AppData\Local\Microsoft\Windows\INetCache\Content.Word\paragon_logo (002).png">
          <a:extLst>
            <a:ext uri="{FF2B5EF4-FFF2-40B4-BE49-F238E27FC236}">
              <a16:creationId xmlns:a16="http://schemas.microsoft.com/office/drawing/2014/main" id="{585CE1A9-1B94-4D2B-8BFD-52BA2C838551}"/>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0" y="27132642"/>
          <a:ext cx="884464" cy="302078"/>
        </a:xfrm>
        <a:prstGeom prst="rect">
          <a:avLst/>
        </a:prstGeom>
        <a:noFill/>
        <a:ln>
          <a:noFill/>
        </a:ln>
      </xdr:spPr>
    </xdr:pic>
    <xdr:clientData/>
  </xdr:twoCellAnchor>
  <xdr:twoCellAnchor editAs="oneCell">
    <xdr:from>
      <xdr:col>18</xdr:col>
      <xdr:colOff>0</xdr:colOff>
      <xdr:row>187</xdr:row>
      <xdr:rowOff>0</xdr:rowOff>
    </xdr:from>
    <xdr:to>
      <xdr:col>18</xdr:col>
      <xdr:colOff>884464</xdr:colOff>
      <xdr:row>188</xdr:row>
      <xdr:rowOff>97969</xdr:rowOff>
    </xdr:to>
    <xdr:pic>
      <xdr:nvPicPr>
        <xdr:cNvPr id="25" name="Picture 24" descr="C:\Users\gijulia\AppData\Local\Microsoft\Windows\INetCache\Content.Word\paragon_logo (002).png">
          <a:extLst>
            <a:ext uri="{FF2B5EF4-FFF2-40B4-BE49-F238E27FC236}">
              <a16:creationId xmlns:a16="http://schemas.microsoft.com/office/drawing/2014/main" id="{AE0EC5AB-4E5F-4EC6-9A35-AB088E848DFC}"/>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60393" y="38739536"/>
          <a:ext cx="884464" cy="302078"/>
        </a:xfrm>
        <a:prstGeom prst="rect">
          <a:avLst/>
        </a:prstGeom>
        <a:noFill/>
        <a:ln>
          <a:noFill/>
        </a:ln>
      </xdr:spPr>
    </xdr:pic>
    <xdr:clientData/>
  </xdr:twoCellAnchor>
  <xdr:twoCellAnchor editAs="oneCell">
    <xdr:from>
      <xdr:col>18</xdr:col>
      <xdr:colOff>0</xdr:colOff>
      <xdr:row>277</xdr:row>
      <xdr:rowOff>0</xdr:rowOff>
    </xdr:from>
    <xdr:to>
      <xdr:col>18</xdr:col>
      <xdr:colOff>884464</xdr:colOff>
      <xdr:row>278</xdr:row>
      <xdr:rowOff>97971</xdr:rowOff>
    </xdr:to>
    <xdr:pic>
      <xdr:nvPicPr>
        <xdr:cNvPr id="26" name="Picture 25" descr="C:\Users\gijulia\AppData\Local\Microsoft\Windows\INetCache\Content.Word\paragon_logo (002).png">
          <a:extLst>
            <a:ext uri="{FF2B5EF4-FFF2-40B4-BE49-F238E27FC236}">
              <a16:creationId xmlns:a16="http://schemas.microsoft.com/office/drawing/2014/main" id="{35785071-93FF-467B-B61C-E0AA3E8E1861}"/>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60393" y="57272464"/>
          <a:ext cx="884464" cy="302078"/>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xdr:from>
      <xdr:col>18</xdr:col>
      <xdr:colOff>1095375</xdr:colOff>
      <xdr:row>278</xdr:row>
      <xdr:rowOff>123825</xdr:rowOff>
    </xdr:from>
    <xdr:to>
      <xdr:col>18</xdr:col>
      <xdr:colOff>1895475</xdr:colOff>
      <xdr:row>279</xdr:row>
      <xdr:rowOff>152400</xdr:rowOff>
    </xdr:to>
    <xdr:pic>
      <xdr:nvPicPr>
        <xdr:cNvPr id="2" name="Picture 1" descr="C:\WINDOWS\TEMP\~0003946.gif">
          <a:extLst>
            <a:ext uri="{FF2B5EF4-FFF2-40B4-BE49-F238E27FC236}">
              <a16:creationId xmlns:a16="http://schemas.microsoft.com/office/drawing/2014/main" id="{B8D57F5D-A577-443D-8D56-E8E0E6F0B72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56292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188</xdr:row>
      <xdr:rowOff>152400</xdr:rowOff>
    </xdr:from>
    <xdr:to>
      <xdr:col>18</xdr:col>
      <xdr:colOff>1924050</xdr:colOff>
      <xdr:row>189</xdr:row>
      <xdr:rowOff>180975</xdr:rowOff>
    </xdr:to>
    <xdr:pic>
      <xdr:nvPicPr>
        <xdr:cNvPr id="3" name="Picture 2" descr="C:\WINDOWS\TEMP\~0003946.gif">
          <a:extLst>
            <a:ext uri="{FF2B5EF4-FFF2-40B4-BE49-F238E27FC236}">
              <a16:creationId xmlns:a16="http://schemas.microsoft.com/office/drawing/2014/main" id="{C9C521C5-B803-4D33-9EA7-F7CC66321E5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38157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131</xdr:row>
      <xdr:rowOff>161925</xdr:rowOff>
    </xdr:from>
    <xdr:to>
      <xdr:col>18</xdr:col>
      <xdr:colOff>1952625</xdr:colOff>
      <xdr:row>132</xdr:row>
      <xdr:rowOff>190500</xdr:rowOff>
    </xdr:to>
    <xdr:pic>
      <xdr:nvPicPr>
        <xdr:cNvPr id="4" name="Picture 3" descr="C:\WINDOWS\TEMP\~0003946.gif">
          <a:extLst>
            <a:ext uri="{FF2B5EF4-FFF2-40B4-BE49-F238E27FC236}">
              <a16:creationId xmlns:a16="http://schemas.microsoft.com/office/drawing/2014/main" id="{30656B8E-2DD0-421D-AF43-40D7A6B21C4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5" name="Picture 4" descr="C:\WINDOWS\TEMP\~0003946.gif">
          <a:extLst>
            <a:ext uri="{FF2B5EF4-FFF2-40B4-BE49-F238E27FC236}">
              <a16:creationId xmlns:a16="http://schemas.microsoft.com/office/drawing/2014/main" id="{EBED6EFD-AD26-45C8-A2DB-7F7166C50CA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564600" y="12239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176893</xdr:colOff>
      <xdr:row>60</xdr:row>
      <xdr:rowOff>122465</xdr:rowOff>
    </xdr:from>
    <xdr:to>
      <xdr:col>1</xdr:col>
      <xdr:colOff>8164</xdr:colOff>
      <xdr:row>61</xdr:row>
      <xdr:rowOff>146958</xdr:rowOff>
    </xdr:to>
    <xdr:pic>
      <xdr:nvPicPr>
        <xdr:cNvPr id="6" name="Picture 5" descr="C:\Users\gijulia\AppData\Local\Microsoft\Windows\INetCache\Content.Word\boomerangs (002).png">
          <a:extLst>
            <a:ext uri="{FF2B5EF4-FFF2-40B4-BE49-F238E27FC236}">
              <a16:creationId xmlns:a16="http://schemas.microsoft.com/office/drawing/2014/main" id="{6F91645B-2A48-4097-BB0B-271603181DE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93" y="12200165"/>
          <a:ext cx="174171" cy="224518"/>
        </a:xfrm>
        <a:prstGeom prst="rect">
          <a:avLst/>
        </a:prstGeom>
        <a:noFill/>
        <a:ln>
          <a:noFill/>
        </a:ln>
      </xdr:spPr>
    </xdr:pic>
    <xdr:clientData/>
  </xdr:twoCellAnchor>
  <xdr:twoCellAnchor editAs="oneCell">
    <xdr:from>
      <xdr:col>0</xdr:col>
      <xdr:colOff>136072</xdr:colOff>
      <xdr:row>131</xdr:row>
      <xdr:rowOff>108857</xdr:rowOff>
    </xdr:from>
    <xdr:to>
      <xdr:col>0</xdr:col>
      <xdr:colOff>307522</xdr:colOff>
      <xdr:row>132</xdr:row>
      <xdr:rowOff>133351</xdr:rowOff>
    </xdr:to>
    <xdr:pic>
      <xdr:nvPicPr>
        <xdr:cNvPr id="7" name="Picture 6" descr="C:\Users\gijulia\AppData\Local\Microsoft\Windows\INetCache\Content.Word\boomerangs (002).png">
          <a:extLst>
            <a:ext uri="{FF2B5EF4-FFF2-40B4-BE49-F238E27FC236}">
              <a16:creationId xmlns:a16="http://schemas.microsoft.com/office/drawing/2014/main" id="{FF289537-79B4-40E6-B24B-4CEC9C14217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072" y="26635982"/>
          <a:ext cx="171450" cy="224518"/>
        </a:xfrm>
        <a:prstGeom prst="rect">
          <a:avLst/>
        </a:prstGeom>
        <a:noFill/>
        <a:ln>
          <a:noFill/>
        </a:ln>
      </xdr:spPr>
    </xdr:pic>
    <xdr:clientData/>
  </xdr:twoCellAnchor>
  <xdr:twoCellAnchor editAs="oneCell">
    <xdr:from>
      <xdr:col>0</xdr:col>
      <xdr:colOff>163286</xdr:colOff>
      <xdr:row>188</xdr:row>
      <xdr:rowOff>122464</xdr:rowOff>
    </xdr:from>
    <xdr:to>
      <xdr:col>1</xdr:col>
      <xdr:colOff>1815</xdr:colOff>
      <xdr:row>189</xdr:row>
      <xdr:rowOff>146954</xdr:rowOff>
    </xdr:to>
    <xdr:pic>
      <xdr:nvPicPr>
        <xdr:cNvPr id="8" name="Picture 7" descr="C:\Users\gijulia\AppData\Local\Microsoft\Windows\INetCache\Content.Word\boomerangs (002).png">
          <a:extLst>
            <a:ext uri="{FF2B5EF4-FFF2-40B4-BE49-F238E27FC236}">
              <a16:creationId xmlns:a16="http://schemas.microsoft.com/office/drawing/2014/main" id="{6DA1D7C7-5B13-4631-A37E-89C8A9B6CBC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286" y="38127214"/>
          <a:ext cx="171450" cy="224516"/>
        </a:xfrm>
        <a:prstGeom prst="rect">
          <a:avLst/>
        </a:prstGeom>
        <a:noFill/>
        <a:ln>
          <a:noFill/>
        </a:ln>
      </xdr:spPr>
    </xdr:pic>
    <xdr:clientData/>
  </xdr:twoCellAnchor>
  <xdr:twoCellAnchor editAs="oneCell">
    <xdr:from>
      <xdr:col>0</xdr:col>
      <xdr:colOff>176894</xdr:colOff>
      <xdr:row>278</xdr:row>
      <xdr:rowOff>136071</xdr:rowOff>
    </xdr:from>
    <xdr:to>
      <xdr:col>1</xdr:col>
      <xdr:colOff>8165</xdr:colOff>
      <xdr:row>279</xdr:row>
      <xdr:rowOff>160563</xdr:rowOff>
    </xdr:to>
    <xdr:pic>
      <xdr:nvPicPr>
        <xdr:cNvPr id="9" name="Picture 8" descr="C:\Users\gijulia\AppData\Local\Microsoft\Windows\INetCache\Content.Word\boomerangs (002).png">
          <a:extLst>
            <a:ext uri="{FF2B5EF4-FFF2-40B4-BE49-F238E27FC236}">
              <a16:creationId xmlns:a16="http://schemas.microsoft.com/office/drawing/2014/main" id="{2F319ED2-D569-4967-8ADA-C1A0AE70729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94" y="56304996"/>
          <a:ext cx="174171" cy="224518"/>
        </a:xfrm>
        <a:prstGeom prst="rect">
          <a:avLst/>
        </a:prstGeom>
        <a:noFill/>
        <a:ln>
          <a:noFill/>
        </a:ln>
      </xdr:spPr>
    </xdr:pic>
    <xdr:clientData/>
  </xdr:twoCellAnchor>
  <xdr:twoCellAnchor editAs="oneCell">
    <xdr:from>
      <xdr:col>18</xdr:col>
      <xdr:colOff>54428</xdr:colOff>
      <xdr:row>59</xdr:row>
      <xdr:rowOff>176893</xdr:rowOff>
    </xdr:from>
    <xdr:to>
      <xdr:col>18</xdr:col>
      <xdr:colOff>938892</xdr:colOff>
      <xdr:row>61</xdr:row>
      <xdr:rowOff>70757</xdr:rowOff>
    </xdr:to>
    <xdr:pic>
      <xdr:nvPicPr>
        <xdr:cNvPr id="10" name="Picture 9" descr="C:\Users\gijulia\AppData\Local\Microsoft\Windows\INetCache\Content.Word\paragon_logo (002).png">
          <a:extLst>
            <a:ext uri="{FF2B5EF4-FFF2-40B4-BE49-F238E27FC236}">
              <a16:creationId xmlns:a16="http://schemas.microsoft.com/office/drawing/2014/main" id="{F3492236-33BD-4204-8CC1-4A70E4A3C73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609378" y="12054568"/>
          <a:ext cx="884464" cy="293914"/>
        </a:xfrm>
        <a:prstGeom prst="rect">
          <a:avLst/>
        </a:prstGeom>
        <a:noFill/>
        <a:ln>
          <a:noFill/>
        </a:ln>
      </xdr:spPr>
    </xdr:pic>
    <xdr:clientData/>
  </xdr:twoCellAnchor>
  <xdr:twoCellAnchor editAs="oneCell">
    <xdr:from>
      <xdr:col>18</xdr:col>
      <xdr:colOff>13607</xdr:colOff>
      <xdr:row>131</xdr:row>
      <xdr:rowOff>68035</xdr:rowOff>
    </xdr:from>
    <xdr:to>
      <xdr:col>18</xdr:col>
      <xdr:colOff>898071</xdr:colOff>
      <xdr:row>132</xdr:row>
      <xdr:rowOff>166007</xdr:rowOff>
    </xdr:to>
    <xdr:pic>
      <xdr:nvPicPr>
        <xdr:cNvPr id="11" name="Picture 10" descr="C:\Users\gijulia\AppData\Local\Microsoft\Windows\INetCache\Content.Word\paragon_logo (002).png">
          <a:extLst>
            <a:ext uri="{FF2B5EF4-FFF2-40B4-BE49-F238E27FC236}">
              <a16:creationId xmlns:a16="http://schemas.microsoft.com/office/drawing/2014/main" id="{EEAC7548-9A03-4480-84C8-870D330B029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68557" y="26595160"/>
          <a:ext cx="884464" cy="297996"/>
        </a:xfrm>
        <a:prstGeom prst="rect">
          <a:avLst/>
        </a:prstGeom>
        <a:noFill/>
        <a:ln>
          <a:noFill/>
        </a:ln>
      </xdr:spPr>
    </xdr:pic>
    <xdr:clientData/>
  </xdr:twoCellAnchor>
  <xdr:twoCellAnchor editAs="oneCell">
    <xdr:from>
      <xdr:col>18</xdr:col>
      <xdr:colOff>0</xdr:colOff>
      <xdr:row>188</xdr:row>
      <xdr:rowOff>0</xdr:rowOff>
    </xdr:from>
    <xdr:to>
      <xdr:col>18</xdr:col>
      <xdr:colOff>884464</xdr:colOff>
      <xdr:row>189</xdr:row>
      <xdr:rowOff>97968</xdr:rowOff>
    </xdr:to>
    <xdr:pic>
      <xdr:nvPicPr>
        <xdr:cNvPr id="12" name="Picture 11" descr="C:\Users\gijulia\AppData\Local\Microsoft\Windows\INetCache\Content.Word\paragon_logo (002).png">
          <a:extLst>
            <a:ext uri="{FF2B5EF4-FFF2-40B4-BE49-F238E27FC236}">
              <a16:creationId xmlns:a16="http://schemas.microsoft.com/office/drawing/2014/main" id="{CEA4A0E9-D2FA-43AB-8A69-BB5F439FAB02}"/>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54950" y="38004750"/>
          <a:ext cx="884464" cy="297994"/>
        </a:xfrm>
        <a:prstGeom prst="rect">
          <a:avLst/>
        </a:prstGeom>
        <a:noFill/>
        <a:ln>
          <a:noFill/>
        </a:ln>
      </xdr:spPr>
    </xdr:pic>
    <xdr:clientData/>
  </xdr:twoCellAnchor>
  <xdr:twoCellAnchor editAs="oneCell">
    <xdr:from>
      <xdr:col>18</xdr:col>
      <xdr:colOff>0</xdr:colOff>
      <xdr:row>278</xdr:row>
      <xdr:rowOff>0</xdr:rowOff>
    </xdr:from>
    <xdr:to>
      <xdr:col>18</xdr:col>
      <xdr:colOff>884464</xdr:colOff>
      <xdr:row>279</xdr:row>
      <xdr:rowOff>97970</xdr:rowOff>
    </xdr:to>
    <xdr:pic>
      <xdr:nvPicPr>
        <xdr:cNvPr id="13" name="Picture 12" descr="C:\Users\gijulia\AppData\Local\Microsoft\Windows\INetCache\Content.Word\paragon_logo (002).png">
          <a:extLst>
            <a:ext uri="{FF2B5EF4-FFF2-40B4-BE49-F238E27FC236}">
              <a16:creationId xmlns:a16="http://schemas.microsoft.com/office/drawing/2014/main" id="{B5316749-F07E-4EAD-8F08-E497CCE25A5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54950" y="56168925"/>
          <a:ext cx="884464" cy="29799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38849" name="Picture 1" descr="C:\WINDOWS\TEMP\Symbol.gif">
          <a:extLst>
            <a:ext uri="{FF2B5EF4-FFF2-40B4-BE49-F238E27FC236}">
              <a16:creationId xmlns:a16="http://schemas.microsoft.com/office/drawing/2014/main" id="{00000000-0008-0000-0500-0000C1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128</xdr:row>
      <xdr:rowOff>161925</xdr:rowOff>
    </xdr:from>
    <xdr:to>
      <xdr:col>1</xdr:col>
      <xdr:colOff>28575</xdr:colOff>
      <xdr:row>129</xdr:row>
      <xdr:rowOff>200025</xdr:rowOff>
    </xdr:to>
    <xdr:pic>
      <xdr:nvPicPr>
        <xdr:cNvPr id="38850" name="Picture 2" descr="C:\WINDOWS\TEMP\Symbol.gif">
          <a:extLst>
            <a:ext uri="{FF2B5EF4-FFF2-40B4-BE49-F238E27FC236}">
              <a16:creationId xmlns:a16="http://schemas.microsoft.com/office/drawing/2014/main" id="{00000000-0008-0000-0500-0000C2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17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184</xdr:row>
      <xdr:rowOff>171450</xdr:rowOff>
    </xdr:from>
    <xdr:to>
      <xdr:col>1</xdr:col>
      <xdr:colOff>47625</xdr:colOff>
      <xdr:row>185</xdr:row>
      <xdr:rowOff>209550</xdr:rowOff>
    </xdr:to>
    <xdr:pic>
      <xdr:nvPicPr>
        <xdr:cNvPr id="38851" name="Picture 3" descr="C:\WINDOWS\TEMP\Symbol.gif">
          <a:extLst>
            <a:ext uri="{FF2B5EF4-FFF2-40B4-BE49-F238E27FC236}">
              <a16:creationId xmlns:a16="http://schemas.microsoft.com/office/drawing/2014/main" id="{00000000-0008-0000-0500-0000C3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604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38852" name="Picture 4" descr="C:\WINDOWS\TEMP\Symbol.gif">
          <a:extLst>
            <a:ext uri="{FF2B5EF4-FFF2-40B4-BE49-F238E27FC236}">
              <a16:creationId xmlns:a16="http://schemas.microsoft.com/office/drawing/2014/main" id="{00000000-0008-0000-0500-0000C4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68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264</xdr:row>
      <xdr:rowOff>123825</xdr:rowOff>
    </xdr:from>
    <xdr:to>
      <xdr:col>18</xdr:col>
      <xdr:colOff>1895475</xdr:colOff>
      <xdr:row>265</xdr:row>
      <xdr:rowOff>152400</xdr:rowOff>
    </xdr:to>
    <xdr:pic>
      <xdr:nvPicPr>
        <xdr:cNvPr id="38853" name="Picture 5" descr="C:\WINDOWS\TEMP\~0003946.gif">
          <a:extLst>
            <a:ext uri="{FF2B5EF4-FFF2-40B4-BE49-F238E27FC236}">
              <a16:creationId xmlns:a16="http://schemas.microsoft.com/office/drawing/2014/main" id="{00000000-0008-0000-0500-0000C5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64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184</xdr:row>
      <xdr:rowOff>152400</xdr:rowOff>
    </xdr:from>
    <xdr:to>
      <xdr:col>18</xdr:col>
      <xdr:colOff>1924050</xdr:colOff>
      <xdr:row>185</xdr:row>
      <xdr:rowOff>180975</xdr:rowOff>
    </xdr:to>
    <xdr:pic>
      <xdr:nvPicPr>
        <xdr:cNvPr id="38854" name="Picture 6" descr="C:\WINDOWS\TEMP\~0003946.gif">
          <a:extLst>
            <a:ext uri="{FF2B5EF4-FFF2-40B4-BE49-F238E27FC236}">
              <a16:creationId xmlns:a16="http://schemas.microsoft.com/office/drawing/2014/main" id="{00000000-0008-0000-0500-0000C6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585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128</xdr:row>
      <xdr:rowOff>161925</xdr:rowOff>
    </xdr:from>
    <xdr:to>
      <xdr:col>18</xdr:col>
      <xdr:colOff>1952625</xdr:colOff>
      <xdr:row>129</xdr:row>
      <xdr:rowOff>190500</xdr:rowOff>
    </xdr:to>
    <xdr:pic>
      <xdr:nvPicPr>
        <xdr:cNvPr id="38855" name="Picture 7" descr="C:\WINDOWS\TEMP\~0003946.gif">
          <a:extLst>
            <a:ext uri="{FF2B5EF4-FFF2-40B4-BE49-F238E27FC236}">
              <a16:creationId xmlns:a16="http://schemas.microsoft.com/office/drawing/2014/main" id="{00000000-0008-0000-0500-0000C7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31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38856" name="Picture 8" descr="C:\WINDOWS\TEMP\~0003946.gif">
          <a:extLst>
            <a:ext uri="{FF2B5EF4-FFF2-40B4-BE49-F238E27FC236}">
              <a16:creationId xmlns:a16="http://schemas.microsoft.com/office/drawing/2014/main" id="{00000000-0008-0000-0500-0000C8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38857" name="Picture 9" descr="C:\WINDOWS\TEMP\~0003946.gif">
          <a:extLst>
            <a:ext uri="{FF2B5EF4-FFF2-40B4-BE49-F238E27FC236}">
              <a16:creationId xmlns:a16="http://schemas.microsoft.com/office/drawing/2014/main" id="{00000000-0008-0000-0500-0000C9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128</xdr:row>
      <xdr:rowOff>123825</xdr:rowOff>
    </xdr:from>
    <xdr:to>
      <xdr:col>18</xdr:col>
      <xdr:colOff>895350</xdr:colOff>
      <xdr:row>129</xdr:row>
      <xdr:rowOff>152400</xdr:rowOff>
    </xdr:to>
    <xdr:pic>
      <xdr:nvPicPr>
        <xdr:cNvPr id="38858" name="Picture 10" descr="C:\WINDOWS\TEMP\~0003946.gif">
          <a:extLst>
            <a:ext uri="{FF2B5EF4-FFF2-40B4-BE49-F238E27FC236}">
              <a16:creationId xmlns:a16="http://schemas.microsoft.com/office/drawing/2014/main" id="{00000000-0008-0000-0500-0000CA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279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184</xdr:row>
      <xdr:rowOff>104775</xdr:rowOff>
    </xdr:from>
    <xdr:to>
      <xdr:col>18</xdr:col>
      <xdr:colOff>809625</xdr:colOff>
      <xdr:row>185</xdr:row>
      <xdr:rowOff>133350</xdr:rowOff>
    </xdr:to>
    <xdr:pic>
      <xdr:nvPicPr>
        <xdr:cNvPr id="38859" name="Picture 11" descr="C:\WINDOWS\TEMP\~0003946.gif">
          <a:extLst>
            <a:ext uri="{FF2B5EF4-FFF2-40B4-BE49-F238E27FC236}">
              <a16:creationId xmlns:a16="http://schemas.microsoft.com/office/drawing/2014/main" id="{00000000-0008-0000-0500-0000CB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538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264</xdr:row>
      <xdr:rowOff>104775</xdr:rowOff>
    </xdr:from>
    <xdr:to>
      <xdr:col>18</xdr:col>
      <xdr:colOff>895350</xdr:colOff>
      <xdr:row>265</xdr:row>
      <xdr:rowOff>133350</xdr:rowOff>
    </xdr:to>
    <xdr:pic>
      <xdr:nvPicPr>
        <xdr:cNvPr id="38860" name="Picture 12" descr="C:\WINDOWS\TEMP\~0003946.gif">
          <a:extLst>
            <a:ext uri="{FF2B5EF4-FFF2-40B4-BE49-F238E27FC236}">
              <a16:creationId xmlns:a16="http://schemas.microsoft.com/office/drawing/2014/main" id="{00000000-0008-0000-0500-0000CC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62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38861" name="Picture 13" descr="logoMTL">
          <a:extLst>
            <a:ext uri="{FF2B5EF4-FFF2-40B4-BE49-F238E27FC236}">
              <a16:creationId xmlns:a16="http://schemas.microsoft.com/office/drawing/2014/main" id="{00000000-0008-0000-0500-0000CD9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128</xdr:row>
      <xdr:rowOff>38100</xdr:rowOff>
    </xdr:from>
    <xdr:to>
      <xdr:col>17</xdr:col>
      <xdr:colOff>1171575</xdr:colOff>
      <xdr:row>129</xdr:row>
      <xdr:rowOff>161925</xdr:rowOff>
    </xdr:to>
    <xdr:pic>
      <xdr:nvPicPr>
        <xdr:cNvPr id="38862" name="Picture 14" descr="logoMTL">
          <a:extLst>
            <a:ext uri="{FF2B5EF4-FFF2-40B4-BE49-F238E27FC236}">
              <a16:creationId xmlns:a16="http://schemas.microsoft.com/office/drawing/2014/main" id="{00000000-0008-0000-0500-0000CE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19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184</xdr:row>
      <xdr:rowOff>28575</xdr:rowOff>
    </xdr:from>
    <xdr:to>
      <xdr:col>17</xdr:col>
      <xdr:colOff>1171575</xdr:colOff>
      <xdr:row>185</xdr:row>
      <xdr:rowOff>152400</xdr:rowOff>
    </xdr:to>
    <xdr:pic>
      <xdr:nvPicPr>
        <xdr:cNvPr id="38863" name="Picture 15" descr="logoMTL">
          <a:extLst>
            <a:ext uri="{FF2B5EF4-FFF2-40B4-BE49-F238E27FC236}">
              <a16:creationId xmlns:a16="http://schemas.microsoft.com/office/drawing/2014/main" id="{00000000-0008-0000-0500-0000CF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461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264</xdr:row>
      <xdr:rowOff>0</xdr:rowOff>
    </xdr:from>
    <xdr:to>
      <xdr:col>17</xdr:col>
      <xdr:colOff>1228725</xdr:colOff>
      <xdr:row>265</xdr:row>
      <xdr:rowOff>123825</xdr:rowOff>
    </xdr:to>
    <xdr:pic>
      <xdr:nvPicPr>
        <xdr:cNvPr id="38864" name="Picture 16" descr="logoMTL">
          <a:extLst>
            <a:ext uri="{FF2B5EF4-FFF2-40B4-BE49-F238E27FC236}">
              <a16:creationId xmlns:a16="http://schemas.microsoft.com/office/drawing/2014/main" id="{00000000-0008-0000-0500-0000D0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52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39873" name="Picture 1" descr="C:\WINDOWS\TEMP\Symbol.gif">
          <a:extLst>
            <a:ext uri="{FF2B5EF4-FFF2-40B4-BE49-F238E27FC236}">
              <a16:creationId xmlns:a16="http://schemas.microsoft.com/office/drawing/2014/main" id="{00000000-0008-0000-0600-0000C1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128</xdr:row>
      <xdr:rowOff>161925</xdr:rowOff>
    </xdr:from>
    <xdr:to>
      <xdr:col>1</xdr:col>
      <xdr:colOff>28575</xdr:colOff>
      <xdr:row>129</xdr:row>
      <xdr:rowOff>200025</xdr:rowOff>
    </xdr:to>
    <xdr:pic>
      <xdr:nvPicPr>
        <xdr:cNvPr id="39874" name="Picture 2" descr="C:\WINDOWS\TEMP\Symbol.gif">
          <a:extLst>
            <a:ext uri="{FF2B5EF4-FFF2-40B4-BE49-F238E27FC236}">
              <a16:creationId xmlns:a16="http://schemas.microsoft.com/office/drawing/2014/main" id="{00000000-0008-0000-0600-0000C2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17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184</xdr:row>
      <xdr:rowOff>171450</xdr:rowOff>
    </xdr:from>
    <xdr:to>
      <xdr:col>1</xdr:col>
      <xdr:colOff>47625</xdr:colOff>
      <xdr:row>185</xdr:row>
      <xdr:rowOff>209550</xdr:rowOff>
    </xdr:to>
    <xdr:pic>
      <xdr:nvPicPr>
        <xdr:cNvPr id="39875" name="Picture 3" descr="C:\WINDOWS\TEMP\Symbol.gif">
          <a:extLst>
            <a:ext uri="{FF2B5EF4-FFF2-40B4-BE49-F238E27FC236}">
              <a16:creationId xmlns:a16="http://schemas.microsoft.com/office/drawing/2014/main" id="{00000000-0008-0000-0600-0000C3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604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39876" name="Picture 4" descr="C:\WINDOWS\TEMP\Symbol.gif">
          <a:extLst>
            <a:ext uri="{FF2B5EF4-FFF2-40B4-BE49-F238E27FC236}">
              <a16:creationId xmlns:a16="http://schemas.microsoft.com/office/drawing/2014/main" id="{00000000-0008-0000-0600-0000C4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68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264</xdr:row>
      <xdr:rowOff>123825</xdr:rowOff>
    </xdr:from>
    <xdr:to>
      <xdr:col>18</xdr:col>
      <xdr:colOff>1895475</xdr:colOff>
      <xdr:row>265</xdr:row>
      <xdr:rowOff>152400</xdr:rowOff>
    </xdr:to>
    <xdr:pic>
      <xdr:nvPicPr>
        <xdr:cNvPr id="39877" name="Picture 5" descr="C:\WINDOWS\TEMP\~0003946.gif">
          <a:extLst>
            <a:ext uri="{FF2B5EF4-FFF2-40B4-BE49-F238E27FC236}">
              <a16:creationId xmlns:a16="http://schemas.microsoft.com/office/drawing/2014/main" id="{00000000-0008-0000-0600-0000C5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64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184</xdr:row>
      <xdr:rowOff>152400</xdr:rowOff>
    </xdr:from>
    <xdr:to>
      <xdr:col>18</xdr:col>
      <xdr:colOff>1924050</xdr:colOff>
      <xdr:row>185</xdr:row>
      <xdr:rowOff>180975</xdr:rowOff>
    </xdr:to>
    <xdr:pic>
      <xdr:nvPicPr>
        <xdr:cNvPr id="39878" name="Picture 6" descr="C:\WINDOWS\TEMP\~0003946.gif">
          <a:extLst>
            <a:ext uri="{FF2B5EF4-FFF2-40B4-BE49-F238E27FC236}">
              <a16:creationId xmlns:a16="http://schemas.microsoft.com/office/drawing/2014/main" id="{00000000-0008-0000-0600-0000C6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585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128</xdr:row>
      <xdr:rowOff>161925</xdr:rowOff>
    </xdr:from>
    <xdr:to>
      <xdr:col>18</xdr:col>
      <xdr:colOff>1952625</xdr:colOff>
      <xdr:row>129</xdr:row>
      <xdr:rowOff>190500</xdr:rowOff>
    </xdr:to>
    <xdr:pic>
      <xdr:nvPicPr>
        <xdr:cNvPr id="39879" name="Picture 7" descr="C:\WINDOWS\TEMP\~0003946.gif">
          <a:extLst>
            <a:ext uri="{FF2B5EF4-FFF2-40B4-BE49-F238E27FC236}">
              <a16:creationId xmlns:a16="http://schemas.microsoft.com/office/drawing/2014/main" id="{00000000-0008-0000-0600-0000C7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31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39880" name="Picture 8" descr="C:\WINDOWS\TEMP\~0003946.gif">
          <a:extLst>
            <a:ext uri="{FF2B5EF4-FFF2-40B4-BE49-F238E27FC236}">
              <a16:creationId xmlns:a16="http://schemas.microsoft.com/office/drawing/2014/main" id="{00000000-0008-0000-0600-0000C8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39881" name="Picture 9" descr="C:\WINDOWS\TEMP\~0003946.gif">
          <a:extLst>
            <a:ext uri="{FF2B5EF4-FFF2-40B4-BE49-F238E27FC236}">
              <a16:creationId xmlns:a16="http://schemas.microsoft.com/office/drawing/2014/main" id="{00000000-0008-0000-0600-0000C9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128</xdr:row>
      <xdr:rowOff>123825</xdr:rowOff>
    </xdr:from>
    <xdr:to>
      <xdr:col>18</xdr:col>
      <xdr:colOff>895350</xdr:colOff>
      <xdr:row>129</xdr:row>
      <xdr:rowOff>152400</xdr:rowOff>
    </xdr:to>
    <xdr:pic>
      <xdr:nvPicPr>
        <xdr:cNvPr id="39882" name="Picture 10" descr="C:\WINDOWS\TEMP\~0003946.gif">
          <a:extLst>
            <a:ext uri="{FF2B5EF4-FFF2-40B4-BE49-F238E27FC236}">
              <a16:creationId xmlns:a16="http://schemas.microsoft.com/office/drawing/2014/main" id="{00000000-0008-0000-0600-0000CA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279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184</xdr:row>
      <xdr:rowOff>104775</xdr:rowOff>
    </xdr:from>
    <xdr:to>
      <xdr:col>18</xdr:col>
      <xdr:colOff>809625</xdr:colOff>
      <xdr:row>185</xdr:row>
      <xdr:rowOff>133350</xdr:rowOff>
    </xdr:to>
    <xdr:pic>
      <xdr:nvPicPr>
        <xdr:cNvPr id="39883" name="Picture 11" descr="C:\WINDOWS\TEMP\~0003946.gif">
          <a:extLst>
            <a:ext uri="{FF2B5EF4-FFF2-40B4-BE49-F238E27FC236}">
              <a16:creationId xmlns:a16="http://schemas.microsoft.com/office/drawing/2014/main" id="{00000000-0008-0000-0600-0000CB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538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264</xdr:row>
      <xdr:rowOff>104775</xdr:rowOff>
    </xdr:from>
    <xdr:to>
      <xdr:col>18</xdr:col>
      <xdr:colOff>895350</xdr:colOff>
      <xdr:row>265</xdr:row>
      <xdr:rowOff>133350</xdr:rowOff>
    </xdr:to>
    <xdr:pic>
      <xdr:nvPicPr>
        <xdr:cNvPr id="39884" name="Picture 12" descr="C:\WINDOWS\TEMP\~0003946.gif">
          <a:extLst>
            <a:ext uri="{FF2B5EF4-FFF2-40B4-BE49-F238E27FC236}">
              <a16:creationId xmlns:a16="http://schemas.microsoft.com/office/drawing/2014/main" id="{00000000-0008-0000-0600-0000CC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62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39885" name="Picture 13" descr="logoMTL">
          <a:extLst>
            <a:ext uri="{FF2B5EF4-FFF2-40B4-BE49-F238E27FC236}">
              <a16:creationId xmlns:a16="http://schemas.microsoft.com/office/drawing/2014/main" id="{00000000-0008-0000-0600-0000CD9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128</xdr:row>
      <xdr:rowOff>38100</xdr:rowOff>
    </xdr:from>
    <xdr:to>
      <xdr:col>17</xdr:col>
      <xdr:colOff>1171575</xdr:colOff>
      <xdr:row>129</xdr:row>
      <xdr:rowOff>161925</xdr:rowOff>
    </xdr:to>
    <xdr:pic>
      <xdr:nvPicPr>
        <xdr:cNvPr id="39886" name="Picture 14" descr="logoMTL">
          <a:extLst>
            <a:ext uri="{FF2B5EF4-FFF2-40B4-BE49-F238E27FC236}">
              <a16:creationId xmlns:a16="http://schemas.microsoft.com/office/drawing/2014/main" id="{00000000-0008-0000-0600-0000CE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19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184</xdr:row>
      <xdr:rowOff>28575</xdr:rowOff>
    </xdr:from>
    <xdr:to>
      <xdr:col>17</xdr:col>
      <xdr:colOff>1171575</xdr:colOff>
      <xdr:row>185</xdr:row>
      <xdr:rowOff>152400</xdr:rowOff>
    </xdr:to>
    <xdr:pic>
      <xdr:nvPicPr>
        <xdr:cNvPr id="39887" name="Picture 15" descr="logoMTL">
          <a:extLst>
            <a:ext uri="{FF2B5EF4-FFF2-40B4-BE49-F238E27FC236}">
              <a16:creationId xmlns:a16="http://schemas.microsoft.com/office/drawing/2014/main" id="{00000000-0008-0000-0600-0000CF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461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264</xdr:row>
      <xdr:rowOff>0</xdr:rowOff>
    </xdr:from>
    <xdr:to>
      <xdr:col>17</xdr:col>
      <xdr:colOff>1228725</xdr:colOff>
      <xdr:row>265</xdr:row>
      <xdr:rowOff>123825</xdr:rowOff>
    </xdr:to>
    <xdr:pic>
      <xdr:nvPicPr>
        <xdr:cNvPr id="39888" name="Picture 16" descr="logoMTL">
          <a:extLst>
            <a:ext uri="{FF2B5EF4-FFF2-40B4-BE49-F238E27FC236}">
              <a16:creationId xmlns:a16="http://schemas.microsoft.com/office/drawing/2014/main" id="{00000000-0008-0000-0600-0000D0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52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0897" name="Picture 1" descr="C:\WINDOWS\TEMP\Symbol.gif">
          <a:extLst>
            <a:ext uri="{FF2B5EF4-FFF2-40B4-BE49-F238E27FC236}">
              <a16:creationId xmlns:a16="http://schemas.microsoft.com/office/drawing/2014/main" id="{00000000-0008-0000-0700-0000C1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128</xdr:row>
      <xdr:rowOff>161925</xdr:rowOff>
    </xdr:from>
    <xdr:to>
      <xdr:col>1</xdr:col>
      <xdr:colOff>28575</xdr:colOff>
      <xdr:row>129</xdr:row>
      <xdr:rowOff>200025</xdr:rowOff>
    </xdr:to>
    <xdr:pic>
      <xdr:nvPicPr>
        <xdr:cNvPr id="40898" name="Picture 2" descr="C:\WINDOWS\TEMP\Symbol.gif">
          <a:extLst>
            <a:ext uri="{FF2B5EF4-FFF2-40B4-BE49-F238E27FC236}">
              <a16:creationId xmlns:a16="http://schemas.microsoft.com/office/drawing/2014/main" id="{00000000-0008-0000-0700-0000C2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17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184</xdr:row>
      <xdr:rowOff>171450</xdr:rowOff>
    </xdr:from>
    <xdr:to>
      <xdr:col>1</xdr:col>
      <xdr:colOff>47625</xdr:colOff>
      <xdr:row>185</xdr:row>
      <xdr:rowOff>209550</xdr:rowOff>
    </xdr:to>
    <xdr:pic>
      <xdr:nvPicPr>
        <xdr:cNvPr id="40899" name="Picture 3" descr="C:\WINDOWS\TEMP\Symbol.gif">
          <a:extLst>
            <a:ext uri="{FF2B5EF4-FFF2-40B4-BE49-F238E27FC236}">
              <a16:creationId xmlns:a16="http://schemas.microsoft.com/office/drawing/2014/main" id="{00000000-0008-0000-0700-0000C3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604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40900" name="Picture 4" descr="C:\WINDOWS\TEMP\Symbol.gif">
          <a:extLst>
            <a:ext uri="{FF2B5EF4-FFF2-40B4-BE49-F238E27FC236}">
              <a16:creationId xmlns:a16="http://schemas.microsoft.com/office/drawing/2014/main" id="{00000000-0008-0000-0700-0000C4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682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264</xdr:row>
      <xdr:rowOff>123825</xdr:rowOff>
    </xdr:from>
    <xdr:to>
      <xdr:col>18</xdr:col>
      <xdr:colOff>1895475</xdr:colOff>
      <xdr:row>265</xdr:row>
      <xdr:rowOff>152400</xdr:rowOff>
    </xdr:to>
    <xdr:pic>
      <xdr:nvPicPr>
        <xdr:cNvPr id="40901" name="Picture 5" descr="C:\WINDOWS\TEMP\~0003946.gif">
          <a:extLst>
            <a:ext uri="{FF2B5EF4-FFF2-40B4-BE49-F238E27FC236}">
              <a16:creationId xmlns:a16="http://schemas.microsoft.com/office/drawing/2014/main" id="{00000000-0008-0000-0700-0000C5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644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184</xdr:row>
      <xdr:rowOff>152400</xdr:rowOff>
    </xdr:from>
    <xdr:to>
      <xdr:col>18</xdr:col>
      <xdr:colOff>1924050</xdr:colOff>
      <xdr:row>185</xdr:row>
      <xdr:rowOff>180975</xdr:rowOff>
    </xdr:to>
    <xdr:pic>
      <xdr:nvPicPr>
        <xdr:cNvPr id="40902" name="Picture 6" descr="C:\WINDOWS\TEMP\~0003946.gif">
          <a:extLst>
            <a:ext uri="{FF2B5EF4-FFF2-40B4-BE49-F238E27FC236}">
              <a16:creationId xmlns:a16="http://schemas.microsoft.com/office/drawing/2014/main" id="{00000000-0008-0000-0700-0000C6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585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128</xdr:row>
      <xdr:rowOff>161925</xdr:rowOff>
    </xdr:from>
    <xdr:to>
      <xdr:col>18</xdr:col>
      <xdr:colOff>1952625</xdr:colOff>
      <xdr:row>129</xdr:row>
      <xdr:rowOff>190500</xdr:rowOff>
    </xdr:to>
    <xdr:pic>
      <xdr:nvPicPr>
        <xdr:cNvPr id="40903" name="Picture 7" descr="C:\WINDOWS\TEMP\~0003946.gif">
          <a:extLst>
            <a:ext uri="{FF2B5EF4-FFF2-40B4-BE49-F238E27FC236}">
              <a16:creationId xmlns:a16="http://schemas.microsoft.com/office/drawing/2014/main" id="{00000000-0008-0000-0700-0000C7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31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0904" name="Picture 8" descr="C:\WINDOWS\TEMP\~0003946.gif">
          <a:extLst>
            <a:ext uri="{FF2B5EF4-FFF2-40B4-BE49-F238E27FC236}">
              <a16:creationId xmlns:a16="http://schemas.microsoft.com/office/drawing/2014/main" id="{00000000-0008-0000-0700-0000C8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0905" name="Picture 9" descr="C:\WINDOWS\TEMP\~0003946.gif">
          <a:extLst>
            <a:ext uri="{FF2B5EF4-FFF2-40B4-BE49-F238E27FC236}">
              <a16:creationId xmlns:a16="http://schemas.microsoft.com/office/drawing/2014/main" id="{00000000-0008-0000-0700-0000C9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128</xdr:row>
      <xdr:rowOff>123825</xdr:rowOff>
    </xdr:from>
    <xdr:to>
      <xdr:col>18</xdr:col>
      <xdr:colOff>895350</xdr:colOff>
      <xdr:row>129</xdr:row>
      <xdr:rowOff>152400</xdr:rowOff>
    </xdr:to>
    <xdr:pic>
      <xdr:nvPicPr>
        <xdr:cNvPr id="40906" name="Picture 10" descr="C:\WINDOWS\TEMP\~0003946.gif">
          <a:extLst>
            <a:ext uri="{FF2B5EF4-FFF2-40B4-BE49-F238E27FC236}">
              <a16:creationId xmlns:a16="http://schemas.microsoft.com/office/drawing/2014/main" id="{00000000-0008-0000-0700-0000CA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279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184</xdr:row>
      <xdr:rowOff>104775</xdr:rowOff>
    </xdr:from>
    <xdr:to>
      <xdr:col>18</xdr:col>
      <xdr:colOff>809625</xdr:colOff>
      <xdr:row>185</xdr:row>
      <xdr:rowOff>133350</xdr:rowOff>
    </xdr:to>
    <xdr:pic>
      <xdr:nvPicPr>
        <xdr:cNvPr id="40907" name="Picture 11" descr="C:\WINDOWS\TEMP\~0003946.gif">
          <a:extLst>
            <a:ext uri="{FF2B5EF4-FFF2-40B4-BE49-F238E27FC236}">
              <a16:creationId xmlns:a16="http://schemas.microsoft.com/office/drawing/2014/main" id="{00000000-0008-0000-0700-0000CB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538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264</xdr:row>
      <xdr:rowOff>104775</xdr:rowOff>
    </xdr:from>
    <xdr:to>
      <xdr:col>18</xdr:col>
      <xdr:colOff>895350</xdr:colOff>
      <xdr:row>265</xdr:row>
      <xdr:rowOff>133350</xdr:rowOff>
    </xdr:to>
    <xdr:pic>
      <xdr:nvPicPr>
        <xdr:cNvPr id="40908" name="Picture 12" descr="C:\WINDOWS\TEMP\~0003946.gif">
          <a:extLst>
            <a:ext uri="{FF2B5EF4-FFF2-40B4-BE49-F238E27FC236}">
              <a16:creationId xmlns:a16="http://schemas.microsoft.com/office/drawing/2014/main" id="{00000000-0008-0000-0700-0000CC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625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0909" name="Picture 13" descr="logoMTL">
          <a:extLst>
            <a:ext uri="{FF2B5EF4-FFF2-40B4-BE49-F238E27FC236}">
              <a16:creationId xmlns:a16="http://schemas.microsoft.com/office/drawing/2014/main" id="{00000000-0008-0000-0700-0000CD9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128</xdr:row>
      <xdr:rowOff>38100</xdr:rowOff>
    </xdr:from>
    <xdr:to>
      <xdr:col>17</xdr:col>
      <xdr:colOff>1171575</xdr:colOff>
      <xdr:row>129</xdr:row>
      <xdr:rowOff>161925</xdr:rowOff>
    </xdr:to>
    <xdr:pic>
      <xdr:nvPicPr>
        <xdr:cNvPr id="40910" name="Picture 14" descr="logoMTL">
          <a:extLst>
            <a:ext uri="{FF2B5EF4-FFF2-40B4-BE49-F238E27FC236}">
              <a16:creationId xmlns:a16="http://schemas.microsoft.com/office/drawing/2014/main" id="{00000000-0008-0000-0700-0000CE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19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184</xdr:row>
      <xdr:rowOff>28575</xdr:rowOff>
    </xdr:from>
    <xdr:to>
      <xdr:col>17</xdr:col>
      <xdr:colOff>1171575</xdr:colOff>
      <xdr:row>185</xdr:row>
      <xdr:rowOff>152400</xdr:rowOff>
    </xdr:to>
    <xdr:pic>
      <xdr:nvPicPr>
        <xdr:cNvPr id="40911" name="Picture 15" descr="logoMTL">
          <a:extLst>
            <a:ext uri="{FF2B5EF4-FFF2-40B4-BE49-F238E27FC236}">
              <a16:creationId xmlns:a16="http://schemas.microsoft.com/office/drawing/2014/main" id="{00000000-0008-0000-0700-0000CF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461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264</xdr:row>
      <xdr:rowOff>0</xdr:rowOff>
    </xdr:from>
    <xdr:to>
      <xdr:col>17</xdr:col>
      <xdr:colOff>1228725</xdr:colOff>
      <xdr:row>265</xdr:row>
      <xdr:rowOff>123825</xdr:rowOff>
    </xdr:to>
    <xdr:pic>
      <xdr:nvPicPr>
        <xdr:cNvPr id="40912" name="Picture 16" descr="logoMTL">
          <a:extLst>
            <a:ext uri="{FF2B5EF4-FFF2-40B4-BE49-F238E27FC236}">
              <a16:creationId xmlns:a16="http://schemas.microsoft.com/office/drawing/2014/main" id="{00000000-0008-0000-0700-0000D0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520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60</xdr:row>
      <xdr:rowOff>190500</xdr:rowOff>
    </xdr:from>
    <xdr:to>
      <xdr:col>1</xdr:col>
      <xdr:colOff>0</xdr:colOff>
      <xdr:row>61</xdr:row>
      <xdr:rowOff>228600</xdr:rowOff>
    </xdr:to>
    <xdr:pic>
      <xdr:nvPicPr>
        <xdr:cNvPr id="41921" name="Picture 1" descr="C:\WINDOWS\TEMP\Symbol.gif">
          <a:extLst>
            <a:ext uri="{FF2B5EF4-FFF2-40B4-BE49-F238E27FC236}">
              <a16:creationId xmlns:a16="http://schemas.microsoft.com/office/drawing/2014/main" id="{00000000-0008-0000-0800-0000C1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296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161925</xdr:rowOff>
    </xdr:from>
    <xdr:to>
      <xdr:col>1</xdr:col>
      <xdr:colOff>28575</xdr:colOff>
      <xdr:row>130</xdr:row>
      <xdr:rowOff>200025</xdr:rowOff>
    </xdr:to>
    <xdr:pic>
      <xdr:nvPicPr>
        <xdr:cNvPr id="41922" name="Picture 2" descr="C:\WINDOWS\TEMP\Symbol.gif">
          <a:extLst>
            <a:ext uri="{FF2B5EF4-FFF2-40B4-BE49-F238E27FC236}">
              <a16:creationId xmlns:a16="http://schemas.microsoft.com/office/drawing/2014/main" id="{00000000-0008-0000-0800-0000C2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17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185</xdr:row>
      <xdr:rowOff>171450</xdr:rowOff>
    </xdr:from>
    <xdr:to>
      <xdr:col>1</xdr:col>
      <xdr:colOff>47625</xdr:colOff>
      <xdr:row>186</xdr:row>
      <xdr:rowOff>209550</xdr:rowOff>
    </xdr:to>
    <xdr:pic>
      <xdr:nvPicPr>
        <xdr:cNvPr id="41923" name="Picture 3" descr="C:\WINDOWS\TEMP\Symbol.gif">
          <a:extLst>
            <a:ext uri="{FF2B5EF4-FFF2-40B4-BE49-F238E27FC236}">
              <a16:creationId xmlns:a16="http://schemas.microsoft.com/office/drawing/2014/main" id="{00000000-0008-0000-0800-0000C3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804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41924" name="Picture 4" descr="C:\WINDOWS\TEMP\Symbol.gif">
          <a:extLst>
            <a:ext uri="{FF2B5EF4-FFF2-40B4-BE49-F238E27FC236}">
              <a16:creationId xmlns:a16="http://schemas.microsoft.com/office/drawing/2014/main" id="{00000000-0008-0000-0800-0000C4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8829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265</xdr:row>
      <xdr:rowOff>123825</xdr:rowOff>
    </xdr:from>
    <xdr:to>
      <xdr:col>18</xdr:col>
      <xdr:colOff>1895475</xdr:colOff>
      <xdr:row>266</xdr:row>
      <xdr:rowOff>152400</xdr:rowOff>
    </xdr:to>
    <xdr:pic>
      <xdr:nvPicPr>
        <xdr:cNvPr id="41925" name="Picture 5" descr="C:\WINDOWS\TEMP\~0003946.gif">
          <a:extLst>
            <a:ext uri="{FF2B5EF4-FFF2-40B4-BE49-F238E27FC236}">
              <a16:creationId xmlns:a16="http://schemas.microsoft.com/office/drawing/2014/main" id="{00000000-0008-0000-0800-0000C5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53844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1123950</xdr:colOff>
      <xdr:row>185</xdr:row>
      <xdr:rowOff>152400</xdr:rowOff>
    </xdr:from>
    <xdr:to>
      <xdr:col>18</xdr:col>
      <xdr:colOff>1924050</xdr:colOff>
      <xdr:row>186</xdr:row>
      <xdr:rowOff>180975</xdr:rowOff>
    </xdr:to>
    <xdr:pic>
      <xdr:nvPicPr>
        <xdr:cNvPr id="41926" name="Picture 6" descr="C:\WINDOWS\TEMP\~0003946.gif">
          <a:extLst>
            <a:ext uri="{FF2B5EF4-FFF2-40B4-BE49-F238E27FC236}">
              <a16:creationId xmlns:a16="http://schemas.microsoft.com/office/drawing/2014/main" id="{00000000-0008-0000-0800-0000C6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37785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129</xdr:row>
      <xdr:rowOff>161925</xdr:rowOff>
    </xdr:from>
    <xdr:to>
      <xdr:col>18</xdr:col>
      <xdr:colOff>1952625</xdr:colOff>
      <xdr:row>130</xdr:row>
      <xdr:rowOff>190500</xdr:rowOff>
    </xdr:to>
    <xdr:pic>
      <xdr:nvPicPr>
        <xdr:cNvPr id="41927" name="Picture 7" descr="C:\WINDOWS\TEMP\~0003946.gif">
          <a:extLst>
            <a:ext uri="{FF2B5EF4-FFF2-40B4-BE49-F238E27FC236}">
              <a16:creationId xmlns:a16="http://schemas.microsoft.com/office/drawing/2014/main" id="{00000000-0008-0000-0800-0000C7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1152525</xdr:colOff>
      <xdr:row>60</xdr:row>
      <xdr:rowOff>161925</xdr:rowOff>
    </xdr:from>
    <xdr:to>
      <xdr:col>18</xdr:col>
      <xdr:colOff>1952625</xdr:colOff>
      <xdr:row>61</xdr:row>
      <xdr:rowOff>190500</xdr:rowOff>
    </xdr:to>
    <xdr:pic>
      <xdr:nvPicPr>
        <xdr:cNvPr id="41928" name="Picture 8" descr="C:\WINDOWS\TEMP\~0003946.gif">
          <a:extLst>
            <a:ext uri="{FF2B5EF4-FFF2-40B4-BE49-F238E27FC236}">
              <a16:creationId xmlns:a16="http://schemas.microsoft.com/office/drawing/2014/main" id="{00000000-0008-0000-0800-0000C8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1564600" y="12268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85725</xdr:colOff>
      <xdr:row>60</xdr:row>
      <xdr:rowOff>123825</xdr:rowOff>
    </xdr:from>
    <xdr:to>
      <xdr:col>18</xdr:col>
      <xdr:colOff>885825</xdr:colOff>
      <xdr:row>61</xdr:row>
      <xdr:rowOff>152400</xdr:rowOff>
    </xdr:to>
    <xdr:pic>
      <xdr:nvPicPr>
        <xdr:cNvPr id="41929" name="Picture 9" descr="C:\WINDOWS\TEMP\~0003946.gif">
          <a:extLst>
            <a:ext uri="{FF2B5EF4-FFF2-40B4-BE49-F238E27FC236}">
              <a16:creationId xmlns:a16="http://schemas.microsoft.com/office/drawing/2014/main" id="{00000000-0008-0000-0800-0000C9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40675" y="12230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129</xdr:row>
      <xdr:rowOff>123825</xdr:rowOff>
    </xdr:from>
    <xdr:to>
      <xdr:col>18</xdr:col>
      <xdr:colOff>895350</xdr:colOff>
      <xdr:row>130</xdr:row>
      <xdr:rowOff>152400</xdr:rowOff>
    </xdr:to>
    <xdr:pic>
      <xdr:nvPicPr>
        <xdr:cNvPr id="41930" name="Picture 10" descr="C:\WINDOWS\TEMP\~0003946.gif">
          <a:extLst>
            <a:ext uri="{FF2B5EF4-FFF2-40B4-BE49-F238E27FC236}">
              <a16:creationId xmlns:a16="http://schemas.microsoft.com/office/drawing/2014/main" id="{00000000-0008-0000-0800-0000CA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26479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xdr:colOff>
      <xdr:row>185</xdr:row>
      <xdr:rowOff>104775</xdr:rowOff>
    </xdr:from>
    <xdr:to>
      <xdr:col>18</xdr:col>
      <xdr:colOff>809625</xdr:colOff>
      <xdr:row>186</xdr:row>
      <xdr:rowOff>133350</xdr:rowOff>
    </xdr:to>
    <xdr:pic>
      <xdr:nvPicPr>
        <xdr:cNvPr id="41931" name="Picture 11" descr="C:\WINDOWS\TEMP\~0003946.gif">
          <a:extLst>
            <a:ext uri="{FF2B5EF4-FFF2-40B4-BE49-F238E27FC236}">
              <a16:creationId xmlns:a16="http://schemas.microsoft.com/office/drawing/2014/main" id="{00000000-0008-0000-0800-0000CB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564475" y="37738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95250</xdr:colOff>
      <xdr:row>265</xdr:row>
      <xdr:rowOff>104775</xdr:rowOff>
    </xdr:from>
    <xdr:to>
      <xdr:col>18</xdr:col>
      <xdr:colOff>895350</xdr:colOff>
      <xdr:row>266</xdr:row>
      <xdr:rowOff>133350</xdr:rowOff>
    </xdr:to>
    <xdr:pic>
      <xdr:nvPicPr>
        <xdr:cNvPr id="41932" name="Picture 12" descr="C:\WINDOWS\TEMP\~0003946.gif">
          <a:extLst>
            <a:ext uri="{FF2B5EF4-FFF2-40B4-BE49-F238E27FC236}">
              <a16:creationId xmlns:a16="http://schemas.microsoft.com/office/drawing/2014/main" id="{00000000-0008-0000-0800-0000CC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0650200" y="53825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60</xdr:row>
      <xdr:rowOff>38100</xdr:rowOff>
    </xdr:from>
    <xdr:to>
      <xdr:col>18</xdr:col>
      <xdr:colOff>0</xdr:colOff>
      <xdr:row>61</xdr:row>
      <xdr:rowOff>161925</xdr:rowOff>
    </xdr:to>
    <xdr:pic>
      <xdr:nvPicPr>
        <xdr:cNvPr id="41933" name="Picture 13" descr="logoMTL">
          <a:extLst>
            <a:ext uri="{FF2B5EF4-FFF2-40B4-BE49-F238E27FC236}">
              <a16:creationId xmlns:a16="http://schemas.microsoft.com/office/drawing/2014/main" id="{00000000-0008-0000-0800-0000CD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5325" y="12144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129</xdr:row>
      <xdr:rowOff>38100</xdr:rowOff>
    </xdr:from>
    <xdr:to>
      <xdr:col>17</xdr:col>
      <xdr:colOff>1171575</xdr:colOff>
      <xdr:row>130</xdr:row>
      <xdr:rowOff>161925</xdr:rowOff>
    </xdr:to>
    <xdr:pic>
      <xdr:nvPicPr>
        <xdr:cNvPr id="41934" name="Picture 14" descr="logoMTL">
          <a:extLst>
            <a:ext uri="{FF2B5EF4-FFF2-40B4-BE49-F238E27FC236}">
              <a16:creationId xmlns:a16="http://schemas.microsoft.com/office/drawing/2014/main" id="{00000000-0008-0000-0800-0000CEA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371475</xdr:colOff>
      <xdr:row>185</xdr:row>
      <xdr:rowOff>28575</xdr:rowOff>
    </xdr:from>
    <xdr:to>
      <xdr:col>17</xdr:col>
      <xdr:colOff>1171575</xdr:colOff>
      <xdr:row>186</xdr:row>
      <xdr:rowOff>152400</xdr:rowOff>
    </xdr:to>
    <xdr:pic>
      <xdr:nvPicPr>
        <xdr:cNvPr id="41935" name="Picture 15" descr="logoMTL">
          <a:extLst>
            <a:ext uri="{FF2B5EF4-FFF2-40B4-BE49-F238E27FC236}">
              <a16:creationId xmlns:a16="http://schemas.microsoft.com/office/drawing/2014/main" id="{00000000-0008-0000-0800-0000CFA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69125" y="37661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265</xdr:row>
      <xdr:rowOff>0</xdr:rowOff>
    </xdr:from>
    <xdr:to>
      <xdr:col>17</xdr:col>
      <xdr:colOff>1228725</xdr:colOff>
      <xdr:row>266</xdr:row>
      <xdr:rowOff>123825</xdr:rowOff>
    </xdr:to>
    <xdr:pic>
      <xdr:nvPicPr>
        <xdr:cNvPr id="41936" name="Picture 16" descr="logoMTL">
          <a:extLst>
            <a:ext uri="{FF2B5EF4-FFF2-40B4-BE49-F238E27FC236}">
              <a16:creationId xmlns:a16="http://schemas.microsoft.com/office/drawing/2014/main" id="{00000000-0008-0000-0800-0000D0A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537210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4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9.36328125" style="1" customWidth="1"/>
    <col min="5" max="5" width="2.08984375" style="1" customWidth="1"/>
    <col min="6" max="6" width="35.54296875" style="1" customWidth="1"/>
    <col min="7" max="7" width="2.08984375" style="1" customWidth="1"/>
    <col min="8" max="8" width="27.63281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5.6" x14ac:dyDescent="0.3">
      <c r="A9" s="6"/>
      <c r="B9" s="12"/>
      <c r="C9" s="8"/>
      <c r="D9" s="8"/>
      <c r="E9" s="8"/>
      <c r="F9" s="8"/>
      <c r="G9" s="8"/>
      <c r="H9" s="8"/>
      <c r="I9" s="8"/>
      <c r="J9" s="8"/>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0.82389999999999997</v>
      </c>
      <c r="P16" s="17" t="s">
        <v>161</v>
      </c>
      <c r="Q16" s="140">
        <v>0.17610000000000001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38467</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2"/>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2"/>
      <c r="R22" s="12"/>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27"/>
      <c r="R23" s="27"/>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27"/>
      <c r="R24" s="27"/>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27"/>
      <c r="R25" s="27"/>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27"/>
      <c r="R26" s="27"/>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27"/>
      <c r="R27" s="27"/>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27"/>
      <c r="R28" s="27"/>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27"/>
      <c r="R29" s="27"/>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33"/>
      <c r="R30" s="31"/>
      <c r="S30" s="34"/>
      <c r="T30" s="5"/>
    </row>
    <row r="31" spans="1:20" ht="15.6" x14ac:dyDescent="0.3">
      <c r="A31" s="24"/>
      <c r="B31" s="25" t="s">
        <v>151</v>
      </c>
      <c r="C31" s="32"/>
      <c r="D31" s="31">
        <v>50000</v>
      </c>
      <c r="E31" s="32"/>
      <c r="F31" s="125">
        <v>330000</v>
      </c>
      <c r="G31" s="31"/>
      <c r="H31" s="130">
        <v>305000</v>
      </c>
      <c r="I31" s="31"/>
      <c r="J31" s="125">
        <v>453000</v>
      </c>
      <c r="K31" s="31"/>
      <c r="L31" s="130">
        <v>65000</v>
      </c>
      <c r="M31" s="31"/>
      <c r="N31" s="125">
        <v>50000</v>
      </c>
      <c r="O31" s="31"/>
      <c r="P31" s="31"/>
      <c r="Q31" s="33"/>
      <c r="R31" s="31"/>
      <c r="S31" s="34"/>
      <c r="T31" s="5"/>
    </row>
    <row r="32" spans="1:20" ht="15.6" x14ac:dyDescent="0.3">
      <c r="A32" s="28"/>
      <c r="B32" s="29" t="s">
        <v>153</v>
      </c>
      <c r="C32" s="36"/>
      <c r="D32" s="35">
        <f>D36*D30</f>
        <v>44409.3</v>
      </c>
      <c r="E32" s="36"/>
      <c r="F32" s="126">
        <f>F36*F30</f>
        <v>293108.64</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33"/>
      <c r="R33" s="31">
        <f>SUM(C33:N33)</f>
        <v>1000000</v>
      </c>
      <c r="S33" s="34"/>
      <c r="T33" s="5"/>
    </row>
    <row r="34" spans="1:20" ht="15.6" x14ac:dyDescent="0.3">
      <c r="A34" s="24"/>
      <c r="B34" s="25" t="s">
        <v>286</v>
      </c>
      <c r="C34" s="32"/>
      <c r="D34" s="31">
        <v>50000</v>
      </c>
      <c r="E34" s="32"/>
      <c r="F34" s="31">
        <v>230000</v>
      </c>
      <c r="G34" s="31"/>
      <c r="H34" s="31">
        <v>305000</v>
      </c>
      <c r="I34" s="31"/>
      <c r="J34" s="31">
        <v>315000</v>
      </c>
      <c r="K34" s="31"/>
      <c r="L34" s="31">
        <v>65000</v>
      </c>
      <c r="M34" s="31"/>
      <c r="N34" s="31">
        <v>35000</v>
      </c>
      <c r="O34" s="31"/>
      <c r="P34" s="31"/>
      <c r="Q34" s="33"/>
      <c r="R34" s="31">
        <f>SUM(C34:N34)</f>
        <v>1000000</v>
      </c>
      <c r="S34" s="34"/>
      <c r="T34" s="5"/>
    </row>
    <row r="35" spans="1:20" ht="15.6" x14ac:dyDescent="0.3">
      <c r="A35" s="28"/>
      <c r="B35" s="29" t="s">
        <v>287</v>
      </c>
      <c r="C35" s="36"/>
      <c r="D35" s="35">
        <f>D36*D33</f>
        <v>44409.3</v>
      </c>
      <c r="E35" s="36"/>
      <c r="F35" s="35">
        <f>F36*F33</f>
        <v>204287.84</v>
      </c>
      <c r="G35" s="35"/>
      <c r="H35" s="35">
        <v>305000</v>
      </c>
      <c r="I35" s="35"/>
      <c r="J35" s="35">
        <v>315000</v>
      </c>
      <c r="K35" s="35"/>
      <c r="L35" s="35">
        <v>65000</v>
      </c>
      <c r="M35" s="35"/>
      <c r="N35" s="35">
        <v>35000</v>
      </c>
      <c r="O35" s="35"/>
      <c r="P35" s="35"/>
      <c r="Q35" s="37"/>
      <c r="R35" s="35">
        <f>SUM(C35:N35)</f>
        <v>968697.14</v>
      </c>
      <c r="S35" s="34"/>
      <c r="T35" s="5"/>
    </row>
    <row r="36" spans="1:20" ht="15.6" x14ac:dyDescent="0.3">
      <c r="A36" s="28"/>
      <c r="B36" s="123" t="s">
        <v>149</v>
      </c>
      <c r="C36" s="127"/>
      <c r="D36" s="138">
        <v>0.88818600000000003</v>
      </c>
      <c r="E36" s="139"/>
      <c r="F36" s="138">
        <v>0.888208</v>
      </c>
      <c r="G36" s="138"/>
      <c r="H36" s="138">
        <v>1</v>
      </c>
      <c r="I36" s="138"/>
      <c r="J36" s="138">
        <v>1</v>
      </c>
      <c r="K36" s="138"/>
      <c r="L36" s="138">
        <v>1</v>
      </c>
      <c r="M36" s="138"/>
      <c r="N36" s="138">
        <v>1</v>
      </c>
      <c r="O36" s="31"/>
      <c r="P36" s="31"/>
      <c r="Q36" s="33"/>
      <c r="R36" s="31"/>
      <c r="S36" s="34"/>
      <c r="T36" s="5"/>
    </row>
    <row r="37" spans="1:20" ht="15.6" x14ac:dyDescent="0.3">
      <c r="A37" s="28"/>
      <c r="B37" s="123" t="s">
        <v>150</v>
      </c>
      <c r="C37" s="127"/>
      <c r="D37" s="138">
        <v>1</v>
      </c>
      <c r="E37" s="139"/>
      <c r="F37" s="138">
        <v>1</v>
      </c>
      <c r="G37" s="138"/>
      <c r="H37" s="138">
        <v>1</v>
      </c>
      <c r="I37" s="138"/>
      <c r="J37" s="138">
        <v>1</v>
      </c>
      <c r="K37" s="138"/>
      <c r="L37" s="138">
        <v>1</v>
      </c>
      <c r="M37" s="138"/>
      <c r="N37" s="138">
        <v>1</v>
      </c>
      <c r="O37" s="129"/>
      <c r="P37" s="129"/>
      <c r="Q37" s="33"/>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27"/>
      <c r="R38" s="27"/>
      <c r="S38" s="25"/>
      <c r="T38" s="5"/>
    </row>
    <row r="39" spans="1:20" ht="15.6" x14ac:dyDescent="0.3">
      <c r="A39" s="24"/>
      <c r="B39" s="25" t="s">
        <v>13</v>
      </c>
      <c r="C39" s="25"/>
      <c r="D39" s="38">
        <v>5.0509900000000003E-2</v>
      </c>
      <c r="E39" s="25"/>
      <c r="F39" s="38">
        <v>2.282E-2</v>
      </c>
      <c r="G39" s="39"/>
      <c r="H39" s="38">
        <v>5.1309899999999999E-2</v>
      </c>
      <c r="I39" s="39"/>
      <c r="J39" s="38">
        <v>2.3519999999999999E-2</v>
      </c>
      <c r="K39" s="39"/>
      <c r="L39" s="38">
        <v>5.5909899999999998E-2</v>
      </c>
      <c r="M39" s="39"/>
      <c r="N39" s="38">
        <v>2.7720000000000002E-2</v>
      </c>
      <c r="O39" s="39"/>
      <c r="P39" s="38"/>
      <c r="Q39" s="27"/>
      <c r="R39" s="39"/>
      <c r="S39" s="25"/>
      <c r="T39" s="5"/>
    </row>
    <row r="40" spans="1:20" ht="15.6" x14ac:dyDescent="0.3">
      <c r="A40" s="24"/>
      <c r="B40" s="25" t="s">
        <v>14</v>
      </c>
      <c r="C40" s="25"/>
      <c r="D40" s="38">
        <v>0</v>
      </c>
      <c r="E40" s="25"/>
      <c r="F40" s="38">
        <v>0</v>
      </c>
      <c r="G40" s="39"/>
      <c r="H40" s="38">
        <v>0</v>
      </c>
      <c r="I40" s="38"/>
      <c r="J40" s="38">
        <v>0</v>
      </c>
      <c r="K40" s="38"/>
      <c r="L40" s="38">
        <v>0</v>
      </c>
      <c r="M40" s="38"/>
      <c r="N40" s="38">
        <v>0</v>
      </c>
      <c r="O40" s="39"/>
      <c r="P40" s="38"/>
      <c r="Q40" s="27"/>
      <c r="R40" s="27"/>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27"/>
      <c r="R41" s="39"/>
      <c r="S41" s="25"/>
      <c r="T41" s="5"/>
    </row>
    <row r="42" spans="1:20" ht="15.6" x14ac:dyDescent="0.3">
      <c r="A42" s="24"/>
      <c r="B42" s="25" t="s">
        <v>289</v>
      </c>
      <c r="C42" s="25"/>
      <c r="D42" s="38">
        <f>+D39</f>
        <v>5.0509900000000003E-2</v>
      </c>
      <c r="E42" s="25"/>
      <c r="F42" s="38">
        <v>5.0722900000000001E-2</v>
      </c>
      <c r="G42" s="39"/>
      <c r="H42" s="38">
        <f>+H39</f>
        <v>5.1309899999999999E-2</v>
      </c>
      <c r="I42" s="39"/>
      <c r="J42" s="38">
        <v>5.1707900000000001E-2</v>
      </c>
      <c r="K42" s="39"/>
      <c r="L42" s="38">
        <f>+L39</f>
        <v>5.5909899999999998E-2</v>
      </c>
      <c r="M42" s="39"/>
      <c r="N42" s="38">
        <v>5.6286900000000001E-2</v>
      </c>
      <c r="O42" s="39"/>
      <c r="P42" s="38"/>
      <c r="Q42" s="27"/>
      <c r="R42" s="39">
        <f>SUMPRODUCT(D42:N42,D33:N33)/R33</f>
        <v>5.1733455000000005E-2</v>
      </c>
      <c r="S42" s="25"/>
      <c r="T42" s="5"/>
    </row>
    <row r="43" spans="1:20" ht="15.6" x14ac:dyDescent="0.3">
      <c r="A43" s="24"/>
      <c r="B43" s="25" t="s">
        <v>290</v>
      </c>
      <c r="C43" s="25"/>
      <c r="D43" s="38">
        <v>0</v>
      </c>
      <c r="E43" s="25"/>
      <c r="F43" s="38">
        <v>0</v>
      </c>
      <c r="G43" s="39"/>
      <c r="H43" s="38">
        <v>0</v>
      </c>
      <c r="I43" s="39"/>
      <c r="J43" s="38">
        <v>0</v>
      </c>
      <c r="K43" s="39"/>
      <c r="L43" s="38">
        <v>0</v>
      </c>
      <c r="M43" s="39"/>
      <c r="N43" s="38">
        <v>0</v>
      </c>
      <c r="O43" s="39"/>
      <c r="P43" s="38"/>
      <c r="Q43" s="27"/>
      <c r="R43" s="27"/>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27"/>
      <c r="R44" s="27"/>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27"/>
      <c r="R45" s="27"/>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27"/>
      <c r="R46" s="27"/>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27"/>
      <c r="R47" s="27"/>
      <c r="S47" s="25"/>
      <c r="T47" s="5"/>
    </row>
    <row r="48" spans="1:20" ht="15.6" x14ac:dyDescent="0.3">
      <c r="A48" s="24"/>
      <c r="B48" s="25"/>
      <c r="C48" s="25"/>
      <c r="D48" s="25"/>
      <c r="E48" s="25"/>
      <c r="F48" s="30"/>
      <c r="G48" s="30"/>
      <c r="H48" s="40"/>
      <c r="I48" s="40"/>
      <c r="J48" s="40"/>
      <c r="K48" s="40"/>
      <c r="L48" s="40"/>
      <c r="M48" s="40"/>
      <c r="N48" s="40"/>
      <c r="O48" s="40"/>
      <c r="P48" s="40"/>
      <c r="Q48" s="40"/>
      <c r="R48" s="40"/>
      <c r="S48" s="25"/>
      <c r="T48" s="5"/>
    </row>
    <row r="49" spans="1:21" ht="15.6" x14ac:dyDescent="0.3">
      <c r="A49" s="24"/>
      <c r="B49" s="25" t="s">
        <v>17</v>
      </c>
      <c r="C49" s="25"/>
      <c r="D49" s="25"/>
      <c r="E49" s="25"/>
      <c r="F49" s="41"/>
      <c r="G49" s="25"/>
      <c r="H49" s="25"/>
      <c r="I49" s="25"/>
      <c r="J49" s="25"/>
      <c r="K49" s="25"/>
      <c r="L49" s="25"/>
      <c r="M49" s="25"/>
      <c r="N49" s="25"/>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0.11511491795633171</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38457</v>
      </c>
      <c r="S54" s="25"/>
      <c r="T54" s="5"/>
    </row>
    <row r="55" spans="1:21" ht="15.6" x14ac:dyDescent="0.3">
      <c r="A55" s="24"/>
      <c r="B55" s="25" t="s">
        <v>140</v>
      </c>
      <c r="C55" s="25"/>
      <c r="D55" s="25"/>
      <c r="E55" s="25"/>
      <c r="F55" s="25"/>
      <c r="G55" s="25"/>
      <c r="H55" s="58"/>
      <c r="I55" s="58"/>
      <c r="J55" s="58"/>
      <c r="K55" s="58"/>
      <c r="L55" s="58"/>
      <c r="M55" s="58"/>
      <c r="N55" s="58"/>
      <c r="O55" s="58"/>
      <c r="P55" s="45"/>
      <c r="Q55" s="46"/>
      <c r="R55" s="45"/>
      <c r="S55" s="25"/>
      <c r="T55" s="5"/>
    </row>
    <row r="56" spans="1:21" ht="15.6" x14ac:dyDescent="0.3">
      <c r="A56" s="24"/>
      <c r="B56" s="25" t="s">
        <v>141</v>
      </c>
      <c r="C56" s="25"/>
      <c r="D56" s="25"/>
      <c r="E56" s="25"/>
      <c r="F56" s="25"/>
      <c r="G56" s="25"/>
      <c r="H56" s="25"/>
      <c r="I56" s="25"/>
      <c r="J56" s="25"/>
      <c r="K56" s="25"/>
      <c r="L56" s="25"/>
      <c r="M56" s="25"/>
      <c r="N56" s="25">
        <f>+R56-P56+1</f>
        <v>170</v>
      </c>
      <c r="O56" s="25"/>
      <c r="P56" s="45">
        <v>38287</v>
      </c>
      <c r="Q56" s="46"/>
      <c r="R56" s="45">
        <v>38456</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38443</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202</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729883</v>
      </c>
      <c r="K67" s="34"/>
      <c r="L67" s="34">
        <f>29647+10015+1472+1123+9</f>
        <v>42266</v>
      </c>
      <c r="M67" s="34"/>
      <c r="N67" s="34">
        <f>10015+1123+269933+9</f>
        <v>281080</v>
      </c>
      <c r="O67" s="34"/>
      <c r="P67" s="34">
        <v>0</v>
      </c>
      <c r="Q67" s="34"/>
      <c r="R67" s="53">
        <f>+J67-L67+N67-P67</f>
        <v>968697</v>
      </c>
      <c r="S67" s="25"/>
      <c r="T67" s="5"/>
    </row>
    <row r="68" spans="1:20" ht="15.6" x14ac:dyDescent="0.3">
      <c r="A68" s="24"/>
      <c r="B68" s="25" t="s">
        <v>24</v>
      </c>
      <c r="C68" s="34"/>
      <c r="D68" s="34"/>
      <c r="E68" s="34"/>
      <c r="F68" s="34"/>
      <c r="G68" s="34"/>
      <c r="H68" s="34">
        <v>184</v>
      </c>
      <c r="I68" s="34"/>
      <c r="J68" s="53">
        <v>184</v>
      </c>
      <c r="K68" s="34"/>
      <c r="L68" s="34">
        <v>184</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730067</v>
      </c>
      <c r="K70" s="34"/>
      <c r="L70" s="34">
        <f>SUM(L67:L69)</f>
        <v>42450</v>
      </c>
      <c r="M70" s="34"/>
      <c r="N70" s="34">
        <f>SUM(N67:N69)</f>
        <v>281080</v>
      </c>
      <c r="O70" s="34"/>
      <c r="P70" s="34">
        <f>SUM(P67:P69)</f>
        <v>0</v>
      </c>
      <c r="Q70" s="34"/>
      <c r="R70" s="54">
        <f>SUM(R67:R69)</f>
        <v>968697</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269933</v>
      </c>
      <c r="K80" s="34"/>
      <c r="L80" s="34"/>
      <c r="M80" s="34"/>
      <c r="N80" s="34">
        <v>-269933</v>
      </c>
      <c r="O80" s="34"/>
      <c r="P80" s="34"/>
      <c r="Q80" s="34"/>
      <c r="R80" s="54">
        <f>SUM(J80:N80)</f>
        <v>0</v>
      </c>
      <c r="S80" s="25"/>
      <c r="T80" s="5"/>
    </row>
    <row r="81" spans="1:20" ht="15.6" x14ac:dyDescent="0.3">
      <c r="A81" s="24"/>
      <c r="B81" s="25" t="s">
        <v>170</v>
      </c>
      <c r="C81" s="34"/>
      <c r="D81" s="34"/>
      <c r="E81" s="34"/>
      <c r="F81" s="34"/>
      <c r="G81" s="34"/>
      <c r="H81" s="34">
        <v>0</v>
      </c>
      <c r="I81" s="34"/>
      <c r="J81" s="34"/>
      <c r="K81" s="34"/>
      <c r="L81" s="34"/>
      <c r="M81" s="34"/>
      <c r="N81" s="34"/>
      <c r="O81" s="34"/>
      <c r="P81" s="34"/>
      <c r="Q81" s="34"/>
      <c r="R81" s="54"/>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1000000</v>
      </c>
      <c r="K83" s="34"/>
      <c r="L83" s="34"/>
      <c r="M83" s="34"/>
      <c r="N83" s="34"/>
      <c r="O83" s="34"/>
      <c r="P83" s="54"/>
      <c r="Q83" s="34"/>
      <c r="R83" s="54">
        <f>SUM(R70:R82)</f>
        <v>968697</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
      <c r="I86" s="17"/>
      <c r="J86" s="17"/>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106</v>
      </c>
      <c r="I88" s="57"/>
      <c r="J88" s="128">
        <f>+P185</f>
        <v>38442</v>
      </c>
      <c r="K88" s="25"/>
      <c r="L88" s="25"/>
      <c r="M88" s="25"/>
      <c r="N88" s="25"/>
      <c r="O88" s="25"/>
      <c r="P88" s="34">
        <v>42266</v>
      </c>
      <c r="Q88" s="25"/>
      <c r="R88" s="53"/>
      <c r="S88" s="25"/>
      <c r="T88" s="5"/>
    </row>
    <row r="89" spans="1:20" ht="15.6" x14ac:dyDescent="0.3">
      <c r="A89" s="24"/>
      <c r="B89" s="25" t="s">
        <v>34</v>
      </c>
      <c r="C89" s="25"/>
      <c r="D89" s="25"/>
      <c r="E89" s="25"/>
      <c r="F89" s="25"/>
      <c r="G89" s="25"/>
      <c r="H89" s="25"/>
      <c r="I89" s="25"/>
      <c r="J89" s="25"/>
      <c r="K89" s="25"/>
      <c r="L89" s="25"/>
      <c r="M89" s="25"/>
      <c r="N89" s="25"/>
      <c r="O89" s="25"/>
      <c r="P89" s="34"/>
      <c r="Q89" s="25"/>
      <c r="R89" s="53">
        <f>29544-63-9</f>
        <v>29472</v>
      </c>
      <c r="S89" s="25"/>
      <c r="T89" s="5"/>
    </row>
    <row r="90" spans="1:20" ht="15.6" x14ac:dyDescent="0.3">
      <c r="A90" s="24"/>
      <c r="B90" s="25" t="s">
        <v>154</v>
      </c>
      <c r="C90" s="25"/>
      <c r="D90" s="25"/>
      <c r="E90" s="25"/>
      <c r="F90" s="25"/>
      <c r="G90" s="25"/>
      <c r="H90" s="25"/>
      <c r="I90" s="25"/>
      <c r="J90" s="25"/>
      <c r="K90" s="25"/>
      <c r="L90" s="25"/>
      <c r="M90" s="25"/>
      <c r="N90" s="25"/>
      <c r="O90" s="25"/>
      <c r="P90" s="34"/>
      <c r="Q90" s="25"/>
      <c r="R90" s="53">
        <v>0</v>
      </c>
      <c r="S90" s="25"/>
      <c r="T90" s="5"/>
    </row>
    <row r="91" spans="1:20" ht="15.6" x14ac:dyDescent="0.3">
      <c r="A91" s="24"/>
      <c r="B91" s="25" t="s">
        <v>199</v>
      </c>
      <c r="C91" s="25"/>
      <c r="D91" s="25"/>
      <c r="E91" s="25"/>
      <c r="F91" s="25"/>
      <c r="G91" s="25"/>
      <c r="H91" s="25"/>
      <c r="I91" s="25"/>
      <c r="J91" s="25"/>
      <c r="K91" s="25"/>
      <c r="L91" s="25"/>
      <c r="M91" s="25"/>
      <c r="N91" s="25"/>
      <c r="O91" s="25"/>
      <c r="P91" s="34"/>
      <c r="Q91" s="25"/>
      <c r="R91" s="53">
        <v>0</v>
      </c>
      <c r="S91" s="25"/>
      <c r="T91" s="5"/>
    </row>
    <row r="92" spans="1:20" ht="15.6" x14ac:dyDescent="0.3">
      <c r="A92" s="24"/>
      <c r="B92" s="25" t="s">
        <v>35</v>
      </c>
      <c r="C92" s="25"/>
      <c r="D92" s="25"/>
      <c r="E92" s="25"/>
      <c r="F92" s="25"/>
      <c r="G92" s="25"/>
      <c r="H92" s="25"/>
      <c r="I92" s="25"/>
      <c r="J92" s="25"/>
      <c r="K92" s="25"/>
      <c r="L92" s="25"/>
      <c r="M92" s="25"/>
      <c r="N92" s="25"/>
      <c r="O92" s="25"/>
      <c r="P92" s="34">
        <f>SUM(P87:P91)</f>
        <v>42266</v>
      </c>
      <c r="Q92" s="25"/>
      <c r="R92" s="54">
        <f>SUM(R87:R91)</f>
        <v>29472</v>
      </c>
      <c r="S92" s="25"/>
      <c r="T92" s="5"/>
    </row>
    <row r="93" spans="1:20" ht="15.6" x14ac:dyDescent="0.3">
      <c r="A93" s="24"/>
      <c r="B93" s="25" t="s">
        <v>235</v>
      </c>
      <c r="C93" s="25"/>
      <c r="D93" s="25"/>
      <c r="E93" s="25"/>
      <c r="F93" s="25"/>
      <c r="G93" s="25"/>
      <c r="H93" s="25"/>
      <c r="I93" s="25"/>
      <c r="J93" s="25"/>
      <c r="K93" s="25"/>
      <c r="L93" s="25"/>
      <c r="M93" s="25"/>
      <c r="N93" s="25"/>
      <c r="O93" s="25"/>
      <c r="P93" s="34">
        <v>-9</v>
      </c>
      <c r="Q93" s="25"/>
      <c r="R93" s="54">
        <f>-P93</f>
        <v>9</v>
      </c>
      <c r="S93" s="25"/>
      <c r="T93" s="5"/>
    </row>
    <row r="94" spans="1:20" ht="15.6" x14ac:dyDescent="0.3">
      <c r="A94" s="24"/>
      <c r="B94" s="25" t="s">
        <v>36</v>
      </c>
      <c r="C94" s="25"/>
      <c r="D94" s="25"/>
      <c r="E94" s="25"/>
      <c r="F94" s="25"/>
      <c r="G94" s="25"/>
      <c r="H94" s="25"/>
      <c r="I94" s="25"/>
      <c r="J94" s="25"/>
      <c r="K94" s="25"/>
      <c r="L94" s="25"/>
      <c r="M94" s="25"/>
      <c r="N94" s="25"/>
      <c r="O94" s="25"/>
      <c r="P94" s="34">
        <f>-R94</f>
        <v>184</v>
      </c>
      <c r="Q94" s="25"/>
      <c r="R94" s="53">
        <v>-184</v>
      </c>
      <c r="S94" s="25"/>
      <c r="T94" s="5"/>
    </row>
    <row r="95" spans="1:20" ht="15.6" x14ac:dyDescent="0.3">
      <c r="A95" s="24"/>
      <c r="B95" s="25" t="s">
        <v>37</v>
      </c>
      <c r="C95" s="25"/>
      <c r="D95" s="25"/>
      <c r="E95" s="25"/>
      <c r="F95" s="25"/>
      <c r="G95" s="25"/>
      <c r="H95" s="25"/>
      <c r="I95" s="25"/>
      <c r="J95" s="25"/>
      <c r="K95" s="25"/>
      <c r="L95" s="25"/>
      <c r="M95" s="25"/>
      <c r="N95" s="25"/>
      <c r="O95" s="25"/>
      <c r="P95" s="34">
        <f>P92+P94+P93</f>
        <v>42441</v>
      </c>
      <c r="Q95" s="25"/>
      <c r="R95" s="54">
        <f>R92+R94+R93</f>
        <v>29297</v>
      </c>
      <c r="S95" s="25"/>
      <c r="T95" s="5"/>
    </row>
    <row r="96" spans="1:20" ht="15.6" x14ac:dyDescent="0.3">
      <c r="A96" s="24"/>
      <c r="B96" s="119" t="s">
        <v>38</v>
      </c>
      <c r="C96" s="25"/>
      <c r="D96" s="25"/>
      <c r="E96" s="25"/>
      <c r="F96" s="25"/>
      <c r="G96" s="25"/>
      <c r="H96" s="25"/>
      <c r="I96" s="25"/>
      <c r="J96" s="25"/>
      <c r="K96" s="25"/>
      <c r="L96" s="25"/>
      <c r="M96" s="25"/>
      <c r="N96" s="25"/>
      <c r="O96" s="25"/>
      <c r="P96" s="34"/>
      <c r="Q96" s="25"/>
      <c r="R96" s="53"/>
      <c r="S96" s="25"/>
      <c r="T96" s="5"/>
    </row>
    <row r="97" spans="1:21" ht="15.6" x14ac:dyDescent="0.3">
      <c r="A97" s="24">
        <v>1</v>
      </c>
      <c r="B97" s="25" t="s">
        <v>39</v>
      </c>
      <c r="C97" s="25"/>
      <c r="D97" s="25"/>
      <c r="E97" s="25"/>
      <c r="F97" s="25"/>
      <c r="G97" s="25"/>
      <c r="H97" s="25"/>
      <c r="I97" s="25"/>
      <c r="J97" s="25"/>
      <c r="K97" s="25"/>
      <c r="L97" s="25"/>
      <c r="M97" s="25"/>
      <c r="N97" s="25"/>
      <c r="O97" s="25"/>
      <c r="P97" s="25"/>
      <c r="Q97" s="25"/>
      <c r="R97" s="53">
        <f>-2914-637</f>
        <v>-3551</v>
      </c>
      <c r="S97" s="25"/>
      <c r="T97" s="5"/>
    </row>
    <row r="98" spans="1:21" ht="15.6" x14ac:dyDescent="0.3">
      <c r="A98" s="24">
        <f>+A97+1</f>
        <v>2</v>
      </c>
      <c r="B98" s="25" t="s">
        <v>40</v>
      </c>
      <c r="C98" s="25"/>
      <c r="D98" s="25"/>
      <c r="E98" s="25"/>
      <c r="F98" s="25"/>
      <c r="G98" s="25"/>
      <c r="H98" s="25"/>
      <c r="I98" s="25"/>
      <c r="J98" s="25"/>
      <c r="K98" s="25"/>
      <c r="L98" s="25"/>
      <c r="M98" s="25"/>
      <c r="N98" s="25"/>
      <c r="O98" s="25"/>
      <c r="P98" s="25"/>
      <c r="Q98" s="25"/>
      <c r="R98" s="53">
        <v>-3</v>
      </c>
      <c r="S98" s="25"/>
      <c r="T98" s="5"/>
    </row>
    <row r="99" spans="1:21" ht="15.6" x14ac:dyDescent="0.3">
      <c r="A99" s="24">
        <f>+A98+1</f>
        <v>3</v>
      </c>
      <c r="B99" s="25" t="s">
        <v>174</v>
      </c>
      <c r="C99" s="25"/>
      <c r="D99" s="25"/>
      <c r="E99" s="25"/>
      <c r="F99" s="25"/>
      <c r="G99" s="25"/>
      <c r="H99" s="25"/>
      <c r="I99" s="25"/>
      <c r="J99" s="25"/>
      <c r="K99" s="25"/>
      <c r="L99" s="25"/>
      <c r="M99" s="25"/>
      <c r="N99" s="25"/>
      <c r="O99" s="25"/>
      <c r="P99" s="25"/>
      <c r="Q99" s="25"/>
      <c r="R99" s="53">
        <f>-309-58-26</f>
        <v>-393</v>
      </c>
      <c r="S99" s="25"/>
      <c r="T99" s="5"/>
    </row>
    <row r="100" spans="1:21" ht="15.6" x14ac:dyDescent="0.3">
      <c r="A100" s="24" t="s">
        <v>146</v>
      </c>
      <c r="B100" s="25" t="s">
        <v>131</v>
      </c>
      <c r="C100" s="25"/>
      <c r="D100" s="25"/>
      <c r="E100" s="25"/>
      <c r="F100" s="25"/>
      <c r="G100" s="25"/>
      <c r="H100" s="25"/>
      <c r="I100" s="25"/>
      <c r="J100" s="25"/>
      <c r="K100" s="25"/>
      <c r="L100" s="25"/>
      <c r="M100" s="25"/>
      <c r="N100" s="25"/>
      <c r="O100" s="25"/>
      <c r="P100" s="25"/>
      <c r="Q100" s="25"/>
      <c r="R100" s="53">
        <f>-472+63</f>
        <v>-409</v>
      </c>
      <c r="S100" s="25"/>
      <c r="T100" s="5"/>
    </row>
    <row r="101" spans="1:21" ht="15.6" x14ac:dyDescent="0.3">
      <c r="A101" s="24" t="s">
        <v>147</v>
      </c>
      <c r="B101" s="25" t="s">
        <v>218</v>
      </c>
      <c r="C101" s="25"/>
      <c r="D101" s="25"/>
      <c r="E101" s="25"/>
      <c r="F101" s="25"/>
      <c r="G101" s="25"/>
      <c r="H101" s="25"/>
      <c r="I101" s="25"/>
      <c r="J101" s="25"/>
      <c r="K101" s="25"/>
      <c r="L101" s="25"/>
      <c r="M101" s="25"/>
      <c r="N101" s="25"/>
      <c r="O101" s="25"/>
      <c r="P101" s="25"/>
      <c r="Q101" s="25"/>
      <c r="R101" s="53">
        <v>-5</v>
      </c>
      <c r="S101" s="25"/>
      <c r="T101" s="5"/>
    </row>
    <row r="102" spans="1:21" ht="15.6" x14ac:dyDescent="0.3">
      <c r="A102" s="24" t="s">
        <v>176</v>
      </c>
      <c r="B102" s="25" t="s">
        <v>230</v>
      </c>
      <c r="C102" s="25"/>
      <c r="D102" s="25"/>
      <c r="E102" s="25"/>
      <c r="F102" s="25"/>
      <c r="G102" s="25"/>
      <c r="H102" s="25"/>
      <c r="I102" s="25"/>
      <c r="J102" s="25"/>
      <c r="K102" s="25"/>
      <c r="L102" s="25"/>
      <c r="M102" s="25"/>
      <c r="N102" s="25"/>
      <c r="O102" s="25"/>
      <c r="P102" s="25"/>
      <c r="Q102" s="25"/>
      <c r="R102" s="53">
        <v>-1176</v>
      </c>
      <c r="S102" s="25"/>
      <c r="T102" s="5"/>
      <c r="U102" s="110"/>
    </row>
    <row r="103" spans="1:21" ht="15.6" x14ac:dyDescent="0.3">
      <c r="A103" s="24" t="s">
        <v>177</v>
      </c>
      <c r="B103" s="25" t="s">
        <v>231</v>
      </c>
      <c r="C103" s="25"/>
      <c r="D103" s="25"/>
      <c r="E103" s="25"/>
      <c r="F103" s="25"/>
      <c r="G103" s="25"/>
      <c r="H103" s="25"/>
      <c r="I103" s="25"/>
      <c r="J103" s="25"/>
      <c r="K103" s="25"/>
      <c r="L103" s="25"/>
      <c r="M103" s="25"/>
      <c r="N103" s="25"/>
      <c r="O103" s="25"/>
      <c r="P103" s="25"/>
      <c r="Q103" s="25"/>
      <c r="R103" s="53">
        <v>-5433</v>
      </c>
      <c r="S103" s="25"/>
      <c r="T103" s="5"/>
    </row>
    <row r="104" spans="1:21" ht="15.6" x14ac:dyDescent="0.3">
      <c r="A104" s="24" t="s">
        <v>248</v>
      </c>
      <c r="B104" s="25" t="s">
        <v>232</v>
      </c>
      <c r="C104" s="25"/>
      <c r="D104" s="25"/>
      <c r="E104" s="25"/>
      <c r="F104" s="25"/>
      <c r="G104" s="25"/>
      <c r="H104" s="25"/>
      <c r="I104" s="25"/>
      <c r="J104" s="25"/>
      <c r="K104" s="25"/>
      <c r="L104" s="25"/>
      <c r="M104" s="25"/>
      <c r="N104" s="25"/>
      <c r="O104" s="25"/>
      <c r="P104" s="25"/>
      <c r="Q104" s="25"/>
      <c r="R104" s="53">
        <v>-7289</v>
      </c>
      <c r="S104" s="25"/>
      <c r="T104" s="5"/>
    </row>
    <row r="105" spans="1:21" ht="15.6" x14ac:dyDescent="0.3">
      <c r="A105" s="24" t="s">
        <v>205</v>
      </c>
      <c r="B105" s="25" t="s">
        <v>233</v>
      </c>
      <c r="C105" s="25"/>
      <c r="D105" s="25"/>
      <c r="E105" s="25"/>
      <c r="F105" s="25"/>
      <c r="G105" s="25"/>
      <c r="H105" s="25"/>
      <c r="I105" s="25"/>
      <c r="J105" s="25"/>
      <c r="K105" s="25"/>
      <c r="L105" s="25"/>
      <c r="M105" s="25"/>
      <c r="N105" s="25"/>
      <c r="O105" s="25"/>
      <c r="P105" s="25"/>
      <c r="Q105" s="25"/>
      <c r="R105" s="53">
        <v>-7586</v>
      </c>
      <c r="S105" s="25"/>
      <c r="T105" s="5"/>
    </row>
    <row r="106" spans="1:21" ht="15.6" x14ac:dyDescent="0.3">
      <c r="A106" s="24" t="s">
        <v>249</v>
      </c>
      <c r="B106" s="25" t="s">
        <v>234</v>
      </c>
      <c r="C106" s="25"/>
      <c r="D106" s="25"/>
      <c r="E106" s="25"/>
      <c r="F106" s="25"/>
      <c r="G106" s="25"/>
      <c r="H106" s="25"/>
      <c r="I106" s="25"/>
      <c r="J106" s="25"/>
      <c r="K106" s="25"/>
      <c r="L106" s="25"/>
      <c r="M106" s="25"/>
      <c r="N106" s="25"/>
      <c r="O106" s="25"/>
      <c r="P106" s="25"/>
      <c r="Q106" s="25"/>
      <c r="R106" s="53">
        <v>-1693</v>
      </c>
      <c r="S106" s="25"/>
      <c r="T106" s="5"/>
      <c r="U106" s="110"/>
    </row>
    <row r="107" spans="1:21" ht="15.6" x14ac:dyDescent="0.3">
      <c r="A107" s="24" t="s">
        <v>250</v>
      </c>
      <c r="B107" s="25" t="s">
        <v>168</v>
      </c>
      <c r="C107" s="25"/>
      <c r="D107" s="25"/>
      <c r="E107" s="25"/>
      <c r="F107" s="25"/>
      <c r="G107" s="25"/>
      <c r="H107" s="25"/>
      <c r="I107" s="25"/>
      <c r="J107" s="25"/>
      <c r="K107" s="25"/>
      <c r="L107" s="25"/>
      <c r="M107" s="25"/>
      <c r="N107" s="25"/>
      <c r="O107" s="25"/>
      <c r="P107" s="25"/>
      <c r="Q107" s="25"/>
      <c r="R107" s="53">
        <v>-917</v>
      </c>
      <c r="S107" s="25"/>
      <c r="T107" s="5"/>
    </row>
    <row r="108" spans="1:21" ht="15.6" x14ac:dyDescent="0.3">
      <c r="A108" s="24">
        <v>6</v>
      </c>
      <c r="B108" s="25" t="s">
        <v>41</v>
      </c>
      <c r="C108" s="25"/>
      <c r="D108" s="25"/>
      <c r="E108" s="25"/>
      <c r="F108" s="25"/>
      <c r="G108" s="25"/>
      <c r="H108" s="25"/>
      <c r="I108" s="25"/>
      <c r="J108" s="25"/>
      <c r="K108" s="25"/>
      <c r="L108" s="25"/>
      <c r="M108" s="25"/>
      <c r="N108" s="25"/>
      <c r="O108" s="25"/>
      <c r="P108" s="25"/>
      <c r="Q108" s="25"/>
      <c r="R108" s="53">
        <v>-10</v>
      </c>
      <c r="S108" s="25"/>
      <c r="T108" s="5"/>
    </row>
    <row r="109" spans="1:21" ht="15.6" x14ac:dyDescent="0.3">
      <c r="A109" s="24">
        <f t="shared" ref="A109:A114" si="0">+A108+1</f>
        <v>7</v>
      </c>
      <c r="B109" s="25" t="s">
        <v>53</v>
      </c>
      <c r="C109" s="25"/>
      <c r="D109" s="25"/>
      <c r="E109" s="25"/>
      <c r="F109" s="25"/>
      <c r="G109" s="25"/>
      <c r="H109" s="25"/>
      <c r="I109" s="25"/>
      <c r="J109" s="25"/>
      <c r="K109" s="25"/>
      <c r="L109" s="25"/>
      <c r="M109" s="25"/>
      <c r="N109" s="25"/>
      <c r="O109" s="25"/>
      <c r="P109" s="25"/>
      <c r="Q109" s="25"/>
      <c r="R109" s="53">
        <v>0</v>
      </c>
      <c r="S109" s="25"/>
      <c r="T109" s="5"/>
    </row>
    <row r="110" spans="1:21" ht="15.6" x14ac:dyDescent="0.3">
      <c r="A110" s="24">
        <f t="shared" si="0"/>
        <v>8</v>
      </c>
      <c r="B110" s="25" t="s">
        <v>144</v>
      </c>
      <c r="C110" s="25"/>
      <c r="D110" s="25"/>
      <c r="E110" s="25"/>
      <c r="F110" s="25"/>
      <c r="G110" s="25"/>
      <c r="H110" s="25"/>
      <c r="I110" s="25"/>
      <c r="J110" s="25"/>
      <c r="K110" s="25"/>
      <c r="L110" s="25"/>
      <c r="M110" s="25"/>
      <c r="N110" s="25"/>
      <c r="O110" s="25"/>
      <c r="P110" s="25"/>
      <c r="Q110" s="25"/>
      <c r="R110" s="53">
        <v>0</v>
      </c>
      <c r="S110" s="25"/>
      <c r="T110" s="5"/>
    </row>
    <row r="111" spans="1:21" ht="15.6" x14ac:dyDescent="0.3">
      <c r="A111" s="24">
        <f t="shared" si="0"/>
        <v>9</v>
      </c>
      <c r="B111" s="25" t="s">
        <v>42</v>
      </c>
      <c r="C111" s="25"/>
      <c r="D111" s="25"/>
      <c r="E111" s="25"/>
      <c r="F111" s="25"/>
      <c r="G111" s="25"/>
      <c r="H111" s="25"/>
      <c r="I111" s="25"/>
      <c r="J111" s="25"/>
      <c r="K111" s="25"/>
      <c r="L111" s="25"/>
      <c r="M111" s="25"/>
      <c r="N111" s="25"/>
      <c r="O111" s="25"/>
      <c r="P111" s="25"/>
      <c r="Q111" s="25"/>
      <c r="R111" s="53">
        <v>0</v>
      </c>
      <c r="S111" s="25"/>
      <c r="T111" s="5"/>
    </row>
    <row r="112" spans="1:21" ht="15.6" x14ac:dyDescent="0.3">
      <c r="A112" s="24">
        <f t="shared" si="0"/>
        <v>10</v>
      </c>
      <c r="B112" s="25" t="s">
        <v>43</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11</v>
      </c>
      <c r="B113" s="25" t="s">
        <v>175</v>
      </c>
      <c r="C113" s="25"/>
      <c r="D113" s="25"/>
      <c r="E113" s="25"/>
      <c r="F113" s="25"/>
      <c r="G113" s="25"/>
      <c r="H113" s="25"/>
      <c r="I113" s="25"/>
      <c r="J113" s="25"/>
      <c r="K113" s="25"/>
      <c r="L113" s="25"/>
      <c r="M113" s="25"/>
      <c r="N113" s="25"/>
      <c r="O113" s="25"/>
      <c r="P113" s="25"/>
      <c r="Q113" s="25"/>
      <c r="R113" s="53">
        <v>-627</v>
      </c>
      <c r="S113" s="25"/>
      <c r="T113" s="5"/>
    </row>
    <row r="114" spans="1:20" ht="15.6" x14ac:dyDescent="0.3">
      <c r="A114" s="24">
        <f t="shared" si="0"/>
        <v>12</v>
      </c>
      <c r="B114" s="25" t="s">
        <v>145</v>
      </c>
      <c r="C114" s="25"/>
      <c r="D114" s="25"/>
      <c r="E114" s="25"/>
      <c r="F114" s="25"/>
      <c r="G114" s="25"/>
      <c r="H114" s="25"/>
      <c r="I114" s="25"/>
      <c r="J114" s="25"/>
      <c r="K114" s="25"/>
      <c r="L114" s="25"/>
      <c r="M114" s="25"/>
      <c r="N114" s="25"/>
      <c r="O114" s="25"/>
      <c r="P114" s="25"/>
      <c r="Q114" s="25"/>
      <c r="R114" s="53">
        <f>-R95-SUM(R97:R113)</f>
        <v>-205</v>
      </c>
      <c r="S114" s="25"/>
      <c r="T114" s="5"/>
    </row>
    <row r="115" spans="1:20" ht="15.6" x14ac:dyDescent="0.3">
      <c r="A115" s="24"/>
      <c r="B115" s="119" t="s">
        <v>44</v>
      </c>
      <c r="C115" s="25"/>
      <c r="D115" s="25"/>
      <c r="E115" s="25"/>
      <c r="F115" s="25"/>
      <c r="G115" s="25"/>
      <c r="H115" s="25"/>
      <c r="I115" s="25"/>
      <c r="J115" s="25"/>
      <c r="K115" s="25"/>
      <c r="L115" s="25"/>
      <c r="M115" s="25"/>
      <c r="N115" s="25"/>
      <c r="O115" s="25"/>
      <c r="P115" s="25"/>
      <c r="Q115" s="25"/>
      <c r="R115" s="59"/>
      <c r="S115" s="25"/>
      <c r="T115" s="5"/>
    </row>
    <row r="116" spans="1:20" ht="15.6" x14ac:dyDescent="0.3">
      <c r="A116" s="24"/>
      <c r="B116" s="25" t="s">
        <v>45</v>
      </c>
      <c r="C116" s="25"/>
      <c r="D116" s="25"/>
      <c r="E116" s="25"/>
      <c r="F116" s="25"/>
      <c r="G116" s="25"/>
      <c r="H116" s="25"/>
      <c r="I116" s="25"/>
      <c r="J116" s="25"/>
      <c r="K116" s="25"/>
      <c r="L116" s="25"/>
      <c r="M116" s="25"/>
      <c r="N116" s="25"/>
      <c r="O116" s="25"/>
      <c r="P116" s="34">
        <f>-P171</f>
        <v>-2644</v>
      </c>
      <c r="Q116" s="34"/>
      <c r="R116" s="53"/>
      <c r="S116" s="25"/>
      <c r="T116" s="5"/>
    </row>
    <row r="117" spans="1:20" ht="15.6" x14ac:dyDescent="0.3">
      <c r="A117" s="24"/>
      <c r="B117" s="25" t="s">
        <v>46</v>
      </c>
      <c r="C117" s="25"/>
      <c r="D117" s="25"/>
      <c r="E117" s="25"/>
      <c r="F117" s="25"/>
      <c r="G117" s="25"/>
      <c r="H117" s="25"/>
      <c r="I117" s="25"/>
      <c r="J117" s="25"/>
      <c r="K117" s="25"/>
      <c r="L117" s="25"/>
      <c r="M117" s="25"/>
      <c r="N117" s="25"/>
      <c r="O117" s="25"/>
      <c r="P117" s="34">
        <f>-O171</f>
        <v>-8494</v>
      </c>
      <c r="Q117" s="34"/>
      <c r="R117" s="53"/>
      <c r="S117" s="25"/>
      <c r="T117" s="5"/>
    </row>
    <row r="118" spans="1:20" ht="15.6" x14ac:dyDescent="0.3">
      <c r="A118" s="24"/>
      <c r="B118" s="25" t="s">
        <v>219</v>
      </c>
      <c r="C118" s="25"/>
      <c r="D118" s="25"/>
      <c r="E118" s="25"/>
      <c r="F118" s="25"/>
      <c r="G118" s="25"/>
      <c r="H118" s="25"/>
      <c r="I118" s="25"/>
      <c r="J118" s="25"/>
      <c r="K118" s="25"/>
      <c r="L118" s="25"/>
      <c r="M118" s="25"/>
      <c r="N118" s="25"/>
      <c r="O118" s="25"/>
      <c r="P118" s="34">
        <v>-5591</v>
      </c>
      <c r="Q118" s="34"/>
      <c r="R118" s="53"/>
      <c r="S118" s="25"/>
      <c r="T118" s="5"/>
    </row>
    <row r="119" spans="1:20" ht="15.6" x14ac:dyDescent="0.3">
      <c r="A119" s="24"/>
      <c r="B119" s="25" t="s">
        <v>220</v>
      </c>
      <c r="C119" s="25"/>
      <c r="D119" s="25"/>
      <c r="E119" s="25"/>
      <c r="F119" s="25"/>
      <c r="G119" s="25"/>
      <c r="H119" s="25"/>
      <c r="I119" s="25"/>
      <c r="J119" s="25"/>
      <c r="K119" s="25"/>
      <c r="L119" s="25"/>
      <c r="M119" s="25"/>
      <c r="N119" s="25"/>
      <c r="O119" s="25"/>
      <c r="P119" s="34">
        <v>-25712</v>
      </c>
      <c r="Q119" s="34"/>
      <c r="R119" s="53"/>
      <c r="S119" s="25"/>
      <c r="T119" s="5"/>
    </row>
    <row r="120" spans="1:20" ht="15.6" x14ac:dyDescent="0.3">
      <c r="A120" s="24"/>
      <c r="B120" s="25" t="s">
        <v>221</v>
      </c>
      <c r="C120" s="25"/>
      <c r="D120" s="25"/>
      <c r="E120" s="25"/>
      <c r="F120" s="25"/>
      <c r="G120" s="25"/>
      <c r="H120" s="25"/>
      <c r="I120" s="25"/>
      <c r="J120" s="25"/>
      <c r="K120" s="25"/>
      <c r="L120" s="25"/>
      <c r="M120" s="25"/>
      <c r="N120" s="25"/>
      <c r="O120" s="25"/>
      <c r="P120" s="34">
        <v>0</v>
      </c>
      <c r="Q120" s="34"/>
      <c r="R120" s="53"/>
      <c r="S120" s="25"/>
      <c r="T120" s="5"/>
    </row>
    <row r="121" spans="1:20" ht="15.6" x14ac:dyDescent="0.3">
      <c r="A121" s="24"/>
      <c r="B121" s="25" t="s">
        <v>222</v>
      </c>
      <c r="C121" s="25"/>
      <c r="D121" s="25"/>
      <c r="E121" s="25"/>
      <c r="F121" s="25"/>
      <c r="G121" s="25"/>
      <c r="H121" s="25"/>
      <c r="I121" s="25"/>
      <c r="J121" s="25"/>
      <c r="K121" s="25"/>
      <c r="L121" s="25"/>
      <c r="M121" s="25"/>
      <c r="N121" s="25"/>
      <c r="O121" s="25"/>
      <c r="P121" s="34">
        <v>0</v>
      </c>
      <c r="Q121" s="34"/>
      <c r="R121" s="53"/>
      <c r="S121" s="25"/>
      <c r="T121" s="5"/>
    </row>
    <row r="122" spans="1:20" ht="15.6" x14ac:dyDescent="0.3">
      <c r="A122" s="24"/>
      <c r="B122" s="25" t="s">
        <v>223</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173</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47</v>
      </c>
      <c r="C124" s="25"/>
      <c r="D124" s="25"/>
      <c r="E124" s="25"/>
      <c r="F124" s="25"/>
      <c r="G124" s="25"/>
      <c r="H124" s="25"/>
      <c r="I124" s="25"/>
      <c r="J124" s="25"/>
      <c r="K124" s="25"/>
      <c r="L124" s="25"/>
      <c r="M124" s="25"/>
      <c r="N124" s="25"/>
      <c r="O124" s="25"/>
      <c r="P124" s="34">
        <f>SUM(P116:P123)</f>
        <v>-42441</v>
      </c>
      <c r="Q124" s="34"/>
      <c r="R124" s="34">
        <f>SUM(R96:R123)</f>
        <v>-29297</v>
      </c>
      <c r="S124" s="25"/>
      <c r="T124" s="5"/>
    </row>
    <row r="125" spans="1:20" ht="15.6" x14ac:dyDescent="0.3">
      <c r="A125" s="24"/>
      <c r="B125" s="25" t="s">
        <v>48</v>
      </c>
      <c r="C125" s="25"/>
      <c r="D125" s="25"/>
      <c r="E125" s="25"/>
      <c r="F125" s="25"/>
      <c r="G125" s="25"/>
      <c r="H125" s="25"/>
      <c r="I125" s="25"/>
      <c r="J125" s="25"/>
      <c r="K125" s="25"/>
      <c r="L125" s="25"/>
      <c r="M125" s="25"/>
      <c r="N125" s="25"/>
      <c r="O125" s="25"/>
      <c r="P125" s="34">
        <f>P95+P124</f>
        <v>0</v>
      </c>
      <c r="Q125" s="34"/>
      <c r="R125" s="34">
        <f>R95+R124</f>
        <v>0</v>
      </c>
      <c r="S125" s="25"/>
      <c r="T125" s="5"/>
    </row>
    <row r="126" spans="1:20" ht="15.6" x14ac:dyDescent="0.3">
      <c r="A126" s="24"/>
      <c r="B126" s="25"/>
      <c r="C126" s="25"/>
      <c r="D126" s="25"/>
      <c r="E126" s="25"/>
      <c r="F126" s="25"/>
      <c r="G126" s="25"/>
      <c r="H126" s="25"/>
      <c r="I126" s="25"/>
      <c r="J126" s="25"/>
      <c r="K126" s="25"/>
      <c r="L126" s="25"/>
      <c r="M126" s="25"/>
      <c r="N126" s="25"/>
      <c r="O126" s="25"/>
      <c r="P126" s="34"/>
      <c r="Q126" s="34"/>
      <c r="R126" s="34"/>
      <c r="S126" s="25"/>
      <c r="T126" s="5"/>
    </row>
    <row r="127" spans="1:20" ht="15.6" x14ac:dyDescent="0.3">
      <c r="A127" s="6"/>
      <c r="B127" s="8"/>
      <c r="C127" s="8"/>
      <c r="D127" s="8"/>
      <c r="E127" s="8"/>
      <c r="F127" s="8"/>
      <c r="G127" s="8"/>
      <c r="H127" s="8"/>
      <c r="I127" s="8"/>
      <c r="J127" s="8"/>
      <c r="K127" s="8"/>
      <c r="L127" s="8"/>
      <c r="M127" s="8"/>
      <c r="N127" s="8"/>
      <c r="O127" s="8"/>
      <c r="P127" s="8"/>
      <c r="Q127" s="8"/>
      <c r="R127" s="52"/>
      <c r="S127" s="8"/>
      <c r="T127" s="5"/>
    </row>
    <row r="128" spans="1:20" ht="18" thickBot="1" x14ac:dyDescent="0.35">
      <c r="A128" s="102"/>
      <c r="B128" s="103" t="str">
        <f>B62</f>
        <v>PM8 INVESTOR REPORT QUARTER ENDING MARCH 2005</v>
      </c>
      <c r="C128" s="104"/>
      <c r="D128" s="104"/>
      <c r="E128" s="104"/>
      <c r="F128" s="104"/>
      <c r="G128" s="104"/>
      <c r="H128" s="104"/>
      <c r="I128" s="104"/>
      <c r="J128" s="104"/>
      <c r="K128" s="104"/>
      <c r="L128" s="104"/>
      <c r="M128" s="104"/>
      <c r="N128" s="104"/>
      <c r="O128" s="104"/>
      <c r="P128" s="104"/>
      <c r="Q128" s="104"/>
      <c r="R128" s="107"/>
      <c r="S128" s="106"/>
      <c r="T128" s="5"/>
    </row>
    <row r="129" spans="1:21" ht="15.6" x14ac:dyDescent="0.3">
      <c r="A129" s="2"/>
      <c r="B129" s="60" t="s">
        <v>49</v>
      </c>
      <c r="C129" s="4"/>
      <c r="D129" s="4"/>
      <c r="E129" s="4"/>
      <c r="F129" s="4"/>
      <c r="G129" s="4"/>
      <c r="H129" s="4"/>
      <c r="I129" s="4"/>
      <c r="J129" s="4"/>
      <c r="K129" s="4"/>
      <c r="L129" s="4"/>
      <c r="M129" s="4"/>
      <c r="N129" s="4"/>
      <c r="O129" s="4"/>
      <c r="P129" s="4"/>
      <c r="Q129" s="4"/>
      <c r="R129" s="50"/>
      <c r="S129" s="4"/>
      <c r="T129" s="5"/>
    </row>
    <row r="130" spans="1:21" ht="15.6" x14ac:dyDescent="0.3">
      <c r="A130" s="6"/>
      <c r="B130" s="21"/>
      <c r="C130" s="8"/>
      <c r="D130" s="8"/>
      <c r="E130" s="8"/>
      <c r="F130" s="8"/>
      <c r="G130" s="8"/>
      <c r="H130" s="8"/>
      <c r="I130" s="8"/>
      <c r="J130" s="8"/>
      <c r="K130" s="8"/>
      <c r="L130" s="8"/>
      <c r="M130" s="8"/>
      <c r="N130" s="8"/>
      <c r="O130" s="8"/>
      <c r="P130" s="8"/>
      <c r="Q130" s="8"/>
      <c r="R130" s="52"/>
      <c r="S130" s="8"/>
      <c r="T130" s="5"/>
    </row>
    <row r="131" spans="1:21" ht="15.6" x14ac:dyDescent="0.3">
      <c r="A131" s="6"/>
      <c r="B131" s="120" t="s">
        <v>50</v>
      </c>
      <c r="C131" s="8"/>
      <c r="D131" s="8"/>
      <c r="E131" s="8"/>
      <c r="F131" s="8"/>
      <c r="G131" s="8"/>
      <c r="H131" s="8"/>
      <c r="I131" s="8"/>
      <c r="J131" s="8"/>
      <c r="K131" s="8"/>
      <c r="L131" s="8"/>
      <c r="M131" s="8"/>
      <c r="N131" s="8"/>
      <c r="O131" s="8"/>
      <c r="P131" s="8"/>
      <c r="Q131" s="8"/>
      <c r="R131" s="52"/>
      <c r="S131" s="8"/>
      <c r="T131" s="5"/>
    </row>
    <row r="132" spans="1:21" ht="15.6" x14ac:dyDescent="0.3">
      <c r="A132" s="24"/>
      <c r="B132" s="25" t="s">
        <v>51</v>
      </c>
      <c r="C132" s="25"/>
      <c r="D132" s="25"/>
      <c r="E132" s="25"/>
      <c r="F132" s="25"/>
      <c r="G132" s="25"/>
      <c r="H132" s="25"/>
      <c r="I132" s="25"/>
      <c r="J132" s="25"/>
      <c r="K132" s="25"/>
      <c r="L132" s="25"/>
      <c r="M132" s="25"/>
      <c r="N132" s="25"/>
      <c r="O132" s="25"/>
      <c r="P132" s="25"/>
      <c r="Q132" s="25"/>
      <c r="R132" s="53">
        <f>+R33*0.019</f>
        <v>19000</v>
      </c>
      <c r="S132" s="25"/>
      <c r="T132" s="5"/>
    </row>
    <row r="133" spans="1:21" ht="15.6" x14ac:dyDescent="0.3">
      <c r="A133" s="24"/>
      <c r="B133" s="25" t="s">
        <v>52</v>
      </c>
      <c r="C133" s="25"/>
      <c r="D133" s="25"/>
      <c r="E133" s="25"/>
      <c r="F133" s="25"/>
      <c r="G133" s="25"/>
      <c r="H133" s="25"/>
      <c r="I133" s="25"/>
      <c r="J133" s="25"/>
      <c r="K133" s="25"/>
      <c r="L133" s="25"/>
      <c r="M133" s="25"/>
      <c r="N133" s="25"/>
      <c r="O133" s="25"/>
      <c r="P133" s="25"/>
      <c r="Q133" s="25"/>
      <c r="R133" s="53">
        <v>0</v>
      </c>
      <c r="S133" s="25"/>
      <c r="T133" s="5"/>
    </row>
    <row r="134" spans="1:21" ht="15.6" x14ac:dyDescent="0.3">
      <c r="A134" s="24"/>
      <c r="B134" s="25" t="s">
        <v>155</v>
      </c>
      <c r="C134" s="25"/>
      <c r="D134" s="25"/>
      <c r="E134" s="25"/>
      <c r="F134" s="25"/>
      <c r="G134" s="25"/>
      <c r="H134" s="25"/>
      <c r="I134" s="25"/>
      <c r="J134" s="25"/>
      <c r="K134" s="25"/>
      <c r="L134" s="25"/>
      <c r="M134" s="25"/>
      <c r="N134" s="25"/>
      <c r="O134" s="25"/>
      <c r="P134" s="25"/>
      <c r="Q134" s="25"/>
      <c r="R134" s="53">
        <v>0</v>
      </c>
      <c r="S134" s="25"/>
      <c r="T134" s="5"/>
    </row>
    <row r="135" spans="1:21" ht="15.6" x14ac:dyDescent="0.3">
      <c r="A135" s="24"/>
      <c r="B135" s="25" t="s">
        <v>142</v>
      </c>
      <c r="C135" s="25"/>
      <c r="D135" s="25"/>
      <c r="E135" s="25"/>
      <c r="F135" s="25"/>
      <c r="G135" s="25"/>
      <c r="H135" s="25"/>
      <c r="I135" s="25"/>
      <c r="J135" s="25"/>
      <c r="K135" s="25"/>
      <c r="L135" s="25"/>
      <c r="M135" s="25"/>
      <c r="N135" s="25"/>
      <c r="O135" s="25"/>
      <c r="P135" s="25"/>
      <c r="Q135" s="25"/>
      <c r="R135" s="53">
        <v>0</v>
      </c>
      <c r="S135" s="25"/>
      <c r="T135" s="5"/>
    </row>
    <row r="136" spans="1:21" ht="15.6" x14ac:dyDescent="0.3">
      <c r="A136" s="24"/>
      <c r="B136" s="25" t="s">
        <v>143</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53</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148</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203</v>
      </c>
      <c r="C139" s="25"/>
      <c r="D139" s="25"/>
      <c r="E139" s="25"/>
      <c r="F139" s="25"/>
      <c r="G139" s="25"/>
      <c r="H139" s="25"/>
      <c r="I139" s="25"/>
      <c r="J139" s="25"/>
      <c r="K139" s="25"/>
      <c r="L139" s="25"/>
      <c r="M139" s="25"/>
      <c r="N139" s="25"/>
      <c r="O139" s="25"/>
      <c r="P139" s="25"/>
      <c r="Q139" s="25"/>
      <c r="R139" s="53">
        <v>0</v>
      </c>
      <c r="S139" s="25"/>
      <c r="T139" s="5"/>
      <c r="U139" s="110"/>
    </row>
    <row r="140" spans="1:21" ht="15.6" x14ac:dyDescent="0.3">
      <c r="A140" s="24"/>
      <c r="B140" s="25" t="s">
        <v>54</v>
      </c>
      <c r="C140" s="25"/>
      <c r="D140" s="25"/>
      <c r="E140" s="25"/>
      <c r="F140" s="25"/>
      <c r="G140" s="25"/>
      <c r="H140" s="25"/>
      <c r="I140" s="25"/>
      <c r="J140" s="25"/>
      <c r="K140" s="25"/>
      <c r="L140" s="25"/>
      <c r="M140" s="25"/>
      <c r="N140" s="25"/>
      <c r="O140" s="25"/>
      <c r="P140" s="25"/>
      <c r="Q140" s="25"/>
      <c r="R140" s="53">
        <f>SUM(R132:R139)</f>
        <v>19000</v>
      </c>
      <c r="S140" s="25"/>
      <c r="T140" s="5"/>
    </row>
    <row r="141" spans="1:21" ht="15.6" x14ac:dyDescent="0.3">
      <c r="A141" s="24"/>
      <c r="B141" s="25"/>
      <c r="C141" s="25"/>
      <c r="D141" s="25"/>
      <c r="E141" s="25"/>
      <c r="F141" s="25"/>
      <c r="G141" s="25"/>
      <c r="H141" s="25"/>
      <c r="I141" s="25"/>
      <c r="J141" s="25"/>
      <c r="K141" s="25"/>
      <c r="L141" s="25"/>
      <c r="M141" s="25"/>
      <c r="N141" s="25"/>
      <c r="O141" s="25"/>
      <c r="P141" s="25"/>
      <c r="Q141" s="25"/>
      <c r="R141" s="53"/>
      <c r="S141" s="25"/>
      <c r="T141" s="5"/>
    </row>
    <row r="142" spans="1:21" ht="15.6" x14ac:dyDescent="0.3">
      <c r="A142" s="24"/>
      <c r="B142" s="141" t="s">
        <v>264</v>
      </c>
      <c r="C142" s="25"/>
      <c r="D142" s="25"/>
      <c r="E142" s="25"/>
      <c r="F142" s="25"/>
      <c r="G142" s="25"/>
      <c r="H142" s="25"/>
      <c r="I142" s="25"/>
      <c r="J142" s="25"/>
      <c r="K142" s="25"/>
      <c r="L142" s="25"/>
      <c r="M142" s="25"/>
      <c r="N142" s="25"/>
      <c r="O142" s="25"/>
      <c r="P142" s="25"/>
      <c r="Q142" s="25"/>
      <c r="R142" s="53"/>
      <c r="S142" s="25"/>
      <c r="T142" s="5"/>
    </row>
    <row r="143" spans="1:21" ht="15.6" x14ac:dyDescent="0.3">
      <c r="A143" s="24"/>
      <c r="B143" s="25" t="s">
        <v>206</v>
      </c>
      <c r="C143" s="25"/>
      <c r="D143" s="25"/>
      <c r="E143" s="25"/>
      <c r="F143" s="25"/>
      <c r="G143" s="25"/>
      <c r="H143" s="25"/>
      <c r="I143" s="25"/>
      <c r="J143" s="25"/>
      <c r="K143" s="25"/>
      <c r="L143" s="25"/>
      <c r="M143" s="25"/>
      <c r="N143" s="25"/>
      <c r="O143" s="25"/>
      <c r="P143" s="25"/>
      <c r="Q143" s="25"/>
      <c r="R143" s="53">
        <f>+R33*0.005</f>
        <v>5000</v>
      </c>
      <c r="S143" s="25"/>
      <c r="T143" s="5"/>
    </row>
    <row r="144" spans="1:21" ht="15.6" x14ac:dyDescent="0.3">
      <c r="A144" s="24"/>
      <c r="B144" s="25" t="s">
        <v>260</v>
      </c>
      <c r="C144" s="25"/>
      <c r="D144" s="25"/>
      <c r="E144" s="25"/>
      <c r="F144" s="25"/>
      <c r="G144" s="25"/>
      <c r="H144" s="25"/>
      <c r="I144" s="25"/>
      <c r="J144" s="25"/>
      <c r="K144" s="25"/>
      <c r="L144" s="25"/>
      <c r="M144" s="25"/>
      <c r="N144" s="25"/>
      <c r="O144" s="25"/>
      <c r="P144" s="25"/>
      <c r="Q144" s="25"/>
      <c r="R144" s="53">
        <v>0</v>
      </c>
      <c r="S144" s="25"/>
      <c r="T144" s="5"/>
    </row>
    <row r="145" spans="1:20" ht="15.6" x14ac:dyDescent="0.3">
      <c r="A145" s="24"/>
      <c r="B145" s="25" t="s">
        <v>265</v>
      </c>
      <c r="C145" s="25"/>
      <c r="D145" s="25"/>
      <c r="E145" s="25"/>
      <c r="F145" s="25"/>
      <c r="G145" s="25"/>
      <c r="H145" s="25"/>
      <c r="I145" s="25"/>
      <c r="J145" s="25"/>
      <c r="K145" s="25"/>
      <c r="L145" s="25"/>
      <c r="M145" s="25"/>
      <c r="N145" s="25"/>
      <c r="O145" s="25"/>
      <c r="P145" s="25"/>
      <c r="Q145" s="25"/>
      <c r="R145" s="53">
        <f>SUM(R143:R144)</f>
        <v>5000</v>
      </c>
      <c r="S145" s="25"/>
      <c r="T145" s="5"/>
    </row>
    <row r="146" spans="1:20" ht="15.6" x14ac:dyDescent="0.3">
      <c r="A146" s="24"/>
      <c r="B146" s="25"/>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c r="C147" s="25"/>
      <c r="D147" s="25"/>
      <c r="E147" s="25"/>
      <c r="F147" s="25"/>
      <c r="G147" s="25"/>
      <c r="H147" s="25"/>
      <c r="I147" s="25"/>
      <c r="J147" s="25"/>
      <c r="K147" s="25"/>
      <c r="L147" s="25"/>
      <c r="M147" s="25"/>
      <c r="N147" s="25"/>
      <c r="O147" s="25"/>
      <c r="P147" s="25"/>
      <c r="Q147" s="25"/>
      <c r="R147" s="61"/>
      <c r="S147" s="25"/>
      <c r="T147" s="5"/>
    </row>
    <row r="148" spans="1:20" ht="15.6" x14ac:dyDescent="0.3">
      <c r="A148" s="6"/>
      <c r="B148" s="120" t="s">
        <v>28</v>
      </c>
      <c r="C148" s="8"/>
      <c r="D148" s="8"/>
      <c r="E148" s="8"/>
      <c r="F148" s="8"/>
      <c r="G148" s="8"/>
      <c r="H148" s="8"/>
      <c r="I148" s="8"/>
      <c r="J148" s="8"/>
      <c r="K148" s="8"/>
      <c r="L148" s="8"/>
      <c r="M148" s="8"/>
      <c r="N148" s="8"/>
      <c r="O148" s="8"/>
      <c r="P148" s="8"/>
      <c r="Q148" s="8"/>
      <c r="R148" s="52"/>
      <c r="S148" s="8"/>
      <c r="T148" s="5"/>
    </row>
    <row r="149" spans="1:20" ht="15.6" x14ac:dyDescent="0.3">
      <c r="A149" s="24"/>
      <c r="B149" s="25" t="s">
        <v>55</v>
      </c>
      <c r="C149" s="25"/>
      <c r="D149" s="25"/>
      <c r="E149" s="25"/>
      <c r="F149" s="25"/>
      <c r="G149" s="25"/>
      <c r="H149" s="25"/>
      <c r="I149" s="25"/>
      <c r="J149" s="25"/>
      <c r="K149" s="25"/>
      <c r="L149" s="25"/>
      <c r="M149" s="25"/>
      <c r="N149" s="25"/>
      <c r="O149" s="25"/>
      <c r="P149" s="25"/>
      <c r="Q149" s="25"/>
      <c r="R149" s="59" t="s">
        <v>137</v>
      </c>
      <c r="S149" s="25"/>
      <c r="T149" s="5"/>
    </row>
    <row r="150" spans="1:20" ht="15.6" x14ac:dyDescent="0.3">
      <c r="A150" s="24"/>
      <c r="B150" s="25" t="s">
        <v>56</v>
      </c>
      <c r="C150" s="27"/>
      <c r="D150" s="27"/>
      <c r="E150" s="27"/>
      <c r="F150" s="27"/>
      <c r="G150" s="27"/>
      <c r="H150" s="27"/>
      <c r="I150" s="27"/>
      <c r="J150" s="27"/>
      <c r="K150" s="27"/>
      <c r="L150" s="27"/>
      <c r="M150" s="27"/>
      <c r="N150" s="27"/>
      <c r="O150" s="27"/>
      <c r="P150" s="27"/>
      <c r="Q150" s="27"/>
      <c r="R150" s="59" t="s">
        <v>137</v>
      </c>
      <c r="S150" s="25"/>
      <c r="T150" s="5"/>
    </row>
    <row r="151" spans="1:20" ht="15.6" x14ac:dyDescent="0.3">
      <c r="A151" s="24"/>
      <c r="B151" s="25" t="s">
        <v>57</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58</v>
      </c>
      <c r="C152" s="25"/>
      <c r="D152" s="25"/>
      <c r="E152" s="25"/>
      <c r="F152" s="25"/>
      <c r="G152" s="25"/>
      <c r="H152" s="25"/>
      <c r="I152" s="25"/>
      <c r="J152" s="25"/>
      <c r="K152" s="25"/>
      <c r="L152" s="25"/>
      <c r="M152" s="25"/>
      <c r="N152" s="25"/>
      <c r="O152" s="25"/>
      <c r="P152" s="25"/>
      <c r="Q152" s="25"/>
      <c r="R152" s="59" t="s">
        <v>137</v>
      </c>
      <c r="S152" s="25"/>
      <c r="T152" s="5"/>
    </row>
    <row r="153" spans="1:20" ht="15.6" x14ac:dyDescent="0.3">
      <c r="A153" s="24"/>
      <c r="B153" s="25"/>
      <c r="C153" s="25"/>
      <c r="D153" s="25"/>
      <c r="E153" s="25"/>
      <c r="F153" s="25"/>
      <c r="G153" s="25"/>
      <c r="H153" s="25"/>
      <c r="I153" s="25"/>
      <c r="J153" s="25"/>
      <c r="K153" s="25"/>
      <c r="L153" s="25"/>
      <c r="M153" s="25"/>
      <c r="N153" s="25"/>
      <c r="O153" s="25"/>
      <c r="P153" s="25"/>
      <c r="Q153" s="25"/>
      <c r="R153" s="61"/>
      <c r="S153" s="25"/>
      <c r="T153" s="5"/>
    </row>
    <row r="154" spans="1:20" ht="15.6" x14ac:dyDescent="0.3">
      <c r="A154" s="6"/>
      <c r="B154" s="120" t="s">
        <v>59</v>
      </c>
      <c r="C154" s="8"/>
      <c r="D154" s="8"/>
      <c r="E154" s="8"/>
      <c r="F154" s="8"/>
      <c r="G154" s="8"/>
      <c r="H154" s="8"/>
      <c r="I154" s="8"/>
      <c r="J154" s="8"/>
      <c r="K154" s="8"/>
      <c r="L154" s="8"/>
      <c r="M154" s="8"/>
      <c r="N154" s="8"/>
      <c r="O154" s="8"/>
      <c r="P154" s="8"/>
      <c r="Q154" s="8"/>
      <c r="R154" s="63"/>
      <c r="S154" s="8"/>
      <c r="T154" s="5"/>
    </row>
    <row r="155" spans="1:20" ht="15.6" x14ac:dyDescent="0.3">
      <c r="A155" s="24"/>
      <c r="B155" s="25" t="s">
        <v>60</v>
      </c>
      <c r="C155" s="25"/>
      <c r="D155" s="25"/>
      <c r="E155" s="25"/>
      <c r="F155" s="25"/>
      <c r="G155" s="25"/>
      <c r="H155" s="25"/>
      <c r="I155" s="25"/>
      <c r="J155" s="25"/>
      <c r="K155" s="25"/>
      <c r="L155" s="25"/>
      <c r="M155" s="25"/>
      <c r="N155" s="25"/>
      <c r="O155" s="25"/>
      <c r="P155" s="25"/>
      <c r="Q155" s="25"/>
      <c r="R155" s="53">
        <v>0</v>
      </c>
      <c r="S155" s="25"/>
      <c r="T155" s="5"/>
    </row>
    <row r="156" spans="1:20" ht="15.6" x14ac:dyDescent="0.3">
      <c r="A156" s="24"/>
      <c r="B156" s="25" t="s">
        <v>61</v>
      </c>
      <c r="C156" s="25"/>
      <c r="D156" s="25"/>
      <c r="E156" s="25"/>
      <c r="F156" s="25"/>
      <c r="G156" s="25"/>
      <c r="H156" s="25"/>
      <c r="I156" s="25"/>
      <c r="J156" s="25"/>
      <c r="K156" s="25"/>
      <c r="L156" s="25"/>
      <c r="M156" s="25"/>
      <c r="N156" s="25"/>
      <c r="O156" s="25"/>
      <c r="P156" s="25"/>
      <c r="Q156" s="25"/>
      <c r="R156" s="53">
        <v>0</v>
      </c>
      <c r="S156" s="25"/>
      <c r="T156" s="5"/>
    </row>
    <row r="157" spans="1:20" ht="15.6" x14ac:dyDescent="0.3">
      <c r="A157" s="24"/>
      <c r="B157" s="25" t="s">
        <v>62</v>
      </c>
      <c r="C157" s="25"/>
      <c r="D157" s="25"/>
      <c r="E157" s="25"/>
      <c r="F157" s="25"/>
      <c r="G157" s="25"/>
      <c r="H157" s="25"/>
      <c r="I157" s="25"/>
      <c r="J157" s="25"/>
      <c r="K157" s="25"/>
      <c r="L157" s="25"/>
      <c r="M157" s="25"/>
      <c r="N157" s="25"/>
      <c r="O157" s="25"/>
      <c r="P157" s="25"/>
      <c r="Q157" s="25"/>
      <c r="R157" s="53">
        <f>R156+R155</f>
        <v>0</v>
      </c>
      <c r="S157" s="25"/>
      <c r="T157" s="5"/>
    </row>
    <row r="158" spans="1:20" ht="15.6" x14ac:dyDescent="0.3">
      <c r="A158" s="24"/>
      <c r="B158" s="155" t="s">
        <v>308</v>
      </c>
      <c r="C158" s="25"/>
      <c r="D158" s="25"/>
      <c r="E158" s="25"/>
      <c r="F158" s="25"/>
      <c r="G158" s="25"/>
      <c r="H158" s="25"/>
      <c r="I158" s="25"/>
      <c r="J158" s="25"/>
      <c r="K158" s="25"/>
      <c r="L158" s="25"/>
      <c r="M158" s="25"/>
      <c r="N158" s="25"/>
      <c r="O158" s="25"/>
      <c r="P158" s="25"/>
      <c r="Q158" s="25"/>
      <c r="R158" s="53">
        <f>R110</f>
        <v>0</v>
      </c>
      <c r="S158" s="25"/>
      <c r="T158" s="5"/>
    </row>
    <row r="159" spans="1:20" ht="15.6" x14ac:dyDescent="0.3">
      <c r="A159" s="24"/>
      <c r="B159" s="25" t="s">
        <v>63</v>
      </c>
      <c r="C159" s="25"/>
      <c r="D159" s="25"/>
      <c r="E159" s="25"/>
      <c r="F159" s="25"/>
      <c r="G159" s="25"/>
      <c r="H159" s="25"/>
      <c r="I159" s="25"/>
      <c r="J159" s="25"/>
      <c r="K159" s="25"/>
      <c r="L159" s="25"/>
      <c r="M159" s="25"/>
      <c r="N159" s="25"/>
      <c r="O159" s="25"/>
      <c r="P159" s="25"/>
      <c r="Q159" s="25"/>
      <c r="R159" s="53">
        <f>R157+R158</f>
        <v>0</v>
      </c>
      <c r="S159" s="25"/>
      <c r="T159" s="5"/>
    </row>
    <row r="160" spans="1:20" ht="16.2" thickBot="1" x14ac:dyDescent="0.35">
      <c r="A160" s="24"/>
      <c r="B160" s="25"/>
      <c r="C160" s="25"/>
      <c r="D160" s="25"/>
      <c r="E160" s="25"/>
      <c r="F160" s="25"/>
      <c r="G160" s="25"/>
      <c r="H160" s="25"/>
      <c r="I160" s="25"/>
      <c r="J160" s="25"/>
      <c r="K160" s="25"/>
      <c r="L160" s="25"/>
      <c r="M160" s="25"/>
      <c r="N160" s="25"/>
      <c r="O160" s="25"/>
      <c r="P160" s="25"/>
      <c r="Q160" s="25"/>
      <c r="R160" s="61"/>
      <c r="S160" s="25"/>
      <c r="T160" s="5"/>
    </row>
    <row r="161" spans="1:20" ht="15.6" x14ac:dyDescent="0.3">
      <c r="A161" s="2"/>
      <c r="B161" s="4"/>
      <c r="C161" s="4"/>
      <c r="D161" s="4"/>
      <c r="E161" s="4"/>
      <c r="F161" s="4"/>
      <c r="G161" s="4"/>
      <c r="H161" s="4"/>
      <c r="I161" s="4"/>
      <c r="J161" s="4"/>
      <c r="K161" s="4"/>
      <c r="L161" s="4"/>
      <c r="M161" s="4"/>
      <c r="N161" s="4"/>
      <c r="O161" s="4"/>
      <c r="P161" s="4"/>
      <c r="Q161" s="4"/>
      <c r="R161" s="50"/>
      <c r="S161" s="4"/>
      <c r="T161" s="5"/>
    </row>
    <row r="162" spans="1:20" ht="15.6" x14ac:dyDescent="0.3">
      <c r="A162" s="6"/>
      <c r="B162" s="120" t="s">
        <v>64</v>
      </c>
      <c r="C162" s="8"/>
      <c r="D162" s="8"/>
      <c r="E162" s="8"/>
      <c r="F162" s="8"/>
      <c r="G162" s="8"/>
      <c r="H162" s="8"/>
      <c r="I162" s="8"/>
      <c r="J162" s="8"/>
      <c r="K162" s="8"/>
      <c r="L162" s="8"/>
      <c r="M162" s="8"/>
      <c r="N162" s="8"/>
      <c r="O162" s="8"/>
      <c r="P162" s="8"/>
      <c r="Q162" s="8"/>
      <c r="R162" s="52"/>
      <c r="S162" s="8"/>
      <c r="T162" s="5"/>
    </row>
    <row r="163" spans="1:20" ht="15.6" x14ac:dyDescent="0.3">
      <c r="A163" s="6"/>
      <c r="B163" s="21"/>
      <c r="C163" s="8"/>
      <c r="D163" s="8"/>
      <c r="E163" s="8"/>
      <c r="F163" s="8"/>
      <c r="G163" s="8"/>
      <c r="H163" s="8"/>
      <c r="I163" s="8"/>
      <c r="J163" s="8"/>
      <c r="K163" s="8"/>
      <c r="L163" s="8"/>
      <c r="M163" s="8"/>
      <c r="N163" s="8"/>
      <c r="O163" s="8"/>
      <c r="P163" s="8"/>
      <c r="Q163" s="8"/>
      <c r="R163" s="52"/>
      <c r="S163" s="8"/>
      <c r="T163" s="5"/>
    </row>
    <row r="164" spans="1:20" ht="15.6" x14ac:dyDescent="0.3">
      <c r="A164" s="24"/>
      <c r="B164" s="25" t="s">
        <v>65</v>
      </c>
      <c r="C164" s="25"/>
      <c r="D164" s="25"/>
      <c r="E164" s="25"/>
      <c r="F164" s="25"/>
      <c r="G164" s="25"/>
      <c r="H164" s="25"/>
      <c r="I164" s="25"/>
      <c r="J164" s="25"/>
      <c r="K164" s="25"/>
      <c r="L164" s="25"/>
      <c r="M164" s="25"/>
      <c r="N164" s="25"/>
      <c r="O164" s="25"/>
      <c r="P164" s="25"/>
      <c r="Q164" s="25"/>
      <c r="R164" s="53">
        <f>R70</f>
        <v>968697</v>
      </c>
      <c r="S164" s="25"/>
      <c r="T164" s="5"/>
    </row>
    <row r="165" spans="1:20" ht="15.6" x14ac:dyDescent="0.3">
      <c r="A165" s="24"/>
      <c r="B165" s="25" t="s">
        <v>66</v>
      </c>
      <c r="C165" s="25"/>
      <c r="D165" s="25"/>
      <c r="E165" s="25"/>
      <c r="F165" s="25"/>
      <c r="G165" s="25"/>
      <c r="H165" s="25"/>
      <c r="I165" s="25"/>
      <c r="J165" s="25"/>
      <c r="K165" s="25"/>
      <c r="L165" s="25"/>
      <c r="M165" s="25"/>
      <c r="N165" s="25"/>
      <c r="O165" s="25"/>
      <c r="P165" s="25"/>
      <c r="Q165" s="25"/>
      <c r="R165" s="53">
        <f>R83</f>
        <v>968697</v>
      </c>
      <c r="S165" s="25"/>
      <c r="T165" s="5"/>
    </row>
    <row r="166" spans="1:20" ht="16.2" thickBot="1" x14ac:dyDescent="0.35">
      <c r="A166" s="24"/>
      <c r="B166" s="25"/>
      <c r="C166" s="25"/>
      <c r="D166" s="25"/>
      <c r="E166" s="25"/>
      <c r="F166" s="25"/>
      <c r="G166" s="25"/>
      <c r="H166" s="25"/>
      <c r="I166" s="25"/>
      <c r="J166" s="25"/>
      <c r="K166" s="25"/>
      <c r="L166" s="25"/>
      <c r="M166" s="25"/>
      <c r="N166" s="25"/>
      <c r="O166" s="25"/>
      <c r="P166" s="25"/>
      <c r="Q166" s="25"/>
      <c r="R166" s="61"/>
      <c r="S166" s="25"/>
      <c r="T166" s="5"/>
    </row>
    <row r="167" spans="1:20" ht="15.6" x14ac:dyDescent="0.3">
      <c r="A167" s="2"/>
      <c r="B167" s="4"/>
      <c r="C167" s="4"/>
      <c r="D167" s="4"/>
      <c r="E167" s="4"/>
      <c r="F167" s="4"/>
      <c r="G167" s="4"/>
      <c r="H167" s="4"/>
      <c r="I167" s="4"/>
      <c r="J167" s="4"/>
      <c r="K167" s="4"/>
      <c r="L167" s="4"/>
      <c r="M167" s="4"/>
      <c r="N167" s="4"/>
      <c r="O167" s="4"/>
      <c r="P167" s="4"/>
      <c r="Q167" s="4"/>
      <c r="R167" s="50"/>
      <c r="S167" s="4"/>
      <c r="T167" s="5"/>
    </row>
    <row r="168" spans="1:20" ht="15.6" x14ac:dyDescent="0.3">
      <c r="A168" s="6"/>
      <c r="B168" s="120" t="s">
        <v>67</v>
      </c>
      <c r="C168" s="118"/>
      <c r="D168" s="118"/>
      <c r="E168" s="118"/>
      <c r="F168" s="118"/>
      <c r="G168" s="118"/>
      <c r="H168" s="121"/>
      <c r="I168" s="121"/>
      <c r="J168" s="121"/>
      <c r="K168" s="121"/>
      <c r="L168" s="121"/>
      <c r="M168" s="121"/>
      <c r="N168" s="121"/>
      <c r="O168" s="121" t="s">
        <v>112</v>
      </c>
      <c r="P168" s="121" t="s">
        <v>120</v>
      </c>
      <c r="Q168" s="112"/>
      <c r="R168" s="122" t="s">
        <v>129</v>
      </c>
      <c r="S168" s="10"/>
      <c r="T168" s="5"/>
    </row>
    <row r="169" spans="1:20" ht="15.6" x14ac:dyDescent="0.3">
      <c r="A169" s="24"/>
      <c r="B169" s="25" t="s">
        <v>68</v>
      </c>
      <c r="C169" s="25"/>
      <c r="D169" s="25"/>
      <c r="E169" s="25"/>
      <c r="F169" s="25"/>
      <c r="G169" s="25"/>
      <c r="H169" s="25"/>
      <c r="I169" s="25"/>
      <c r="J169" s="25"/>
      <c r="K169" s="25"/>
      <c r="L169" s="25"/>
      <c r="M169" s="25"/>
      <c r="N169" s="25"/>
      <c r="O169" s="53">
        <v>160000</v>
      </c>
      <c r="P169" s="40"/>
      <c r="Q169" s="25"/>
      <c r="R169" s="53"/>
      <c r="S169" s="25"/>
      <c r="T169" s="5"/>
    </row>
    <row r="170" spans="1:20" ht="15.6" x14ac:dyDescent="0.3">
      <c r="A170" s="24"/>
      <c r="B170" s="25" t="s">
        <v>69</v>
      </c>
      <c r="C170" s="25"/>
      <c r="D170" s="25"/>
      <c r="E170" s="25"/>
      <c r="F170" s="25"/>
      <c r="G170" s="25"/>
      <c r="H170" s="25"/>
      <c r="I170" s="25"/>
      <c r="J170" s="25"/>
      <c r="K170" s="25"/>
      <c r="L170" s="25"/>
      <c r="M170" s="25"/>
      <c r="N170" s="25"/>
      <c r="O170" s="53">
        <v>0</v>
      </c>
      <c r="P170" s="53">
        <v>0</v>
      </c>
      <c r="Q170" s="25"/>
      <c r="R170" s="53">
        <f>O170+P170</f>
        <v>0</v>
      </c>
      <c r="S170" s="25"/>
      <c r="T170" s="5"/>
    </row>
    <row r="171" spans="1:20" ht="15.6" x14ac:dyDescent="0.3">
      <c r="A171" s="24"/>
      <c r="B171" s="25" t="s">
        <v>70</v>
      </c>
      <c r="C171" s="25"/>
      <c r="D171" s="25"/>
      <c r="E171" s="25"/>
      <c r="F171" s="25"/>
      <c r="G171" s="25"/>
      <c r="H171" s="25"/>
      <c r="I171" s="25"/>
      <c r="J171" s="25"/>
      <c r="K171" s="25"/>
      <c r="L171" s="25"/>
      <c r="M171" s="25"/>
      <c r="N171" s="25"/>
      <c r="O171" s="34">
        <f>8503-9</f>
        <v>8494</v>
      </c>
      <c r="P171" s="25">
        <f>2635+9</f>
        <v>2644</v>
      </c>
      <c r="Q171" s="25"/>
      <c r="R171" s="53">
        <f>O171+P171</f>
        <v>11138</v>
      </c>
      <c r="S171" s="25"/>
      <c r="T171" s="5"/>
    </row>
    <row r="172" spans="1:20" ht="15.6" x14ac:dyDescent="0.3">
      <c r="A172" s="24"/>
      <c r="B172" s="25" t="s">
        <v>71</v>
      </c>
      <c r="C172" s="25"/>
      <c r="D172" s="25"/>
      <c r="E172" s="25"/>
      <c r="F172" s="25"/>
      <c r="G172" s="25"/>
      <c r="H172" s="25"/>
      <c r="I172" s="25"/>
      <c r="J172" s="25"/>
      <c r="K172" s="25"/>
      <c r="L172" s="25"/>
      <c r="M172" s="25"/>
      <c r="N172" s="25"/>
      <c r="O172" s="53">
        <f>O170+O171</f>
        <v>8494</v>
      </c>
      <c r="P172" s="53">
        <f>P171+P170</f>
        <v>2644</v>
      </c>
      <c r="Q172" s="25"/>
      <c r="R172" s="53">
        <f>O172+P172</f>
        <v>11138</v>
      </c>
      <c r="S172" s="25"/>
      <c r="T172" s="5"/>
    </row>
    <row r="173" spans="1:20" ht="15.6" x14ac:dyDescent="0.3">
      <c r="A173" s="24"/>
      <c r="B173" s="25" t="s">
        <v>72</v>
      </c>
      <c r="C173" s="25"/>
      <c r="D173" s="25"/>
      <c r="E173" s="25"/>
      <c r="F173" s="25"/>
      <c r="G173" s="25"/>
      <c r="H173" s="25"/>
      <c r="I173" s="25"/>
      <c r="J173" s="25"/>
      <c r="K173" s="25"/>
      <c r="L173" s="25"/>
      <c r="M173" s="25"/>
      <c r="N173" s="25"/>
      <c r="O173" s="53">
        <f>O169-O172-P172</f>
        <v>148862</v>
      </c>
      <c r="P173" s="40"/>
      <c r="Q173" s="25"/>
      <c r="R173" s="53"/>
      <c r="S173" s="25"/>
      <c r="T173" s="5"/>
    </row>
    <row r="174" spans="1:20" ht="16.2" thickBot="1" x14ac:dyDescent="0.35">
      <c r="A174" s="24"/>
      <c r="B174" s="25"/>
      <c r="C174" s="25"/>
      <c r="D174" s="25"/>
      <c r="E174" s="25"/>
      <c r="F174" s="25"/>
      <c r="G174" s="25"/>
      <c r="H174" s="25"/>
      <c r="I174" s="25"/>
      <c r="J174" s="25"/>
      <c r="K174" s="25"/>
      <c r="L174" s="25"/>
      <c r="M174" s="25"/>
      <c r="N174" s="25"/>
      <c r="O174" s="25"/>
      <c r="P174" s="25"/>
      <c r="Q174" s="25"/>
      <c r="R174" s="61"/>
      <c r="S174" s="25"/>
      <c r="T174" s="5"/>
    </row>
    <row r="175" spans="1:20" ht="15.6" x14ac:dyDescent="0.3">
      <c r="A175" s="2"/>
      <c r="B175" s="4"/>
      <c r="C175" s="4"/>
      <c r="D175" s="4"/>
      <c r="E175" s="4"/>
      <c r="F175" s="4"/>
      <c r="G175" s="4"/>
      <c r="H175" s="4"/>
      <c r="I175" s="4"/>
      <c r="J175" s="4"/>
      <c r="K175" s="4"/>
      <c r="L175" s="4"/>
      <c r="M175" s="4"/>
      <c r="N175" s="4"/>
      <c r="O175" s="4"/>
      <c r="P175" s="4"/>
      <c r="Q175" s="4"/>
      <c r="R175" s="50"/>
      <c r="S175" s="4"/>
      <c r="T175" s="5"/>
    </row>
    <row r="176" spans="1:20" ht="15.6" x14ac:dyDescent="0.3">
      <c r="A176" s="6"/>
      <c r="B176" s="120" t="s">
        <v>73</v>
      </c>
      <c r="C176" s="8"/>
      <c r="D176" s="8"/>
      <c r="E176" s="8"/>
      <c r="F176" s="8"/>
      <c r="G176" s="8"/>
      <c r="H176" s="8"/>
      <c r="I176" s="8"/>
      <c r="J176" s="8"/>
      <c r="K176" s="8"/>
      <c r="L176" s="8"/>
      <c r="M176" s="8"/>
      <c r="N176" s="8"/>
      <c r="O176" s="8"/>
      <c r="P176" s="8"/>
      <c r="Q176" s="8"/>
      <c r="R176" s="65"/>
      <c r="S176" s="8"/>
      <c r="T176" s="5"/>
    </row>
    <row r="177" spans="1:20" ht="15.6" x14ac:dyDescent="0.3">
      <c r="A177" s="24"/>
      <c r="B177" s="25" t="s">
        <v>74</v>
      </c>
      <c r="C177" s="25"/>
      <c r="D177" s="25"/>
      <c r="E177" s="25"/>
      <c r="F177" s="25"/>
      <c r="G177" s="25"/>
      <c r="H177" s="25"/>
      <c r="I177" s="25"/>
      <c r="J177" s="25"/>
      <c r="K177" s="25"/>
      <c r="L177" s="25"/>
      <c r="M177" s="25"/>
      <c r="N177" s="25"/>
      <c r="O177" s="25"/>
      <c r="P177" s="25"/>
      <c r="Q177" s="25"/>
      <c r="R177" s="59">
        <f>(R95+R97+R98+R99+R100+R101)/-(R102+R103+R104+R105)</f>
        <v>1.1606777136473654</v>
      </c>
      <c r="S177" s="25" t="s">
        <v>130</v>
      </c>
      <c r="T177" s="5"/>
    </row>
    <row r="178" spans="1:20" ht="15.6" x14ac:dyDescent="0.3">
      <c r="A178" s="24"/>
      <c r="B178" s="25" t="s">
        <v>75</v>
      </c>
      <c r="C178" s="25"/>
      <c r="D178" s="25"/>
      <c r="E178" s="25"/>
      <c r="F178" s="25"/>
      <c r="G178" s="25"/>
      <c r="H178" s="25"/>
      <c r="I178" s="25"/>
      <c r="J178" s="25"/>
      <c r="K178" s="25"/>
      <c r="L178" s="25"/>
      <c r="M178" s="25"/>
      <c r="N178" s="25"/>
      <c r="O178" s="25"/>
      <c r="P178" s="25"/>
      <c r="Q178" s="25"/>
      <c r="R178" s="66">
        <v>1.1599999999999999</v>
      </c>
      <c r="S178" s="25" t="s">
        <v>130</v>
      </c>
      <c r="T178" s="5"/>
    </row>
    <row r="179" spans="1:20" ht="15.6" x14ac:dyDescent="0.3">
      <c r="A179" s="24"/>
      <c r="B179" s="25" t="s">
        <v>76</v>
      </c>
      <c r="C179" s="25"/>
      <c r="D179" s="25"/>
      <c r="E179" s="25"/>
      <c r="F179" s="25"/>
      <c r="G179" s="25"/>
      <c r="H179" s="25"/>
      <c r="I179" s="25"/>
      <c r="J179" s="25"/>
      <c r="K179" s="25"/>
      <c r="L179" s="25"/>
      <c r="M179" s="25"/>
      <c r="N179" s="25"/>
      <c r="O179" s="25"/>
      <c r="P179" s="25"/>
      <c r="Q179" s="25"/>
      <c r="R179" s="59">
        <f>(R95+R97+R98+R99+R100+R101+R102+R103+R104+R105)/-(R106+R107)</f>
        <v>1.3226053639846744</v>
      </c>
      <c r="S179" s="25" t="s">
        <v>130</v>
      </c>
      <c r="T179" s="5"/>
    </row>
    <row r="180" spans="1:20" ht="15.6" x14ac:dyDescent="0.3">
      <c r="A180" s="24"/>
      <c r="B180" s="25" t="s">
        <v>77</v>
      </c>
      <c r="C180" s="25"/>
      <c r="D180" s="25"/>
      <c r="E180" s="25"/>
      <c r="F180" s="25"/>
      <c r="G180" s="25"/>
      <c r="H180" s="25"/>
      <c r="I180" s="25"/>
      <c r="J180" s="25"/>
      <c r="K180" s="25"/>
      <c r="L180" s="25"/>
      <c r="M180" s="25"/>
      <c r="N180" s="25"/>
      <c r="O180" s="25"/>
      <c r="P180" s="25"/>
      <c r="Q180" s="25"/>
      <c r="R180" s="67">
        <v>1.32</v>
      </c>
      <c r="S180" s="25" t="s">
        <v>130</v>
      </c>
      <c r="T180" s="5"/>
    </row>
    <row r="181" spans="1:20" ht="15.6" x14ac:dyDescent="0.3">
      <c r="A181" s="24"/>
      <c r="B181" s="25"/>
      <c r="C181" s="25"/>
      <c r="D181" s="25"/>
      <c r="E181" s="25"/>
      <c r="F181" s="25"/>
      <c r="G181" s="25"/>
      <c r="H181" s="25"/>
      <c r="I181" s="25"/>
      <c r="J181" s="25"/>
      <c r="K181" s="25"/>
      <c r="L181" s="25"/>
      <c r="M181" s="25"/>
      <c r="N181" s="25"/>
      <c r="O181" s="25"/>
      <c r="P181" s="25"/>
      <c r="Q181" s="25"/>
      <c r="R181" s="25"/>
      <c r="S181" s="25"/>
      <c r="T181" s="5"/>
    </row>
    <row r="182" spans="1:20" ht="15.6" x14ac:dyDescent="0.3">
      <c r="A182" s="24"/>
      <c r="B182" s="25"/>
      <c r="C182" s="25"/>
      <c r="D182" s="25"/>
      <c r="E182" s="25"/>
      <c r="F182" s="25"/>
      <c r="G182" s="25"/>
      <c r="H182" s="25"/>
      <c r="I182" s="25"/>
      <c r="J182" s="25"/>
      <c r="K182" s="25"/>
      <c r="L182" s="25"/>
      <c r="M182" s="25"/>
      <c r="N182" s="25"/>
      <c r="O182" s="25"/>
      <c r="P182" s="25"/>
      <c r="Q182" s="25"/>
      <c r="R182" s="25"/>
      <c r="S182" s="25"/>
      <c r="T182" s="5"/>
    </row>
    <row r="183" spans="1:20" ht="15.6" x14ac:dyDescent="0.3">
      <c r="A183" s="6"/>
      <c r="B183" s="8"/>
      <c r="C183" s="8"/>
      <c r="D183" s="8"/>
      <c r="E183" s="8"/>
      <c r="F183" s="8"/>
      <c r="G183" s="8"/>
      <c r="H183" s="8"/>
      <c r="I183" s="8"/>
      <c r="J183" s="8"/>
      <c r="K183" s="8"/>
      <c r="L183" s="8"/>
      <c r="M183" s="8"/>
      <c r="N183" s="8"/>
      <c r="O183" s="8"/>
      <c r="P183" s="8"/>
      <c r="Q183" s="8"/>
      <c r="R183" s="8"/>
      <c r="S183" s="8"/>
      <c r="T183" s="5"/>
    </row>
    <row r="184" spans="1:20" ht="18" thickBot="1" x14ac:dyDescent="0.35">
      <c r="A184" s="102"/>
      <c r="B184" s="103" t="str">
        <f>B128</f>
        <v>PM8 INVESTOR REPORT QUARTER ENDING MARCH 2005</v>
      </c>
      <c r="C184" s="108"/>
      <c r="D184" s="108"/>
      <c r="E184" s="108"/>
      <c r="F184" s="108"/>
      <c r="G184" s="108"/>
      <c r="H184" s="108"/>
      <c r="I184" s="108"/>
      <c r="J184" s="108"/>
      <c r="K184" s="108"/>
      <c r="L184" s="108"/>
      <c r="M184" s="108"/>
      <c r="N184" s="108"/>
      <c r="O184" s="108"/>
      <c r="P184" s="108"/>
      <c r="Q184" s="108"/>
      <c r="R184" s="108"/>
      <c r="S184" s="109"/>
      <c r="T184" s="5"/>
    </row>
    <row r="185" spans="1:20" ht="15.6" x14ac:dyDescent="0.3">
      <c r="A185" s="68"/>
      <c r="B185" s="60" t="s">
        <v>78</v>
      </c>
      <c r="C185" s="69"/>
      <c r="D185" s="69"/>
      <c r="E185" s="69"/>
      <c r="F185" s="69"/>
      <c r="G185" s="70"/>
      <c r="H185" s="70"/>
      <c r="I185" s="70"/>
      <c r="J185" s="70"/>
      <c r="K185" s="70"/>
      <c r="L185" s="70"/>
      <c r="M185" s="70"/>
      <c r="N185" s="70"/>
      <c r="O185" s="70"/>
      <c r="P185" s="71">
        <v>38442</v>
      </c>
      <c r="Q185" s="4"/>
      <c r="R185" s="4"/>
      <c r="S185" s="4"/>
      <c r="T185" s="5"/>
    </row>
    <row r="186" spans="1:20" ht="15.6" x14ac:dyDescent="0.3">
      <c r="A186" s="72"/>
      <c r="B186" s="73"/>
      <c r="C186" s="74"/>
      <c r="D186" s="74"/>
      <c r="E186" s="74"/>
      <c r="F186" s="74"/>
      <c r="G186" s="75"/>
      <c r="H186" s="75"/>
      <c r="I186" s="75"/>
      <c r="J186" s="75"/>
      <c r="K186" s="75"/>
      <c r="L186" s="75"/>
      <c r="M186" s="75"/>
      <c r="N186" s="75"/>
      <c r="O186" s="75"/>
      <c r="P186" s="75"/>
      <c r="Q186" s="8"/>
      <c r="R186" s="8"/>
      <c r="S186" s="8"/>
      <c r="T186" s="5"/>
    </row>
    <row r="187" spans="1:20" ht="15.6" x14ac:dyDescent="0.3">
      <c r="A187" s="76"/>
      <c r="B187" s="77" t="s">
        <v>79</v>
      </c>
      <c r="C187" s="78"/>
      <c r="D187" s="78"/>
      <c r="E187" s="78"/>
      <c r="F187" s="78"/>
      <c r="G187" s="64"/>
      <c r="H187" s="64"/>
      <c r="I187" s="64"/>
      <c r="J187" s="64"/>
      <c r="K187" s="64"/>
      <c r="L187" s="64"/>
      <c r="M187" s="64"/>
      <c r="N187" s="64"/>
      <c r="O187" s="64"/>
      <c r="P187" s="79">
        <v>6.2039999999999998E-2</v>
      </c>
      <c r="Q187" s="25"/>
      <c r="R187" s="25"/>
      <c r="S187" s="25"/>
      <c r="T187" s="5"/>
    </row>
    <row r="188" spans="1:20" ht="15.6" x14ac:dyDescent="0.3">
      <c r="A188" s="76"/>
      <c r="B188" s="77" t="s">
        <v>178</v>
      </c>
      <c r="C188" s="78"/>
      <c r="D188" s="78"/>
      <c r="E188" s="78"/>
      <c r="F188" s="78"/>
      <c r="G188" s="64"/>
      <c r="H188" s="64"/>
      <c r="I188" s="64"/>
      <c r="J188" s="64"/>
      <c r="K188" s="64"/>
      <c r="L188" s="64"/>
      <c r="M188" s="64"/>
      <c r="N188" s="64"/>
      <c r="O188" s="64"/>
      <c r="P188" s="39">
        <f>+R42</f>
        <v>5.1733455000000005E-2</v>
      </c>
      <c r="Q188" s="25"/>
      <c r="R188" s="25"/>
      <c r="S188" s="25"/>
      <c r="T188" s="5"/>
    </row>
    <row r="189" spans="1:20" ht="15.6" x14ac:dyDescent="0.3">
      <c r="A189" s="76"/>
      <c r="B189" s="77" t="s">
        <v>80</v>
      </c>
      <c r="C189" s="78"/>
      <c r="D189" s="78"/>
      <c r="E189" s="78"/>
      <c r="F189" s="78"/>
      <c r="G189" s="64"/>
      <c r="H189" s="64"/>
      <c r="I189" s="64"/>
      <c r="J189" s="64"/>
      <c r="K189" s="64"/>
      <c r="L189" s="64"/>
      <c r="M189" s="64"/>
      <c r="N189" s="64"/>
      <c r="O189" s="64"/>
      <c r="P189" s="79">
        <f>P187-P188</f>
        <v>1.0306544999999993E-2</v>
      </c>
      <c r="Q189" s="25"/>
      <c r="R189" s="25"/>
      <c r="S189" s="25"/>
      <c r="T189" s="5"/>
    </row>
    <row r="190" spans="1:20" ht="15.6" x14ac:dyDescent="0.3">
      <c r="A190" s="76"/>
      <c r="B190" s="77" t="s">
        <v>81</v>
      </c>
      <c r="C190" s="78"/>
      <c r="D190" s="78"/>
      <c r="E190" s="78"/>
      <c r="F190" s="78"/>
      <c r="G190" s="64"/>
      <c r="H190" s="64"/>
      <c r="I190" s="64"/>
      <c r="J190" s="64"/>
      <c r="K190" s="64"/>
      <c r="L190" s="64"/>
      <c r="M190" s="64"/>
      <c r="N190" s="64"/>
      <c r="O190" s="64"/>
      <c r="P190" s="79">
        <v>6.2239999999999997E-2</v>
      </c>
      <c r="Q190" s="25"/>
      <c r="R190" s="25"/>
      <c r="S190" s="25"/>
      <c r="T190" s="5"/>
    </row>
    <row r="191" spans="1:20" ht="15.6" x14ac:dyDescent="0.3">
      <c r="A191" s="76"/>
      <c r="B191" s="77" t="s">
        <v>261</v>
      </c>
      <c r="C191" s="78"/>
      <c r="D191" s="78"/>
      <c r="E191" s="78"/>
      <c r="F191" s="78"/>
      <c r="G191" s="64"/>
      <c r="H191" s="64"/>
      <c r="I191" s="64"/>
      <c r="J191" s="64"/>
      <c r="K191" s="64"/>
      <c r="L191" s="64"/>
      <c r="M191" s="64"/>
      <c r="N191" s="64"/>
      <c r="O191" s="64"/>
      <c r="P191" s="79">
        <f>+R42</f>
        <v>5.1733455000000005E-2</v>
      </c>
      <c r="Q191" s="25"/>
      <c r="R191" s="25"/>
      <c r="S191" s="25"/>
      <c r="T191" s="5"/>
    </row>
    <row r="192" spans="1:20" ht="15.6" x14ac:dyDescent="0.3">
      <c r="A192" s="76"/>
      <c r="B192" s="77" t="s">
        <v>82</v>
      </c>
      <c r="C192" s="78"/>
      <c r="D192" s="78"/>
      <c r="E192" s="78"/>
      <c r="F192" s="78"/>
      <c r="G192" s="64"/>
      <c r="H192" s="64"/>
      <c r="I192" s="64"/>
      <c r="J192" s="64"/>
      <c r="K192" s="64"/>
      <c r="L192" s="64"/>
      <c r="M192" s="64"/>
      <c r="N192" s="64"/>
      <c r="O192" s="64"/>
      <c r="P192" s="79">
        <f>P190-P191</f>
        <v>1.0506544999999992E-2</v>
      </c>
      <c r="Q192" s="25"/>
      <c r="R192" s="25"/>
      <c r="S192" s="25"/>
      <c r="T192" s="5"/>
    </row>
    <row r="193" spans="1:20" ht="15.6" x14ac:dyDescent="0.3">
      <c r="A193" s="76"/>
      <c r="B193" s="77" t="s">
        <v>267</v>
      </c>
      <c r="C193" s="78"/>
      <c r="D193" s="78"/>
      <c r="E193" s="78"/>
      <c r="F193" s="78"/>
      <c r="G193" s="64"/>
      <c r="H193" s="64"/>
      <c r="I193" s="64"/>
      <c r="J193" s="64"/>
      <c r="K193" s="64"/>
      <c r="L193" s="64"/>
      <c r="M193" s="64"/>
      <c r="N193" s="64"/>
      <c r="O193" s="64"/>
      <c r="P193" s="79">
        <f>(+R95+R97)/J70</f>
        <v>3.526525647646038E-2</v>
      </c>
      <c r="Q193" s="25"/>
      <c r="R193" s="25"/>
      <c r="S193" s="25"/>
      <c r="T193" s="5"/>
    </row>
    <row r="194" spans="1:20" ht="15.6" x14ac:dyDescent="0.3">
      <c r="A194" s="76"/>
      <c r="B194" s="77" t="s">
        <v>208</v>
      </c>
      <c r="C194" s="78"/>
      <c r="D194" s="78"/>
      <c r="E194" s="78"/>
      <c r="F194" s="78"/>
      <c r="G194" s="64"/>
      <c r="H194" s="64"/>
      <c r="I194" s="64"/>
      <c r="J194" s="64"/>
      <c r="K194" s="64"/>
      <c r="L194" s="64"/>
      <c r="M194" s="64"/>
      <c r="N194" s="64"/>
      <c r="O194" s="64"/>
      <c r="P194" s="132">
        <v>12875</v>
      </c>
      <c r="Q194" s="25"/>
      <c r="R194" s="25"/>
      <c r="S194" s="25"/>
      <c r="T194" s="5"/>
    </row>
    <row r="195" spans="1:20" ht="15.6" x14ac:dyDescent="0.3">
      <c r="A195" s="76"/>
      <c r="B195" s="77" t="s">
        <v>209</v>
      </c>
      <c r="C195" s="78"/>
      <c r="D195" s="78"/>
      <c r="E195" s="78"/>
      <c r="F195" s="78"/>
      <c r="G195" s="64"/>
      <c r="H195" s="64"/>
      <c r="I195" s="64"/>
      <c r="J195" s="64"/>
      <c r="K195" s="64"/>
      <c r="L195" s="64"/>
      <c r="M195" s="64"/>
      <c r="N195" s="64"/>
      <c r="O195" s="64"/>
      <c r="P195" s="132">
        <v>16163</v>
      </c>
      <c r="Q195" s="25"/>
      <c r="R195" s="25"/>
      <c r="S195" s="25"/>
      <c r="T195" s="5"/>
    </row>
    <row r="196" spans="1:20" ht="15.6" x14ac:dyDescent="0.3">
      <c r="A196" s="76"/>
      <c r="B196" s="77" t="s">
        <v>83</v>
      </c>
      <c r="C196" s="78"/>
      <c r="D196" s="78"/>
      <c r="E196" s="78"/>
      <c r="F196" s="78"/>
      <c r="G196" s="64"/>
      <c r="H196" s="64"/>
      <c r="I196" s="64"/>
      <c r="J196" s="64"/>
      <c r="K196" s="64"/>
      <c r="L196" s="64"/>
      <c r="M196" s="64"/>
      <c r="N196" s="64"/>
      <c r="O196" s="64"/>
      <c r="P196" s="136">
        <v>19.739999999999998</v>
      </c>
      <c r="Q196" s="25" t="s">
        <v>125</v>
      </c>
      <c r="R196" s="25"/>
      <c r="S196" s="25"/>
      <c r="T196" s="5"/>
    </row>
    <row r="197" spans="1:20" ht="15.6" x14ac:dyDescent="0.3">
      <c r="A197" s="76"/>
      <c r="B197" s="77" t="s">
        <v>84</v>
      </c>
      <c r="C197" s="78"/>
      <c r="D197" s="78"/>
      <c r="E197" s="78"/>
      <c r="F197" s="78"/>
      <c r="G197" s="64"/>
      <c r="H197" s="64"/>
      <c r="I197" s="64"/>
      <c r="J197" s="64"/>
      <c r="K197" s="64"/>
      <c r="L197" s="64"/>
      <c r="M197" s="64"/>
      <c r="N197" s="64"/>
      <c r="O197" s="64"/>
      <c r="P197" s="136">
        <v>20.350000000000001</v>
      </c>
      <c r="Q197" s="25" t="s">
        <v>125</v>
      </c>
      <c r="R197" s="25"/>
      <c r="S197" s="25"/>
      <c r="T197" s="5"/>
    </row>
    <row r="198" spans="1:20" ht="15.6" x14ac:dyDescent="0.3">
      <c r="A198" s="76"/>
      <c r="B198" s="77" t="s">
        <v>85</v>
      </c>
      <c r="C198" s="78"/>
      <c r="D198" s="78"/>
      <c r="E198" s="78"/>
      <c r="F198" s="78"/>
      <c r="G198" s="64"/>
      <c r="H198" s="64"/>
      <c r="I198" s="64"/>
      <c r="J198" s="64"/>
      <c r="K198" s="64"/>
      <c r="L198" s="64"/>
      <c r="M198" s="64"/>
      <c r="N198" s="64"/>
      <c r="O198" s="64"/>
      <c r="P198" s="79">
        <f>+L67/H67</f>
        <v>5.7907911267970347E-2</v>
      </c>
      <c r="Q198" s="25"/>
      <c r="R198" s="25"/>
      <c r="S198" s="25"/>
      <c r="T198" s="5"/>
    </row>
    <row r="199" spans="1:20" ht="15.6" x14ac:dyDescent="0.3">
      <c r="A199" s="76"/>
      <c r="B199" s="77" t="s">
        <v>86</v>
      </c>
      <c r="C199" s="78"/>
      <c r="D199" s="78"/>
      <c r="E199" s="78"/>
      <c r="F199" s="78"/>
      <c r="G199" s="64"/>
      <c r="H199" s="64"/>
      <c r="I199" s="64"/>
      <c r="J199" s="64"/>
      <c r="K199" s="64"/>
      <c r="L199" s="64"/>
      <c r="M199" s="64"/>
      <c r="N199" s="64"/>
      <c r="O199" s="64"/>
      <c r="P199" s="79">
        <v>0.12039999999999999</v>
      </c>
      <c r="Q199" s="25"/>
      <c r="R199" s="25"/>
      <c r="S199" s="25"/>
      <c r="T199" s="5"/>
    </row>
    <row r="200" spans="1:20" ht="15.6" x14ac:dyDescent="0.3">
      <c r="A200" s="76"/>
      <c r="B200" s="77"/>
      <c r="C200" s="77"/>
      <c r="D200" s="77"/>
      <c r="E200" s="77"/>
      <c r="F200" s="77"/>
      <c r="G200" s="25"/>
      <c r="H200" s="25"/>
      <c r="I200" s="25"/>
      <c r="J200" s="25"/>
      <c r="K200" s="25"/>
      <c r="L200" s="25"/>
      <c r="M200" s="25"/>
      <c r="N200" s="25"/>
      <c r="O200" s="25"/>
      <c r="P200" s="61"/>
      <c r="Q200" s="25"/>
      <c r="R200" s="80"/>
      <c r="S200" s="25"/>
      <c r="T200" s="5"/>
    </row>
    <row r="201" spans="1:20" ht="15.6" x14ac:dyDescent="0.3">
      <c r="A201" s="81"/>
      <c r="B201" s="14" t="s">
        <v>87</v>
      </c>
      <c r="C201" s="82"/>
      <c r="D201" s="82"/>
      <c r="E201" s="82"/>
      <c r="F201" s="83"/>
      <c r="G201" s="82"/>
      <c r="H201" s="17"/>
      <c r="I201" s="17"/>
      <c r="J201" s="17"/>
      <c r="K201" s="17"/>
      <c r="L201" s="17"/>
      <c r="M201" s="17"/>
      <c r="N201" s="17"/>
      <c r="O201" s="17" t="s">
        <v>113</v>
      </c>
      <c r="P201" s="84" t="s">
        <v>121</v>
      </c>
      <c r="Q201" s="8"/>
      <c r="R201" s="8"/>
      <c r="S201" s="8"/>
      <c r="T201" s="5"/>
    </row>
    <row r="202" spans="1:20" ht="15.6" x14ac:dyDescent="0.3">
      <c r="A202" s="85"/>
      <c r="B202" s="77" t="s">
        <v>88</v>
      </c>
      <c r="C202" s="54"/>
      <c r="D202" s="54"/>
      <c r="E202" s="54"/>
      <c r="F202" s="25"/>
      <c r="G202" s="25"/>
      <c r="H202" s="30"/>
      <c r="I202" s="30"/>
      <c r="J202" s="30"/>
      <c r="K202" s="30"/>
      <c r="L202" s="30"/>
      <c r="M202" s="30"/>
      <c r="N202" s="30"/>
      <c r="O202" s="30">
        <v>22</v>
      </c>
      <c r="P202" s="86">
        <v>820</v>
      </c>
      <c r="Q202" s="25"/>
      <c r="R202" s="80"/>
      <c r="S202" s="87"/>
      <c r="T202" s="5"/>
    </row>
    <row r="203" spans="1:20" ht="15.6" x14ac:dyDescent="0.3">
      <c r="A203" s="85"/>
      <c r="B203" s="77" t="s">
        <v>169</v>
      </c>
      <c r="C203" s="54"/>
      <c r="D203" s="54"/>
      <c r="E203" s="54"/>
      <c r="F203" s="25"/>
      <c r="G203" s="25"/>
      <c r="H203" s="30"/>
      <c r="I203" s="30"/>
      <c r="J203" s="30"/>
      <c r="K203" s="30"/>
      <c r="L203" s="30"/>
      <c r="M203" s="30"/>
      <c r="N203" s="30"/>
      <c r="O203" s="30">
        <v>5</v>
      </c>
      <c r="P203" s="86">
        <v>1178</v>
      </c>
      <c r="Q203" s="25"/>
      <c r="R203" s="80"/>
      <c r="S203" s="87"/>
      <c r="T203" s="5"/>
    </row>
    <row r="204" spans="1:20" ht="15.6" x14ac:dyDescent="0.3">
      <c r="A204" s="85"/>
      <c r="B204" s="77" t="s">
        <v>89</v>
      </c>
      <c r="C204" s="54"/>
      <c r="D204" s="54"/>
      <c r="E204" s="54"/>
      <c r="F204" s="25"/>
      <c r="G204" s="25"/>
      <c r="H204" s="30"/>
      <c r="I204" s="30"/>
      <c r="J204" s="30"/>
      <c r="K204" s="30"/>
      <c r="L204" s="30"/>
      <c r="M204" s="30"/>
      <c r="N204" s="30"/>
      <c r="O204" s="30">
        <v>1</v>
      </c>
      <c r="P204" s="86">
        <v>55</v>
      </c>
      <c r="Q204" s="25"/>
      <c r="R204" s="80"/>
      <c r="S204" s="87"/>
      <c r="T204" s="5"/>
    </row>
    <row r="205" spans="1:20" ht="15.6" x14ac:dyDescent="0.3">
      <c r="A205" s="85"/>
      <c r="B205" s="123" t="s">
        <v>90</v>
      </c>
      <c r="C205" s="54"/>
      <c r="D205" s="54"/>
      <c r="E205" s="54"/>
      <c r="F205" s="25"/>
      <c r="G205" s="25"/>
      <c r="H205" s="25"/>
      <c r="I205" s="25"/>
      <c r="J205" s="25"/>
      <c r="K205" s="25"/>
      <c r="L205" s="25"/>
      <c r="M205" s="25"/>
      <c r="N205" s="25"/>
      <c r="O205" s="25"/>
      <c r="P205" s="86">
        <v>0</v>
      </c>
      <c r="Q205" s="25"/>
      <c r="R205" s="80"/>
      <c r="S205" s="87"/>
      <c r="T205" s="5"/>
    </row>
    <row r="206" spans="1:20" ht="15.6" x14ac:dyDescent="0.3">
      <c r="A206" s="85"/>
      <c r="B206" s="123" t="s">
        <v>91</v>
      </c>
      <c r="C206" s="54"/>
      <c r="D206" s="54"/>
      <c r="E206" s="54"/>
      <c r="F206" s="25"/>
      <c r="G206" s="25"/>
      <c r="H206" s="25"/>
      <c r="I206" s="25"/>
      <c r="J206" s="25"/>
      <c r="K206" s="25"/>
      <c r="L206" s="25"/>
      <c r="M206" s="25"/>
      <c r="N206" s="25"/>
      <c r="O206" s="25"/>
      <c r="P206" s="62" t="s">
        <v>122</v>
      </c>
      <c r="Q206" s="25"/>
      <c r="R206" s="80"/>
      <c r="S206" s="87"/>
      <c r="T206" s="5"/>
    </row>
    <row r="207" spans="1:20" ht="15.6" x14ac:dyDescent="0.3">
      <c r="A207" s="88"/>
      <c r="B207" s="123" t="s">
        <v>92</v>
      </c>
      <c r="C207" s="77"/>
      <c r="D207" s="77"/>
      <c r="E207" s="77"/>
      <c r="F207" s="77"/>
      <c r="G207" s="25"/>
      <c r="H207" s="25"/>
      <c r="I207" s="25"/>
      <c r="J207" s="25"/>
      <c r="K207" s="25"/>
      <c r="L207" s="25"/>
      <c r="M207" s="25"/>
      <c r="N207" s="25"/>
      <c r="O207" s="25"/>
      <c r="P207" s="86"/>
      <c r="Q207" s="25"/>
      <c r="R207" s="80"/>
      <c r="S207" s="89"/>
      <c r="T207" s="5"/>
    </row>
    <row r="208" spans="1:20" ht="15.6" x14ac:dyDescent="0.3">
      <c r="A208" s="88"/>
      <c r="B208" s="134" t="s">
        <v>93</v>
      </c>
      <c r="C208" s="77"/>
      <c r="D208" s="77"/>
      <c r="E208" s="77"/>
      <c r="F208" s="77"/>
      <c r="G208" s="25"/>
      <c r="H208" s="25"/>
      <c r="I208" s="25"/>
      <c r="J208" s="25"/>
      <c r="K208" s="25"/>
      <c r="L208" s="25"/>
      <c r="M208" s="25"/>
      <c r="N208" s="25"/>
      <c r="O208" s="25">
        <v>0</v>
      </c>
      <c r="P208" s="86">
        <f>R156</f>
        <v>0</v>
      </c>
      <c r="Q208" s="25"/>
      <c r="R208" s="80"/>
      <c r="S208" s="89"/>
      <c r="T208" s="5"/>
    </row>
    <row r="209" spans="1:21" ht="15.6" x14ac:dyDescent="0.3">
      <c r="A209" s="85"/>
      <c r="B209" s="77" t="s">
        <v>94</v>
      </c>
      <c r="C209" s="54"/>
      <c r="D209" s="54"/>
      <c r="E209" s="54"/>
      <c r="F209" s="54"/>
      <c r="G209" s="25"/>
      <c r="H209" s="25"/>
      <c r="I209" s="25"/>
      <c r="J209" s="25"/>
      <c r="K209" s="25"/>
      <c r="L209" s="25"/>
      <c r="M209" s="25"/>
      <c r="N209" s="25"/>
      <c r="O209" s="25">
        <v>0</v>
      </c>
      <c r="P209" s="86">
        <f>+P208</f>
        <v>0</v>
      </c>
      <c r="Q209" s="25"/>
      <c r="R209" s="80"/>
      <c r="S209" s="89"/>
      <c r="T209" s="5"/>
    </row>
    <row r="210" spans="1:21" ht="15.6" x14ac:dyDescent="0.3">
      <c r="A210" s="85"/>
      <c r="B210" s="77" t="s">
        <v>95</v>
      </c>
      <c r="C210" s="54"/>
      <c r="D210" s="54"/>
      <c r="E210" s="54"/>
      <c r="F210" s="54"/>
      <c r="G210" s="25"/>
      <c r="H210" s="25"/>
      <c r="I210" s="25"/>
      <c r="J210" s="25"/>
      <c r="K210" s="25"/>
      <c r="L210" s="25"/>
      <c r="M210" s="25"/>
      <c r="N210" s="25"/>
      <c r="O210" s="25"/>
      <c r="P210" s="86">
        <v>0</v>
      </c>
      <c r="Q210" s="25"/>
      <c r="R210" s="80"/>
      <c r="S210" s="89"/>
      <c r="T210" s="5"/>
    </row>
    <row r="211" spans="1:21" ht="15.6" x14ac:dyDescent="0.3">
      <c r="A211" s="88"/>
      <c r="B211" s="123" t="s">
        <v>96</v>
      </c>
      <c r="C211" s="77"/>
      <c r="D211" s="77"/>
      <c r="E211" s="77"/>
      <c r="F211" s="77"/>
      <c r="G211" s="25"/>
      <c r="H211" s="25"/>
      <c r="I211" s="25"/>
      <c r="J211" s="25"/>
      <c r="K211" s="25"/>
      <c r="L211" s="25"/>
      <c r="M211" s="25"/>
      <c r="N211" s="25"/>
      <c r="O211" s="25"/>
      <c r="P211" s="86"/>
      <c r="Q211" s="25"/>
      <c r="R211" s="80"/>
      <c r="S211" s="89"/>
      <c r="T211" s="5"/>
    </row>
    <row r="212" spans="1:21" ht="15.6" x14ac:dyDescent="0.3">
      <c r="A212" s="88"/>
      <c r="B212" s="77" t="s">
        <v>283</v>
      </c>
      <c r="C212" s="77"/>
      <c r="D212" s="77"/>
      <c r="E212" s="77"/>
      <c r="F212" s="77"/>
      <c r="G212" s="25"/>
      <c r="H212" s="25"/>
      <c r="I212" s="25"/>
      <c r="J212" s="25"/>
      <c r="K212" s="25"/>
      <c r="L212" s="25"/>
      <c r="M212" s="25"/>
      <c r="N212" s="25"/>
      <c r="O212" s="25">
        <v>0</v>
      </c>
      <c r="P212" s="86">
        <v>0</v>
      </c>
      <c r="Q212" s="25"/>
      <c r="R212" s="80"/>
      <c r="S212" s="89"/>
      <c r="T212" s="5"/>
    </row>
    <row r="213" spans="1:21" ht="15.6" x14ac:dyDescent="0.3">
      <c r="A213" s="85"/>
      <c r="B213" s="77" t="s">
        <v>97</v>
      </c>
      <c r="C213" s="90"/>
      <c r="D213" s="90"/>
      <c r="E213" s="90"/>
      <c r="F213" s="91"/>
      <c r="G213" s="25"/>
      <c r="H213" s="25"/>
      <c r="I213" s="25"/>
      <c r="J213" s="25"/>
      <c r="K213" s="25"/>
      <c r="L213" s="25"/>
      <c r="M213" s="25"/>
      <c r="N213" s="25"/>
      <c r="O213" s="25"/>
      <c r="P213" s="62">
        <v>0</v>
      </c>
      <c r="Q213" s="25"/>
      <c r="R213" s="80"/>
      <c r="S213" s="89"/>
      <c r="T213" s="5"/>
    </row>
    <row r="214" spans="1:21" ht="15.6" x14ac:dyDescent="0.3">
      <c r="A214" s="85"/>
      <c r="B214" s="77" t="s">
        <v>98</v>
      </c>
      <c r="C214" s="90"/>
      <c r="D214" s="90"/>
      <c r="E214" s="90"/>
      <c r="F214" s="91"/>
      <c r="G214" s="25"/>
      <c r="H214" s="25"/>
      <c r="I214" s="25"/>
      <c r="J214" s="25"/>
      <c r="K214" s="25"/>
      <c r="L214" s="25"/>
      <c r="M214" s="25"/>
      <c r="N214" s="25"/>
      <c r="O214" s="25"/>
      <c r="P214" s="62">
        <v>0</v>
      </c>
      <c r="Q214" s="25"/>
      <c r="R214" s="80"/>
      <c r="S214" s="89"/>
      <c r="T214" s="5"/>
    </row>
    <row r="215" spans="1:21" ht="15.6" x14ac:dyDescent="0.3">
      <c r="A215" s="85"/>
      <c r="B215" s="77"/>
      <c r="C215" s="90"/>
      <c r="D215" s="90"/>
      <c r="E215" s="90"/>
      <c r="F215" s="91"/>
      <c r="G215" s="25"/>
      <c r="H215" s="25"/>
      <c r="I215" s="25"/>
      <c r="J215" s="25"/>
      <c r="K215" s="25"/>
      <c r="L215" s="25"/>
      <c r="M215" s="25"/>
      <c r="N215" s="25"/>
      <c r="O215" s="25"/>
      <c r="P215" s="92"/>
      <c r="Q215" s="25"/>
      <c r="R215" s="80"/>
      <c r="S215" s="89"/>
      <c r="T215" s="5"/>
    </row>
    <row r="216" spans="1:21" ht="15.6" x14ac:dyDescent="0.3">
      <c r="A216" s="6"/>
      <c r="B216" s="14" t="s">
        <v>236</v>
      </c>
      <c r="C216" s="82"/>
      <c r="D216" s="82"/>
      <c r="E216" s="82"/>
      <c r="F216" s="83"/>
      <c r="G216" s="82"/>
      <c r="H216" s="17"/>
      <c r="I216" s="17"/>
      <c r="J216" s="17"/>
      <c r="K216" s="17"/>
      <c r="L216" s="17"/>
      <c r="M216" s="17"/>
      <c r="N216" s="84" t="s">
        <v>113</v>
      </c>
      <c r="O216" s="17" t="s">
        <v>114</v>
      </c>
      <c r="P216" s="84" t="s">
        <v>123</v>
      </c>
      <c r="Q216" s="17" t="s">
        <v>114</v>
      </c>
      <c r="R216" s="8"/>
      <c r="S216" s="93"/>
      <c r="T216" s="5"/>
    </row>
    <row r="217" spans="1:21" ht="15.6" x14ac:dyDescent="0.3">
      <c r="A217" s="24"/>
      <c r="B217" s="54" t="s">
        <v>99</v>
      </c>
      <c r="C217" s="94"/>
      <c r="D217" s="94"/>
      <c r="E217" s="94"/>
      <c r="F217" s="25"/>
      <c r="G217" s="94"/>
      <c r="H217" s="94"/>
      <c r="I217" s="94"/>
      <c r="J217" s="94"/>
      <c r="K217" s="94"/>
      <c r="L217" s="94"/>
      <c r="M217" s="94"/>
      <c r="N217" s="54">
        <v>9628</v>
      </c>
      <c r="O217" s="95">
        <f t="shared" ref="O217:O224" si="1">N217/$N$226</f>
        <v>0.99196373377292402</v>
      </c>
      <c r="P217" s="53">
        <v>959198</v>
      </c>
      <c r="Q217" s="135">
        <f t="shared" ref="Q217:Q224" si="2">P217/$P$226</f>
        <v>0.99145601283355245</v>
      </c>
      <c r="R217" s="80"/>
      <c r="S217" s="89"/>
      <c r="T217" s="5"/>
    </row>
    <row r="218" spans="1:21" ht="15.6" x14ac:dyDescent="0.3">
      <c r="A218" s="24"/>
      <c r="B218" s="54" t="s">
        <v>100</v>
      </c>
      <c r="C218" s="94"/>
      <c r="D218" s="94"/>
      <c r="E218" s="94"/>
      <c r="F218" s="25"/>
      <c r="G218" s="95"/>
      <c r="H218" s="94"/>
      <c r="I218" s="94"/>
      <c r="J218" s="94"/>
      <c r="K218" s="94"/>
      <c r="L218" s="94"/>
      <c r="M218" s="94"/>
      <c r="N218" s="54">
        <v>34</v>
      </c>
      <c r="O218" s="95">
        <f t="shared" si="1"/>
        <v>3.5029878425716053E-3</v>
      </c>
      <c r="P218" s="53">
        <v>4705</v>
      </c>
      <c r="Q218" s="135">
        <f t="shared" si="2"/>
        <v>4.8632300530045561E-3</v>
      </c>
      <c r="R218" s="80"/>
      <c r="S218" s="89"/>
      <c r="T218" s="5"/>
      <c r="U218" s="110"/>
    </row>
    <row r="219" spans="1:21" ht="15.6" x14ac:dyDescent="0.3">
      <c r="A219" s="24"/>
      <c r="B219" s="54" t="s">
        <v>101</v>
      </c>
      <c r="C219" s="94"/>
      <c r="D219" s="94"/>
      <c r="E219" s="94"/>
      <c r="F219" s="25"/>
      <c r="G219" s="95"/>
      <c r="H219" s="94"/>
      <c r="I219" s="94"/>
      <c r="J219" s="94"/>
      <c r="K219" s="94"/>
      <c r="L219" s="94"/>
      <c r="M219" s="94"/>
      <c r="N219" s="54">
        <v>16</v>
      </c>
      <c r="O219" s="95">
        <f t="shared" si="1"/>
        <v>1.6484648670925201E-3</v>
      </c>
      <c r="P219" s="53">
        <v>1361</v>
      </c>
      <c r="Q219" s="135">
        <f t="shared" si="2"/>
        <v>1.406770691209182E-3</v>
      </c>
      <c r="R219" s="80"/>
      <c r="S219" s="89"/>
      <c r="T219" s="5"/>
    </row>
    <row r="220" spans="1:21" ht="15.6" x14ac:dyDescent="0.3">
      <c r="A220" s="24"/>
      <c r="B220" s="54" t="s">
        <v>210</v>
      </c>
      <c r="C220" s="94"/>
      <c r="D220" s="94"/>
      <c r="E220" s="94"/>
      <c r="F220" s="25"/>
      <c r="G220" s="95"/>
      <c r="H220" s="94"/>
      <c r="I220" s="94"/>
      <c r="J220" s="94"/>
      <c r="K220" s="94"/>
      <c r="L220" s="94"/>
      <c r="M220" s="94"/>
      <c r="N220" s="54">
        <v>6</v>
      </c>
      <c r="O220" s="95">
        <f t="shared" si="1"/>
        <v>6.1817432515969505E-4</v>
      </c>
      <c r="P220" s="53">
        <v>709</v>
      </c>
      <c r="Q220" s="135">
        <f t="shared" si="2"/>
        <v>7.3284380607443794E-4</v>
      </c>
      <c r="R220" s="80"/>
      <c r="S220" s="89"/>
      <c r="T220" s="5"/>
      <c r="U220" s="110"/>
    </row>
    <row r="221" spans="1:21" ht="15.6" x14ac:dyDescent="0.3">
      <c r="A221" s="24"/>
      <c r="B221" s="54" t="s">
        <v>211</v>
      </c>
      <c r="C221" s="94"/>
      <c r="D221" s="94"/>
      <c r="E221" s="94"/>
      <c r="F221" s="25"/>
      <c r="G221" s="95"/>
      <c r="H221" s="94"/>
      <c r="I221" s="94"/>
      <c r="J221" s="94"/>
      <c r="K221" s="94"/>
      <c r="L221" s="94"/>
      <c r="M221" s="94"/>
      <c r="N221" s="54">
        <v>5</v>
      </c>
      <c r="O221" s="95">
        <f t="shared" si="1"/>
        <v>5.1514527096641256E-4</v>
      </c>
      <c r="P221" s="53">
        <v>814</v>
      </c>
      <c r="Q221" s="135">
        <f t="shared" si="2"/>
        <v>8.4137497622650554E-4</v>
      </c>
      <c r="R221" s="80"/>
      <c r="S221" s="89"/>
      <c r="T221" s="5"/>
    </row>
    <row r="222" spans="1:21" ht="15.6" x14ac:dyDescent="0.3">
      <c r="A222" s="24"/>
      <c r="B222" s="54" t="s">
        <v>212</v>
      </c>
      <c r="C222" s="94"/>
      <c r="D222" s="94"/>
      <c r="E222" s="94"/>
      <c r="F222" s="25"/>
      <c r="G222" s="95"/>
      <c r="H222" s="94"/>
      <c r="I222" s="94"/>
      <c r="J222" s="94"/>
      <c r="K222" s="94"/>
      <c r="L222" s="94"/>
      <c r="M222" s="94"/>
      <c r="N222" s="54">
        <v>3</v>
      </c>
      <c r="O222" s="95">
        <f t="shared" si="1"/>
        <v>3.0908716257984752E-4</v>
      </c>
      <c r="P222" s="53">
        <v>116</v>
      </c>
      <c r="Q222" s="135">
        <f t="shared" si="2"/>
        <v>1.1990110226323667E-4</v>
      </c>
      <c r="R222" s="80"/>
      <c r="S222" s="89"/>
      <c r="T222" s="5"/>
      <c r="U222" s="110"/>
    </row>
    <row r="223" spans="1:21" ht="15.6" x14ac:dyDescent="0.3">
      <c r="A223" s="24"/>
      <c r="B223" s="54" t="s">
        <v>213</v>
      </c>
      <c r="C223" s="94"/>
      <c r="D223" s="94"/>
      <c r="E223" s="94"/>
      <c r="F223" s="25"/>
      <c r="G223" s="95"/>
      <c r="H223" s="94"/>
      <c r="I223" s="94"/>
      <c r="J223" s="94"/>
      <c r="K223" s="94"/>
      <c r="L223" s="94"/>
      <c r="M223" s="94"/>
      <c r="N223" s="54">
        <v>14</v>
      </c>
      <c r="O223" s="95">
        <f t="shared" si="1"/>
        <v>1.4424067587059551E-3</v>
      </c>
      <c r="P223" s="53">
        <v>561</v>
      </c>
      <c r="Q223" s="135">
        <f t="shared" si="2"/>
        <v>5.7986653766961874E-4</v>
      </c>
      <c r="R223" s="80"/>
      <c r="S223" s="89"/>
      <c r="T223" s="5"/>
    </row>
    <row r="224" spans="1:21" ht="15.6" x14ac:dyDescent="0.3">
      <c r="A224" s="24"/>
      <c r="B224" s="54" t="s">
        <v>214</v>
      </c>
      <c r="C224" s="94"/>
      <c r="D224" s="94"/>
      <c r="E224" s="94"/>
      <c r="F224" s="25"/>
      <c r="G224" s="95"/>
      <c r="H224" s="94"/>
      <c r="I224" s="94"/>
      <c r="J224" s="94"/>
      <c r="K224" s="94"/>
      <c r="L224" s="94"/>
      <c r="M224" s="94"/>
      <c r="N224" s="54">
        <v>0</v>
      </c>
      <c r="O224" s="95">
        <f t="shared" si="1"/>
        <v>0</v>
      </c>
      <c r="P224" s="53">
        <v>0</v>
      </c>
      <c r="Q224" s="135">
        <f t="shared" si="2"/>
        <v>0</v>
      </c>
      <c r="R224" s="80"/>
      <c r="S224" s="89"/>
      <c r="T224" s="5"/>
      <c r="U224" s="110"/>
    </row>
    <row r="225" spans="1:20" ht="15.6" x14ac:dyDescent="0.3">
      <c r="A225" s="24"/>
      <c r="B225" s="54"/>
      <c r="C225" s="94"/>
      <c r="D225" s="94"/>
      <c r="E225" s="94"/>
      <c r="F225" s="25"/>
      <c r="G225" s="95"/>
      <c r="H225" s="94"/>
      <c r="I225" s="94"/>
      <c r="J225" s="94"/>
      <c r="K225" s="94"/>
      <c r="L225" s="94"/>
      <c r="M225" s="94"/>
      <c r="N225" s="54"/>
      <c r="O225" s="95"/>
      <c r="P225" s="53"/>
      <c r="Q225" s="135"/>
      <c r="R225" s="80"/>
      <c r="S225" s="89"/>
      <c r="T225" s="5"/>
    </row>
    <row r="226" spans="1:20" ht="15.6" x14ac:dyDescent="0.3">
      <c r="A226" s="24"/>
      <c r="B226" s="25"/>
      <c r="C226" s="25"/>
      <c r="D226" s="25"/>
      <c r="E226" s="25"/>
      <c r="F226" s="25"/>
      <c r="G226" s="25"/>
      <c r="H226" s="96"/>
      <c r="I226" s="96"/>
      <c r="J226" s="96"/>
      <c r="K226" s="96"/>
      <c r="L226" s="96"/>
      <c r="M226" s="96"/>
      <c r="N226" s="34">
        <f>SUM(N217:N225)</f>
        <v>9706</v>
      </c>
      <c r="O226" s="135">
        <f>SUM(O217:O225)</f>
        <v>1</v>
      </c>
      <c r="P226" s="53">
        <f>SUM(P217:P225)</f>
        <v>967464</v>
      </c>
      <c r="Q226" s="135">
        <f>SUM(Q217:Q225)</f>
        <v>1</v>
      </c>
      <c r="R226" s="25"/>
      <c r="S226" s="25"/>
      <c r="T226" s="5"/>
    </row>
    <row r="227" spans="1:20" ht="15.6" x14ac:dyDescent="0.3">
      <c r="A227" s="24"/>
      <c r="B227" s="25"/>
      <c r="C227" s="25"/>
      <c r="D227" s="25"/>
      <c r="E227" s="25"/>
      <c r="F227" s="25"/>
      <c r="G227" s="25"/>
      <c r="H227" s="96"/>
      <c r="I227" s="96"/>
      <c r="J227" s="96"/>
      <c r="K227" s="96"/>
      <c r="L227" s="96"/>
      <c r="M227" s="96"/>
      <c r="N227" s="34"/>
      <c r="O227" s="135"/>
      <c r="P227" s="53"/>
      <c r="Q227" s="135"/>
      <c r="R227" s="25"/>
      <c r="S227" s="25"/>
      <c r="T227" s="5"/>
    </row>
    <row r="228" spans="1:20" ht="15.6" x14ac:dyDescent="0.3">
      <c r="A228" s="144"/>
      <c r="B228" s="14" t="s">
        <v>237</v>
      </c>
      <c r="C228" s="82"/>
      <c r="D228" s="82"/>
      <c r="E228" s="82"/>
      <c r="F228" s="83"/>
      <c r="G228" s="82"/>
      <c r="H228" s="17"/>
      <c r="I228" s="17"/>
      <c r="J228" s="17"/>
      <c r="K228" s="17"/>
      <c r="L228" s="17"/>
      <c r="M228" s="17"/>
      <c r="N228" s="84" t="s">
        <v>113</v>
      </c>
      <c r="O228" s="17" t="s">
        <v>114</v>
      </c>
      <c r="P228" s="84" t="s">
        <v>123</v>
      </c>
      <c r="Q228" s="17" t="s">
        <v>114</v>
      </c>
      <c r="R228" s="142"/>
      <c r="S228" s="143"/>
      <c r="T228" s="5"/>
    </row>
    <row r="229" spans="1:20" ht="15.6" x14ac:dyDescent="0.3">
      <c r="A229" s="24"/>
      <c r="B229" s="54" t="s">
        <v>99</v>
      </c>
      <c r="C229" s="94"/>
      <c r="D229" s="94"/>
      <c r="E229" s="94"/>
      <c r="F229" s="25"/>
      <c r="G229" s="94"/>
      <c r="H229" s="94"/>
      <c r="I229" s="94"/>
      <c r="J229" s="94"/>
      <c r="K229" s="94"/>
      <c r="L229" s="94"/>
      <c r="M229" s="94"/>
      <c r="N229" s="54">
        <v>1</v>
      </c>
      <c r="O229" s="95">
        <f t="shared" ref="O229:O236" si="3">N229/$N$238</f>
        <v>0.16666666666666666</v>
      </c>
      <c r="P229" s="53">
        <v>65</v>
      </c>
      <c r="Q229" s="135">
        <f t="shared" ref="Q229:Q236" si="4">P229/$P$238</f>
        <v>5.2716950527169508E-2</v>
      </c>
      <c r="R229" s="25"/>
      <c r="S229" s="25"/>
      <c r="T229" s="5"/>
    </row>
    <row r="230" spans="1:20" ht="15.6" x14ac:dyDescent="0.3">
      <c r="A230" s="24"/>
      <c r="B230" s="54" t="s">
        <v>100</v>
      </c>
      <c r="C230" s="94"/>
      <c r="D230" s="94"/>
      <c r="E230" s="94"/>
      <c r="F230" s="25"/>
      <c r="G230" s="95"/>
      <c r="H230" s="94"/>
      <c r="I230" s="94"/>
      <c r="J230" s="94"/>
      <c r="K230" s="94"/>
      <c r="L230" s="94"/>
      <c r="M230" s="94"/>
      <c r="N230" s="54">
        <v>0</v>
      </c>
      <c r="O230" s="95">
        <f t="shared" si="3"/>
        <v>0</v>
      </c>
      <c r="P230" s="53">
        <v>0</v>
      </c>
      <c r="Q230" s="135">
        <f t="shared" si="4"/>
        <v>0</v>
      </c>
      <c r="R230" s="25"/>
      <c r="S230" s="25"/>
      <c r="T230" s="5"/>
    </row>
    <row r="231" spans="1:20" ht="15.6" x14ac:dyDescent="0.3">
      <c r="A231" s="24"/>
      <c r="B231" s="54" t="s">
        <v>101</v>
      </c>
      <c r="C231" s="94"/>
      <c r="D231" s="94"/>
      <c r="E231" s="94"/>
      <c r="F231" s="25"/>
      <c r="G231" s="95"/>
      <c r="H231" s="94"/>
      <c r="I231" s="94"/>
      <c r="J231" s="94"/>
      <c r="K231" s="94"/>
      <c r="L231" s="94"/>
      <c r="M231" s="94"/>
      <c r="N231" s="54">
        <v>0</v>
      </c>
      <c r="O231" s="95">
        <f t="shared" si="3"/>
        <v>0</v>
      </c>
      <c r="P231" s="53">
        <v>0</v>
      </c>
      <c r="Q231" s="135">
        <f t="shared" si="4"/>
        <v>0</v>
      </c>
      <c r="R231" s="25"/>
      <c r="S231" s="25"/>
      <c r="T231" s="5"/>
    </row>
    <row r="232" spans="1:20" ht="15.6" x14ac:dyDescent="0.3">
      <c r="A232" s="24"/>
      <c r="B232" s="54" t="s">
        <v>210</v>
      </c>
      <c r="C232" s="94"/>
      <c r="D232" s="94"/>
      <c r="E232" s="94"/>
      <c r="F232" s="25"/>
      <c r="G232" s="95"/>
      <c r="H232" s="94"/>
      <c r="I232" s="94"/>
      <c r="J232" s="94"/>
      <c r="K232" s="94"/>
      <c r="L232" s="94"/>
      <c r="M232" s="94"/>
      <c r="N232" s="54">
        <v>0</v>
      </c>
      <c r="O232" s="95">
        <f t="shared" si="3"/>
        <v>0</v>
      </c>
      <c r="P232" s="53">
        <v>0</v>
      </c>
      <c r="Q232" s="135">
        <f t="shared" si="4"/>
        <v>0</v>
      </c>
      <c r="R232" s="25"/>
      <c r="S232" s="25"/>
      <c r="T232" s="5"/>
    </row>
    <row r="233" spans="1:20" ht="15.6" x14ac:dyDescent="0.3">
      <c r="A233" s="24"/>
      <c r="B233" s="54" t="s">
        <v>211</v>
      </c>
      <c r="C233" s="94"/>
      <c r="D233" s="94"/>
      <c r="E233" s="94"/>
      <c r="F233" s="25"/>
      <c r="G233" s="95"/>
      <c r="H233" s="94"/>
      <c r="I233" s="94"/>
      <c r="J233" s="94"/>
      <c r="K233" s="94"/>
      <c r="L233" s="94"/>
      <c r="M233" s="94"/>
      <c r="N233" s="54">
        <v>0</v>
      </c>
      <c r="O233" s="95">
        <f t="shared" si="3"/>
        <v>0</v>
      </c>
      <c r="P233" s="53">
        <v>0</v>
      </c>
      <c r="Q233" s="135">
        <f t="shared" si="4"/>
        <v>0</v>
      </c>
      <c r="R233" s="25"/>
      <c r="S233" s="25"/>
      <c r="T233" s="5"/>
    </row>
    <row r="234" spans="1:20" ht="15.6" x14ac:dyDescent="0.3">
      <c r="A234" s="24"/>
      <c r="B234" s="54" t="s">
        <v>212</v>
      </c>
      <c r="C234" s="94"/>
      <c r="D234" s="94"/>
      <c r="E234" s="94"/>
      <c r="F234" s="25"/>
      <c r="G234" s="95"/>
      <c r="H234" s="94"/>
      <c r="I234" s="94"/>
      <c r="J234" s="94"/>
      <c r="K234" s="94"/>
      <c r="L234" s="94"/>
      <c r="M234" s="94"/>
      <c r="N234" s="54">
        <v>1</v>
      </c>
      <c r="O234" s="95">
        <f t="shared" si="3"/>
        <v>0.16666666666666666</v>
      </c>
      <c r="P234" s="53">
        <v>139</v>
      </c>
      <c r="Q234" s="135">
        <f t="shared" si="4"/>
        <v>0.11273317112733171</v>
      </c>
      <c r="R234" s="25"/>
      <c r="S234" s="25"/>
      <c r="T234" s="5"/>
    </row>
    <row r="235" spans="1:20" ht="15.6" x14ac:dyDescent="0.3">
      <c r="A235" s="24"/>
      <c r="B235" s="54" t="s">
        <v>213</v>
      </c>
      <c r="C235" s="94"/>
      <c r="D235" s="94"/>
      <c r="E235" s="94"/>
      <c r="F235" s="25"/>
      <c r="G235" s="95"/>
      <c r="H235" s="94"/>
      <c r="I235" s="94"/>
      <c r="J235" s="94"/>
      <c r="K235" s="94"/>
      <c r="L235" s="94"/>
      <c r="M235" s="94"/>
      <c r="N235" s="54">
        <v>4</v>
      </c>
      <c r="O235" s="95">
        <f t="shared" si="3"/>
        <v>0.66666666666666663</v>
      </c>
      <c r="P235" s="53">
        <v>1029</v>
      </c>
      <c r="Q235" s="135">
        <f t="shared" si="4"/>
        <v>0.83454987834549876</v>
      </c>
      <c r="R235" s="25"/>
      <c r="S235" s="25"/>
      <c r="T235" s="5"/>
    </row>
    <row r="236" spans="1:20" ht="15.6" x14ac:dyDescent="0.3">
      <c r="A236" s="24"/>
      <c r="B236" s="54" t="s">
        <v>214</v>
      </c>
      <c r="C236" s="94"/>
      <c r="D236" s="94"/>
      <c r="E236" s="94"/>
      <c r="F236" s="25"/>
      <c r="G236" s="95"/>
      <c r="H236" s="94"/>
      <c r="I236" s="94"/>
      <c r="J236" s="94"/>
      <c r="K236" s="94"/>
      <c r="L236" s="94"/>
      <c r="M236" s="94"/>
      <c r="N236" s="54">
        <v>0</v>
      </c>
      <c r="O236" s="95">
        <f t="shared" si="3"/>
        <v>0</v>
      </c>
      <c r="P236" s="53">
        <v>0</v>
      </c>
      <c r="Q236" s="135">
        <f t="shared" si="4"/>
        <v>0</v>
      </c>
      <c r="R236" s="25"/>
      <c r="S236" s="25"/>
      <c r="T236" s="5"/>
    </row>
    <row r="237" spans="1:20" ht="15.6" x14ac:dyDescent="0.3">
      <c r="A237" s="24"/>
      <c r="B237" s="54"/>
      <c r="C237" s="94"/>
      <c r="D237" s="94"/>
      <c r="E237" s="94"/>
      <c r="F237" s="25"/>
      <c r="G237" s="95"/>
      <c r="H237" s="94"/>
      <c r="I237" s="94"/>
      <c r="J237" s="94"/>
      <c r="K237" s="94"/>
      <c r="L237" s="94"/>
      <c r="M237" s="94"/>
      <c r="N237" s="54"/>
      <c r="O237" s="95"/>
      <c r="P237" s="53"/>
      <c r="Q237" s="135"/>
      <c r="R237" s="25"/>
      <c r="S237" s="25"/>
      <c r="T237" s="5"/>
    </row>
    <row r="238" spans="1:20" ht="15.6" x14ac:dyDescent="0.3">
      <c r="A238" s="24"/>
      <c r="B238" s="25"/>
      <c r="C238" s="25"/>
      <c r="D238" s="25"/>
      <c r="E238" s="25"/>
      <c r="F238" s="25"/>
      <c r="G238" s="25"/>
      <c r="H238" s="96"/>
      <c r="I238" s="96"/>
      <c r="J238" s="96"/>
      <c r="K238" s="96"/>
      <c r="L238" s="96"/>
      <c r="M238" s="96"/>
      <c r="N238" s="34">
        <f>SUM(N229:N237)</f>
        <v>6</v>
      </c>
      <c r="O238" s="135">
        <f>SUM(O229:O237)</f>
        <v>1</v>
      </c>
      <c r="P238" s="53">
        <f>SUM(P229:P237)</f>
        <v>1233</v>
      </c>
      <c r="Q238" s="135">
        <f>SUM(Q229:Q237)</f>
        <v>1</v>
      </c>
      <c r="R238" s="25"/>
      <c r="S238" s="25"/>
      <c r="T238" s="5"/>
    </row>
    <row r="239" spans="1:20" ht="15.6" x14ac:dyDescent="0.3">
      <c r="A239" s="24"/>
      <c r="B239" s="25"/>
      <c r="C239" s="25"/>
      <c r="D239" s="25"/>
      <c r="E239" s="25"/>
      <c r="F239" s="25"/>
      <c r="G239" s="25"/>
      <c r="H239" s="96"/>
      <c r="I239" s="96"/>
      <c r="J239" s="96"/>
      <c r="K239" s="96"/>
      <c r="L239" s="96"/>
      <c r="M239" s="96"/>
      <c r="N239" s="96"/>
      <c r="O239" s="96"/>
      <c r="P239" s="53"/>
      <c r="Q239" s="96"/>
      <c r="R239" s="25"/>
      <c r="S239" s="25"/>
      <c r="T239" s="5"/>
    </row>
    <row r="240" spans="1:20" ht="15.6" x14ac:dyDescent="0.3">
      <c r="A240" s="6"/>
      <c r="B240" s="8"/>
      <c r="C240" s="8"/>
      <c r="D240" s="8"/>
      <c r="E240" s="8"/>
      <c r="F240" s="8"/>
      <c r="G240" s="8"/>
      <c r="H240" s="97"/>
      <c r="I240" s="97"/>
      <c r="J240" s="97"/>
      <c r="K240" s="97"/>
      <c r="L240" s="97"/>
      <c r="M240" s="97"/>
      <c r="N240" s="97"/>
      <c r="O240" s="97"/>
      <c r="P240" s="98"/>
      <c r="Q240" s="97"/>
      <c r="R240" s="8"/>
      <c r="S240" s="8"/>
      <c r="T240" s="5"/>
    </row>
    <row r="241" spans="1:20" ht="15.6" x14ac:dyDescent="0.3">
      <c r="A241" s="99"/>
      <c r="B241" s="14" t="s">
        <v>102</v>
      </c>
      <c r="C241" s="15"/>
      <c r="D241" s="15"/>
      <c r="E241" s="15"/>
      <c r="F241" s="17" t="s">
        <v>108</v>
      </c>
      <c r="G241" s="15"/>
      <c r="H241" s="14" t="s">
        <v>110</v>
      </c>
      <c r="I241" s="145"/>
      <c r="J241" s="145"/>
      <c r="K241" s="12"/>
      <c r="L241" s="12"/>
      <c r="M241" s="12"/>
      <c r="N241" s="12"/>
      <c r="O241" s="12"/>
      <c r="P241" s="12"/>
      <c r="Q241" s="12"/>
      <c r="R241" s="12"/>
      <c r="S241" s="12"/>
      <c r="T241" s="5"/>
    </row>
    <row r="242" spans="1:20" ht="15.6" x14ac:dyDescent="0.3">
      <c r="A242" s="99"/>
      <c r="B242" s="145"/>
      <c r="C242" s="8"/>
      <c r="D242" s="8"/>
      <c r="E242" s="8"/>
      <c r="F242" s="8"/>
      <c r="G242" s="8"/>
      <c r="H242" s="8"/>
      <c r="I242" s="145"/>
      <c r="J242" s="145"/>
      <c r="K242" s="12"/>
      <c r="L242" s="12"/>
      <c r="M242" s="12"/>
      <c r="N242" s="12"/>
      <c r="O242" s="12"/>
      <c r="P242" s="12"/>
      <c r="Q242" s="12"/>
      <c r="R242" s="12"/>
      <c r="S242" s="12"/>
      <c r="T242" s="5"/>
    </row>
    <row r="243" spans="1:20" ht="15.6" x14ac:dyDescent="0.3">
      <c r="A243" s="99"/>
      <c r="B243" s="13" t="s">
        <v>103</v>
      </c>
      <c r="C243" s="13"/>
      <c r="D243" s="13"/>
      <c r="E243" s="13"/>
      <c r="F243" s="133" t="s">
        <v>172</v>
      </c>
      <c r="G243" s="13"/>
      <c r="H243" s="13" t="s">
        <v>200</v>
      </c>
      <c r="I243" s="145"/>
      <c r="J243" s="145"/>
      <c r="K243" s="12"/>
      <c r="L243" s="12"/>
      <c r="M243" s="12"/>
      <c r="N243" s="12"/>
      <c r="O243" s="12"/>
      <c r="P243" s="12"/>
      <c r="Q243" s="12"/>
      <c r="R243" s="12"/>
      <c r="S243" s="12"/>
      <c r="T243" s="5"/>
    </row>
    <row r="244" spans="1:20" ht="15.6" x14ac:dyDescent="0.3">
      <c r="A244" s="99"/>
      <c r="B244" s="13" t="s">
        <v>271</v>
      </c>
      <c r="C244" s="13"/>
      <c r="D244" s="13"/>
      <c r="E244" s="13"/>
      <c r="F244" s="133" t="s">
        <v>272</v>
      </c>
      <c r="G244" s="13"/>
      <c r="H244" s="13" t="s">
        <v>273</v>
      </c>
      <c r="I244" s="145"/>
      <c r="J244" s="145"/>
      <c r="K244" s="12"/>
      <c r="L244" s="12"/>
      <c r="M244" s="12"/>
      <c r="N244" s="12"/>
      <c r="O244" s="12"/>
      <c r="P244" s="12"/>
      <c r="Q244" s="12"/>
      <c r="R244" s="12"/>
      <c r="S244" s="12"/>
      <c r="T244" s="5"/>
    </row>
    <row r="245" spans="1:20" ht="15.6" x14ac:dyDescent="0.3">
      <c r="A245" s="99"/>
      <c r="B245" s="13" t="s">
        <v>104</v>
      </c>
      <c r="C245" s="13"/>
      <c r="D245" s="13"/>
      <c r="E245" s="13"/>
      <c r="F245" s="133" t="s">
        <v>171</v>
      </c>
      <c r="G245" s="13"/>
      <c r="H245" s="13" t="s">
        <v>201</v>
      </c>
      <c r="I245" s="145"/>
      <c r="J245" s="145"/>
      <c r="K245" s="12"/>
      <c r="L245" s="12"/>
      <c r="M245" s="12"/>
      <c r="N245" s="12"/>
      <c r="O245" s="12"/>
      <c r="P245" s="12"/>
      <c r="Q245" s="12"/>
      <c r="R245" s="12"/>
      <c r="S245" s="12"/>
      <c r="T245" s="5"/>
    </row>
    <row r="246" spans="1:20" ht="15.6" x14ac:dyDescent="0.3">
      <c r="A246" s="99"/>
      <c r="B246" s="13"/>
      <c r="C246" s="13"/>
      <c r="D246" s="13"/>
      <c r="E246" s="13"/>
      <c r="F246" s="13"/>
      <c r="G246" s="100"/>
      <c r="H246" s="12"/>
      <c r="I246" s="12"/>
      <c r="J246" s="12"/>
      <c r="K246" s="12"/>
      <c r="L246" s="12"/>
      <c r="M246" s="12"/>
      <c r="N246" s="12"/>
      <c r="O246" s="12"/>
      <c r="P246" s="12"/>
      <c r="Q246" s="12"/>
      <c r="R246" s="12"/>
      <c r="S246" s="12"/>
      <c r="T246" s="5"/>
    </row>
    <row r="247" spans="1:20" ht="18" thickBot="1" x14ac:dyDescent="0.35">
      <c r="A247" s="99"/>
      <c r="B247" s="49" t="str">
        <f>B184</f>
        <v>PM8 INVESTOR REPORT QUARTER ENDING MARCH 2005</v>
      </c>
      <c r="C247" s="13"/>
      <c r="D247" s="13"/>
      <c r="E247" s="13"/>
      <c r="F247" s="13"/>
      <c r="G247" s="100"/>
      <c r="H247" s="12"/>
      <c r="I247" s="12"/>
      <c r="J247" s="12"/>
      <c r="K247" s="12"/>
      <c r="L247" s="12"/>
      <c r="M247" s="12"/>
      <c r="N247" s="12"/>
      <c r="O247" s="12"/>
      <c r="P247" s="12"/>
      <c r="Q247" s="12"/>
      <c r="R247" s="12"/>
      <c r="S247" s="12"/>
      <c r="T247" s="5"/>
    </row>
    <row r="248" spans="1:20" x14ac:dyDescent="0.25">
      <c r="A248" s="101"/>
      <c r="B248" s="101"/>
      <c r="C248" s="101"/>
      <c r="D248" s="101"/>
      <c r="E248" s="101"/>
      <c r="F248" s="101"/>
      <c r="G248" s="101"/>
      <c r="H248" s="101"/>
      <c r="I248" s="101"/>
      <c r="J248" s="101"/>
      <c r="K248" s="101"/>
      <c r="L248" s="101"/>
      <c r="M248" s="101"/>
      <c r="N248" s="101"/>
      <c r="O248" s="101"/>
      <c r="P248" s="101"/>
      <c r="Q248" s="101"/>
      <c r="R248" s="101"/>
      <c r="S248" s="101"/>
    </row>
  </sheetData>
  <phoneticPr fontId="0" type="noConversion"/>
  <printOptions horizontalCentered="1" verticalCentered="1"/>
  <pageMargins left="0.19685039370078741" right="0.19685039370078741" top="0.27559055118110237" bottom="0.27559055118110237" header="0" footer="0"/>
  <pageSetup scale="38" orientation="landscape" r:id="rId1"/>
  <headerFooter alignWithMargins="0"/>
  <rowBreaks count="3" manualBreakCount="3">
    <brk id="62" max="14" man="1"/>
    <brk id="128" max="14" man="1"/>
    <brk id="184"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7"/>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0.83879999999999999</v>
      </c>
      <c r="P16" s="17" t="s">
        <v>161</v>
      </c>
      <c r="Q16" s="140">
        <v>0.16120000000000001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39286</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2894.85</v>
      </c>
      <c r="E31" s="32"/>
      <c r="F31" s="125">
        <f>F37*F30</f>
        <v>19106.009999999998</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299232.81599999999</v>
      </c>
      <c r="I32" s="36"/>
      <c r="J32" s="126">
        <f>J36*J30</f>
        <v>444434.31360000005</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2894.85</v>
      </c>
      <c r="E34" s="32"/>
      <c r="F34" s="31">
        <f>+F31*0.696969697</f>
        <v>13316.310000578969</v>
      </c>
      <c r="G34" s="31"/>
      <c r="H34" s="31">
        <v>305000</v>
      </c>
      <c r="I34" s="31"/>
      <c r="J34" s="31">
        <v>315000</v>
      </c>
      <c r="K34" s="31"/>
      <c r="L34" s="31">
        <v>65000</v>
      </c>
      <c r="M34" s="31"/>
      <c r="N34" s="31">
        <v>35000</v>
      </c>
      <c r="O34" s="31"/>
      <c r="P34" s="31"/>
      <c r="Q34" s="147"/>
      <c r="R34" s="31">
        <f>SUM(C34:N34)</f>
        <v>736211.16000057897</v>
      </c>
      <c r="S34" s="34"/>
      <c r="T34" s="5"/>
    </row>
    <row r="35" spans="1:20" ht="15.6" x14ac:dyDescent="0.3">
      <c r="A35" s="28"/>
      <c r="B35" s="29" t="s">
        <v>287</v>
      </c>
      <c r="C35" s="36"/>
      <c r="D35" s="35">
        <f>D36*D33</f>
        <v>0</v>
      </c>
      <c r="E35" s="36"/>
      <c r="F35" s="35">
        <f>F36*F33</f>
        <v>0</v>
      </c>
      <c r="G35" s="35"/>
      <c r="H35" s="35">
        <f>H36*H33</f>
        <v>299232.81599999999</v>
      </c>
      <c r="I35" s="36"/>
      <c r="J35" s="35">
        <f>J36*J33</f>
        <v>309043.728</v>
      </c>
      <c r="K35" s="35"/>
      <c r="L35" s="35">
        <v>65000</v>
      </c>
      <c r="M35" s="35"/>
      <c r="N35" s="35">
        <v>35000</v>
      </c>
      <c r="O35" s="35"/>
      <c r="P35" s="35"/>
      <c r="Q35" s="37"/>
      <c r="R35" s="35">
        <f>SUM(C35:N35)</f>
        <v>708276.54399999999</v>
      </c>
      <c r="S35" s="34"/>
      <c r="T35" s="5"/>
    </row>
    <row r="36" spans="1:20" ht="15.6" x14ac:dyDescent="0.3">
      <c r="A36" s="28"/>
      <c r="B36" s="123" t="s">
        <v>149</v>
      </c>
      <c r="C36" s="127"/>
      <c r="D36" s="172">
        <v>0</v>
      </c>
      <c r="E36" s="139"/>
      <c r="F36" s="172">
        <v>0</v>
      </c>
      <c r="G36" s="138"/>
      <c r="H36" s="172">
        <v>0.98109120000000005</v>
      </c>
      <c r="I36" s="138"/>
      <c r="J36" s="172">
        <v>0.98109120000000005</v>
      </c>
      <c r="K36" s="138"/>
      <c r="L36" s="172">
        <v>1</v>
      </c>
      <c r="M36" s="138"/>
      <c r="N36" s="172">
        <v>1</v>
      </c>
      <c r="O36" s="31"/>
      <c r="P36" s="31"/>
      <c r="Q36" s="147"/>
      <c r="R36" s="31"/>
      <c r="S36" s="34"/>
      <c r="T36" s="5"/>
    </row>
    <row r="37" spans="1:20" ht="15.6" x14ac:dyDescent="0.3">
      <c r="A37" s="28"/>
      <c r="B37" s="123" t="s">
        <v>150</v>
      </c>
      <c r="C37" s="127"/>
      <c r="D37" s="172">
        <v>5.7896999999999997E-2</v>
      </c>
      <c r="E37" s="139"/>
      <c r="F37" s="172">
        <v>5.7896999999999997E-2</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5.7099999999999998E-2</v>
      </c>
      <c r="E39" s="25"/>
      <c r="F39" s="38">
        <v>4.0779999999999997E-2</v>
      </c>
      <c r="G39" s="39"/>
      <c r="H39" s="38">
        <v>5.79E-2</v>
      </c>
      <c r="I39" s="39"/>
      <c r="J39" s="38">
        <v>4.1480000000000003E-2</v>
      </c>
      <c r="K39" s="39"/>
      <c r="L39" s="38">
        <v>6.25E-2</v>
      </c>
      <c r="M39" s="39"/>
      <c r="N39" s="38">
        <v>4.5679999999999998E-2</v>
      </c>
      <c r="O39" s="39"/>
      <c r="P39" s="38"/>
      <c r="Q39" s="146"/>
      <c r="R39" s="39"/>
      <c r="S39" s="25"/>
      <c r="T39" s="5"/>
    </row>
    <row r="40" spans="1:20" ht="15.6" x14ac:dyDescent="0.3">
      <c r="A40" s="24"/>
      <c r="B40" s="25" t="s">
        <v>14</v>
      </c>
      <c r="C40" s="25"/>
      <c r="D40" s="38">
        <v>5.65313E-2</v>
      </c>
      <c r="E40" s="25"/>
      <c r="F40" s="38">
        <v>3.8670000000000003E-2</v>
      </c>
      <c r="G40" s="39"/>
      <c r="H40" s="38">
        <v>5.7331300000000002E-2</v>
      </c>
      <c r="I40" s="39"/>
      <c r="J40" s="38">
        <v>3.9370000000000002E-2</v>
      </c>
      <c r="K40" s="39"/>
      <c r="L40" s="38">
        <v>6.1931300000000002E-2</v>
      </c>
      <c r="M40" s="39"/>
      <c r="N40" s="38">
        <v>4.3569999999999998E-2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5.7099999999999998E-2</v>
      </c>
      <c r="E42" s="25"/>
      <c r="F42" s="38">
        <v>5.7313000000000003E-2</v>
      </c>
      <c r="G42" s="39"/>
      <c r="H42" s="38">
        <f>+H39</f>
        <v>5.79E-2</v>
      </c>
      <c r="I42" s="39"/>
      <c r="J42" s="38">
        <v>5.8298000000000003E-2</v>
      </c>
      <c r="K42" s="39"/>
      <c r="L42" s="38">
        <f>+L39</f>
        <v>6.25E-2</v>
      </c>
      <c r="M42" s="39"/>
      <c r="N42" s="38">
        <v>6.2877000000000002E-2</v>
      </c>
      <c r="O42" s="39"/>
      <c r="P42" s="38"/>
      <c r="Q42" s="146"/>
      <c r="R42" s="39">
        <f>SUMPRODUCT(D42:N42,D34:N34)/R34</f>
        <v>5.8699271293346324E-2</v>
      </c>
      <c r="S42" s="25"/>
      <c r="T42" s="5"/>
    </row>
    <row r="43" spans="1:20" ht="15.6" x14ac:dyDescent="0.3">
      <c r="A43" s="24"/>
      <c r="B43" s="25" t="s">
        <v>290</v>
      </c>
      <c r="C43" s="25"/>
      <c r="D43" s="38">
        <f>+D40</f>
        <v>5.65313E-2</v>
      </c>
      <c r="E43" s="25"/>
      <c r="F43" s="38">
        <v>5.6744299999999998E-2</v>
      </c>
      <c r="G43" s="39"/>
      <c r="H43" s="38">
        <f>+H40</f>
        <v>5.7331300000000002E-2</v>
      </c>
      <c r="I43" s="39"/>
      <c r="J43" s="38">
        <v>5.7729299999999997E-2</v>
      </c>
      <c r="K43" s="39"/>
      <c r="L43" s="38">
        <f>+L40</f>
        <v>6.1931300000000002E-2</v>
      </c>
      <c r="M43" s="39"/>
      <c r="N43" s="38">
        <v>6.2308299999999997E-2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0.16439890866480625</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39279</v>
      </c>
      <c r="S54" s="25"/>
      <c r="T54" s="5"/>
    </row>
    <row r="55" spans="1:21" ht="15.6" x14ac:dyDescent="0.3">
      <c r="A55" s="24"/>
      <c r="B55" s="25" t="s">
        <v>140</v>
      </c>
      <c r="C55" s="25"/>
      <c r="D55" s="25"/>
      <c r="E55" s="25"/>
      <c r="F55" s="25"/>
      <c r="G55" s="25"/>
      <c r="H55" s="58"/>
      <c r="I55" s="58"/>
      <c r="J55" s="58"/>
      <c r="K55" s="58"/>
      <c r="L55" s="58"/>
      <c r="M55" s="58"/>
      <c r="N55" s="25">
        <f>+R55-P55+1</f>
        <v>91</v>
      </c>
      <c r="O55" s="58"/>
      <c r="P55" s="45">
        <v>39097</v>
      </c>
      <c r="Q55" s="46"/>
      <c r="R55" s="45">
        <v>39187</v>
      </c>
      <c r="S55" s="25"/>
      <c r="T55" s="5"/>
    </row>
    <row r="56" spans="1:21" ht="15.6" x14ac:dyDescent="0.3">
      <c r="A56" s="24"/>
      <c r="B56" s="25" t="s">
        <v>141</v>
      </c>
      <c r="C56" s="25"/>
      <c r="D56" s="25"/>
      <c r="E56" s="25"/>
      <c r="F56" s="25"/>
      <c r="G56" s="25"/>
      <c r="H56" s="25"/>
      <c r="I56" s="25"/>
      <c r="J56" s="25"/>
      <c r="K56" s="25"/>
      <c r="L56" s="25"/>
      <c r="M56" s="25"/>
      <c r="N56" s="25">
        <f>+R56-P56+1</f>
        <v>91</v>
      </c>
      <c r="O56" s="25"/>
      <c r="P56" s="45">
        <v>39188</v>
      </c>
      <c r="Q56" s="46"/>
      <c r="R56" s="45">
        <v>39278</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39265</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270</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736211</v>
      </c>
      <c r="K67" s="34"/>
      <c r="L67" s="34">
        <f>27935+4023+268-1</f>
        <v>32225</v>
      </c>
      <c r="M67" s="34"/>
      <c r="N67" s="34">
        <f>4023+268</f>
        <v>4291</v>
      </c>
      <c r="O67" s="34"/>
      <c r="P67" s="34">
        <v>0</v>
      </c>
      <c r="Q67" s="34"/>
      <c r="R67" s="53">
        <f>+J67-L67+N67-P67</f>
        <v>708277</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736211</v>
      </c>
      <c r="K70" s="34"/>
      <c r="L70" s="34">
        <f>SUM(L67:L69)</f>
        <v>32225</v>
      </c>
      <c r="M70" s="34"/>
      <c r="N70" s="34">
        <f>SUM(N67:N69)</f>
        <v>4291</v>
      </c>
      <c r="O70" s="34"/>
      <c r="P70" s="34">
        <f>SUM(P67:P69)</f>
        <v>0</v>
      </c>
      <c r="Q70" s="34"/>
      <c r="R70" s="54">
        <f>SUM(R67:R69)</f>
        <v>708277</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736211</v>
      </c>
      <c r="K83" s="34"/>
      <c r="L83" s="34"/>
      <c r="M83" s="34"/>
      <c r="N83" s="34"/>
      <c r="O83" s="34"/>
      <c r="P83" s="54"/>
      <c r="Q83" s="34"/>
      <c r="R83" s="54">
        <f>SUM(R70:R82)</f>
        <v>708277</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+P188</f>
        <v>39262</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32225-91</f>
        <v>32134</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11305+1856-1218-153-105</f>
        <v>11685</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534+105</f>
        <v>639</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763</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222</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612</v>
      </c>
      <c r="S94" s="25"/>
      <c r="T94" s="5"/>
    </row>
    <row r="95" spans="1:20" ht="15.6" x14ac:dyDescent="0.3">
      <c r="A95" s="24"/>
      <c r="B95" s="25" t="s">
        <v>35</v>
      </c>
      <c r="C95" s="25"/>
      <c r="D95" s="25"/>
      <c r="E95" s="25"/>
      <c r="F95" s="25"/>
      <c r="G95" s="25"/>
      <c r="H95" s="25"/>
      <c r="I95" s="25"/>
      <c r="J95" s="25"/>
      <c r="K95" s="25"/>
      <c r="L95" s="25"/>
      <c r="M95" s="25"/>
      <c r="N95" s="25"/>
      <c r="O95" s="25"/>
      <c r="P95" s="34">
        <f>SUM(P87:P94)</f>
        <v>32134</v>
      </c>
      <c r="Q95" s="25"/>
      <c r="R95" s="54">
        <f>SUM(R87:R94)</f>
        <v>13921</v>
      </c>
      <c r="S95" s="25"/>
      <c r="T95" s="5"/>
    </row>
    <row r="96" spans="1:20" ht="15.6" x14ac:dyDescent="0.3">
      <c r="A96" s="24"/>
      <c r="B96" s="25" t="s">
        <v>235</v>
      </c>
      <c r="C96" s="25"/>
      <c r="D96" s="25"/>
      <c r="E96" s="25"/>
      <c r="F96" s="25"/>
      <c r="G96" s="25"/>
      <c r="H96" s="25"/>
      <c r="I96" s="25"/>
      <c r="J96" s="25"/>
      <c r="K96" s="25"/>
      <c r="L96" s="25"/>
      <c r="M96" s="25"/>
      <c r="N96" s="25"/>
      <c r="O96" s="25"/>
      <c r="P96" s="34">
        <v>-53</v>
      </c>
      <c r="Q96" s="25"/>
      <c r="R96" s="54">
        <f>-P96</f>
        <v>53</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37</v>
      </c>
      <c r="C98" s="25"/>
      <c r="D98" s="25"/>
      <c r="E98" s="25"/>
      <c r="F98" s="25"/>
      <c r="G98" s="25"/>
      <c r="H98" s="25"/>
      <c r="I98" s="25"/>
      <c r="J98" s="25"/>
      <c r="K98" s="25"/>
      <c r="L98" s="25"/>
      <c r="M98" s="25"/>
      <c r="N98" s="25"/>
      <c r="O98" s="25"/>
      <c r="P98" s="34">
        <f>P95+P97+P96</f>
        <v>32081</v>
      </c>
      <c r="Q98" s="25"/>
      <c r="R98" s="54">
        <f>R95+R97+R96</f>
        <v>13974</v>
      </c>
      <c r="S98" s="25"/>
      <c r="T98" s="5"/>
    </row>
    <row r="99" spans="1:21" ht="15.6" x14ac:dyDescent="0.3">
      <c r="A99" s="24"/>
      <c r="B99" s="119" t="s">
        <v>38</v>
      </c>
      <c r="C99" s="25"/>
      <c r="D99" s="25"/>
      <c r="E99" s="25"/>
      <c r="F99" s="25"/>
      <c r="G99" s="25"/>
      <c r="H99" s="25"/>
      <c r="I99" s="25"/>
      <c r="J99" s="25"/>
      <c r="K99" s="25"/>
      <c r="L99" s="25"/>
      <c r="M99" s="25"/>
      <c r="N99" s="25"/>
      <c r="O99" s="25"/>
      <c r="P99" s="34"/>
      <c r="Q99" s="25"/>
      <c r="R99" s="53"/>
      <c r="S99" s="25"/>
      <c r="T99" s="5"/>
    </row>
    <row r="100" spans="1:21" ht="15.6" x14ac:dyDescent="0.3">
      <c r="A100" s="24">
        <v>1</v>
      </c>
      <c r="B100" s="25" t="s">
        <v>39</v>
      </c>
      <c r="C100" s="25"/>
      <c r="D100" s="25"/>
      <c r="E100" s="25"/>
      <c r="F100" s="25"/>
      <c r="G100" s="25"/>
      <c r="H100" s="25"/>
      <c r="I100" s="25"/>
      <c r="J100" s="25"/>
      <c r="K100" s="25"/>
      <c r="L100" s="25"/>
      <c r="M100" s="25"/>
      <c r="N100" s="25"/>
      <c r="O100" s="25"/>
      <c r="P100" s="25"/>
      <c r="Q100" s="25"/>
      <c r="R100" s="53">
        <v>0</v>
      </c>
      <c r="S100" s="25"/>
      <c r="T100" s="5"/>
    </row>
    <row r="101" spans="1:21" ht="15.6" x14ac:dyDescent="0.3">
      <c r="A101" s="24">
        <f>+A100+1</f>
        <v>2</v>
      </c>
      <c r="B101" s="25" t="s">
        <v>40</v>
      </c>
      <c r="C101" s="25"/>
      <c r="D101" s="25"/>
      <c r="E101" s="25"/>
      <c r="F101" s="25"/>
      <c r="G101" s="25"/>
      <c r="H101" s="25"/>
      <c r="I101" s="25"/>
      <c r="J101" s="25"/>
      <c r="K101" s="25"/>
      <c r="L101" s="25"/>
      <c r="M101" s="25"/>
      <c r="N101" s="25"/>
      <c r="O101" s="25"/>
      <c r="P101" s="25"/>
      <c r="Q101" s="25"/>
      <c r="R101" s="53">
        <v>-2</v>
      </c>
      <c r="S101" s="25"/>
      <c r="T101" s="5"/>
    </row>
    <row r="102" spans="1:21" ht="15.6" x14ac:dyDescent="0.3">
      <c r="A102" s="24">
        <f>+A101+1</f>
        <v>3</v>
      </c>
      <c r="B102" s="25" t="s">
        <v>174</v>
      </c>
      <c r="C102" s="25"/>
      <c r="D102" s="25"/>
      <c r="E102" s="25"/>
      <c r="F102" s="25"/>
      <c r="G102" s="25"/>
      <c r="H102" s="25"/>
      <c r="I102" s="25"/>
      <c r="J102" s="25"/>
      <c r="K102" s="25"/>
      <c r="L102" s="25"/>
      <c r="M102" s="25"/>
      <c r="N102" s="25"/>
      <c r="O102" s="25"/>
      <c r="P102" s="25"/>
      <c r="Q102" s="25"/>
      <c r="R102" s="53">
        <f>-182-54-10</f>
        <v>-246</v>
      </c>
      <c r="S102" s="25"/>
      <c r="T102" s="5"/>
    </row>
    <row r="103" spans="1:21" ht="15.6" x14ac:dyDescent="0.3">
      <c r="A103" s="24" t="s">
        <v>146</v>
      </c>
      <c r="B103" s="25" t="s">
        <v>131</v>
      </c>
      <c r="C103" s="25"/>
      <c r="D103" s="25"/>
      <c r="E103" s="25"/>
      <c r="F103" s="25"/>
      <c r="G103" s="25"/>
      <c r="H103" s="25"/>
      <c r="I103" s="25"/>
      <c r="J103" s="25"/>
      <c r="K103" s="25"/>
      <c r="L103" s="25"/>
      <c r="M103" s="25"/>
      <c r="N103" s="25"/>
      <c r="O103" s="25"/>
      <c r="P103" s="25"/>
      <c r="Q103" s="25"/>
      <c r="R103" s="53">
        <v>0</v>
      </c>
      <c r="S103" s="25"/>
      <c r="T103" s="5"/>
    </row>
    <row r="104" spans="1:21" ht="15.6" x14ac:dyDescent="0.3">
      <c r="A104" s="24" t="s">
        <v>147</v>
      </c>
      <c r="B104" s="25" t="s">
        <v>218</v>
      </c>
      <c r="C104" s="25"/>
      <c r="D104" s="25"/>
      <c r="E104" s="25"/>
      <c r="F104" s="25"/>
      <c r="G104" s="25"/>
      <c r="H104" s="25"/>
      <c r="I104" s="25"/>
      <c r="J104" s="25"/>
      <c r="K104" s="25"/>
      <c r="L104" s="25"/>
      <c r="M104" s="25"/>
      <c r="N104" s="25"/>
      <c r="O104" s="25"/>
      <c r="P104" s="25"/>
      <c r="Q104" s="25"/>
      <c r="R104" s="53">
        <v>-2</v>
      </c>
      <c r="S104" s="25"/>
      <c r="T104" s="5"/>
    </row>
    <row r="105" spans="1:21" ht="15.6" x14ac:dyDescent="0.3">
      <c r="A105" s="24" t="s">
        <v>176</v>
      </c>
      <c r="B105" s="25" t="s">
        <v>230</v>
      </c>
      <c r="C105" s="25"/>
      <c r="D105" s="25"/>
      <c r="E105" s="25"/>
      <c r="F105" s="25"/>
      <c r="G105" s="25"/>
      <c r="H105" s="25"/>
      <c r="I105" s="25"/>
      <c r="J105" s="25"/>
      <c r="K105" s="25"/>
      <c r="L105" s="25"/>
      <c r="M105" s="25"/>
      <c r="N105" s="25"/>
      <c r="O105" s="25"/>
      <c r="P105" s="25"/>
      <c r="Q105" s="25"/>
      <c r="R105" s="53">
        <v>-41</v>
      </c>
      <c r="S105" s="25"/>
      <c r="T105" s="5"/>
      <c r="U105" s="110"/>
    </row>
    <row r="106" spans="1:21" ht="15.6" x14ac:dyDescent="0.3">
      <c r="A106" s="24" t="s">
        <v>177</v>
      </c>
      <c r="B106" s="25" t="s">
        <v>231</v>
      </c>
      <c r="C106" s="25"/>
      <c r="D106" s="25"/>
      <c r="E106" s="25"/>
      <c r="F106" s="25"/>
      <c r="G106" s="25"/>
      <c r="H106" s="25"/>
      <c r="I106" s="25"/>
      <c r="J106" s="25"/>
      <c r="K106" s="25"/>
      <c r="L106" s="25"/>
      <c r="M106" s="25"/>
      <c r="N106" s="25"/>
      <c r="O106" s="25"/>
      <c r="P106" s="25"/>
      <c r="Q106" s="25"/>
      <c r="R106" s="53">
        <v>-191</v>
      </c>
      <c r="S106" s="25"/>
      <c r="T106" s="5"/>
      <c r="U106" s="110"/>
    </row>
    <row r="107" spans="1:21" ht="15.6" x14ac:dyDescent="0.3">
      <c r="A107" s="24" t="s">
        <v>248</v>
      </c>
      <c r="B107" s="25" t="s">
        <v>232</v>
      </c>
      <c r="C107" s="25"/>
      <c r="D107" s="25"/>
      <c r="E107" s="25"/>
      <c r="F107" s="25"/>
      <c r="G107" s="25"/>
      <c r="H107" s="25"/>
      <c r="I107" s="25"/>
      <c r="J107" s="25"/>
      <c r="K107" s="25"/>
      <c r="L107" s="25"/>
      <c r="M107" s="25"/>
      <c r="N107" s="25"/>
      <c r="O107" s="25"/>
      <c r="P107" s="25"/>
      <c r="Q107" s="25"/>
      <c r="R107" s="53">
        <v>-4402</v>
      </c>
      <c r="S107" s="25"/>
      <c r="T107" s="5"/>
    </row>
    <row r="108" spans="1:21" ht="15.6" x14ac:dyDescent="0.3">
      <c r="A108" s="24" t="s">
        <v>205</v>
      </c>
      <c r="B108" s="25" t="s">
        <v>233</v>
      </c>
      <c r="C108" s="25"/>
      <c r="D108" s="25"/>
      <c r="E108" s="25"/>
      <c r="F108" s="25"/>
      <c r="G108" s="25"/>
      <c r="H108" s="25"/>
      <c r="I108" s="25"/>
      <c r="J108" s="25"/>
      <c r="K108" s="25"/>
      <c r="L108" s="25"/>
      <c r="M108" s="25"/>
      <c r="N108" s="25"/>
      <c r="O108" s="25"/>
      <c r="P108" s="25"/>
      <c r="Q108" s="25"/>
      <c r="R108" s="53">
        <v>-4578</v>
      </c>
      <c r="S108" s="25"/>
      <c r="T108" s="5"/>
      <c r="U108" s="110"/>
    </row>
    <row r="109" spans="1:21" ht="15.6" x14ac:dyDescent="0.3">
      <c r="A109" s="24" t="s">
        <v>249</v>
      </c>
      <c r="B109" s="25" t="s">
        <v>234</v>
      </c>
      <c r="C109" s="25"/>
      <c r="D109" s="25"/>
      <c r="E109" s="25"/>
      <c r="F109" s="25"/>
      <c r="G109" s="25"/>
      <c r="H109" s="25"/>
      <c r="I109" s="25"/>
      <c r="J109" s="25"/>
      <c r="K109" s="25"/>
      <c r="L109" s="25"/>
      <c r="M109" s="25"/>
      <c r="N109" s="25"/>
      <c r="O109" s="25"/>
      <c r="P109" s="25"/>
      <c r="Q109" s="25"/>
      <c r="R109" s="53">
        <v>-1013</v>
      </c>
      <c r="S109" s="25"/>
      <c r="T109" s="5"/>
      <c r="U109" s="110"/>
    </row>
    <row r="110" spans="1:21" ht="15.6" x14ac:dyDescent="0.3">
      <c r="A110" s="24" t="s">
        <v>250</v>
      </c>
      <c r="B110" s="25" t="s">
        <v>168</v>
      </c>
      <c r="C110" s="25"/>
      <c r="D110" s="25"/>
      <c r="E110" s="25"/>
      <c r="F110" s="25"/>
      <c r="G110" s="25"/>
      <c r="H110" s="25"/>
      <c r="I110" s="25"/>
      <c r="J110" s="25"/>
      <c r="K110" s="25"/>
      <c r="L110" s="25"/>
      <c r="M110" s="25"/>
      <c r="N110" s="25"/>
      <c r="O110" s="25"/>
      <c r="P110" s="25"/>
      <c r="Q110" s="25"/>
      <c r="R110" s="53">
        <v>-549</v>
      </c>
      <c r="S110" s="25"/>
      <c r="T110" s="5"/>
      <c r="U110" s="110"/>
    </row>
    <row r="111" spans="1:21" ht="15.6" x14ac:dyDescent="0.3">
      <c r="A111" s="24">
        <v>6</v>
      </c>
      <c r="B111" s="25" t="s">
        <v>41</v>
      </c>
      <c r="C111" s="25"/>
      <c r="D111" s="25"/>
      <c r="E111" s="25"/>
      <c r="F111" s="25"/>
      <c r="G111" s="25"/>
      <c r="H111" s="25"/>
      <c r="I111" s="25"/>
      <c r="J111" s="25"/>
      <c r="K111" s="25"/>
      <c r="L111" s="25"/>
      <c r="M111" s="25"/>
      <c r="N111" s="25"/>
      <c r="O111" s="25"/>
      <c r="P111" s="25"/>
      <c r="Q111" s="25"/>
      <c r="R111" s="53">
        <v>-8</v>
      </c>
      <c r="S111" s="25"/>
      <c r="T111" s="5"/>
    </row>
    <row r="112" spans="1:21" ht="15.6" x14ac:dyDescent="0.3">
      <c r="A112" s="24">
        <f t="shared" ref="A112:A117" si="0">+A111+1</f>
        <v>7</v>
      </c>
      <c r="B112" s="25" t="s">
        <v>53</v>
      </c>
      <c r="C112" s="25"/>
      <c r="D112" s="25"/>
      <c r="E112" s="25"/>
      <c r="F112" s="25"/>
      <c r="G112" s="25"/>
      <c r="H112" s="25"/>
      <c r="I112" s="25"/>
      <c r="J112" s="25"/>
      <c r="K112" s="25"/>
      <c r="L112" s="25"/>
      <c r="M112" s="25"/>
      <c r="N112" s="25"/>
      <c r="O112" s="25"/>
      <c r="P112" s="34">
        <f>-R112</f>
        <v>91</v>
      </c>
      <c r="Q112" s="25"/>
      <c r="R112" s="53">
        <v>-91</v>
      </c>
      <c r="S112" s="25"/>
      <c r="T112" s="5"/>
    </row>
    <row r="113" spans="1:20" ht="15.6" x14ac:dyDescent="0.3">
      <c r="A113" s="24">
        <f t="shared" si="0"/>
        <v>8</v>
      </c>
      <c r="B113" s="25" t="s">
        <v>144</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9</v>
      </c>
      <c r="B114" s="25" t="s">
        <v>42</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10</v>
      </c>
      <c r="B115" s="25" t="s">
        <v>43</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11</v>
      </c>
      <c r="B116" s="25" t="s">
        <v>175</v>
      </c>
      <c r="C116" s="25"/>
      <c r="D116" s="25"/>
      <c r="E116" s="25"/>
      <c r="F116" s="25"/>
      <c r="G116" s="25"/>
      <c r="H116" s="25"/>
      <c r="I116" s="25"/>
      <c r="J116" s="25"/>
      <c r="K116" s="25"/>
      <c r="L116" s="25"/>
      <c r="M116" s="25"/>
      <c r="N116" s="25"/>
      <c r="O116" s="25"/>
      <c r="P116" s="25"/>
      <c r="Q116" s="25"/>
      <c r="R116" s="53">
        <v>-370</v>
      </c>
      <c r="S116" s="25"/>
      <c r="T116" s="5"/>
    </row>
    <row r="117" spans="1:20" ht="15.6" x14ac:dyDescent="0.3">
      <c r="A117" s="24">
        <f t="shared" si="0"/>
        <v>12</v>
      </c>
      <c r="B117" s="25" t="s">
        <v>145</v>
      </c>
      <c r="C117" s="25"/>
      <c r="D117" s="25"/>
      <c r="E117" s="25"/>
      <c r="F117" s="25"/>
      <c r="G117" s="25"/>
      <c r="H117" s="25"/>
      <c r="I117" s="25"/>
      <c r="J117" s="25"/>
      <c r="K117" s="25"/>
      <c r="L117" s="25"/>
      <c r="M117" s="25"/>
      <c r="N117" s="25"/>
      <c r="O117" s="25"/>
      <c r="P117" s="25"/>
      <c r="Q117" s="25"/>
      <c r="R117" s="53">
        <f>-R98-SUM(R100:R116)</f>
        <v>-2481</v>
      </c>
      <c r="S117" s="25"/>
      <c r="T117" s="5"/>
    </row>
    <row r="118" spans="1:20" ht="15.6" x14ac:dyDescent="0.3">
      <c r="A118" s="24"/>
      <c r="B118" s="119" t="s">
        <v>44</v>
      </c>
      <c r="C118" s="25"/>
      <c r="D118" s="25"/>
      <c r="E118" s="25"/>
      <c r="F118" s="25"/>
      <c r="G118" s="25"/>
      <c r="H118" s="25"/>
      <c r="I118" s="25"/>
      <c r="J118" s="25"/>
      <c r="K118" s="25"/>
      <c r="L118" s="25"/>
      <c r="M118" s="25"/>
      <c r="N118" s="25"/>
      <c r="O118" s="25"/>
      <c r="P118" s="25"/>
      <c r="Q118" s="25"/>
      <c r="R118" s="59"/>
      <c r="S118" s="25"/>
      <c r="T118" s="5"/>
    </row>
    <row r="119" spans="1:20" ht="15.6" x14ac:dyDescent="0.3">
      <c r="A119" s="24"/>
      <c r="B119" s="25" t="s">
        <v>45</v>
      </c>
      <c r="C119" s="25"/>
      <c r="D119" s="25"/>
      <c r="E119" s="25"/>
      <c r="F119" s="25"/>
      <c r="G119" s="25"/>
      <c r="H119" s="25"/>
      <c r="I119" s="25"/>
      <c r="J119" s="25"/>
      <c r="K119" s="25"/>
      <c r="L119" s="25"/>
      <c r="M119" s="25"/>
      <c r="N119" s="25"/>
      <c r="O119" s="25"/>
      <c r="P119" s="34">
        <v>-29</v>
      </c>
      <c r="Q119" s="34"/>
      <c r="R119" s="53"/>
      <c r="S119" s="25"/>
      <c r="T119" s="5"/>
    </row>
    <row r="120" spans="1:20" ht="15.6" x14ac:dyDescent="0.3">
      <c r="A120" s="24"/>
      <c r="B120" s="25" t="s">
        <v>46</v>
      </c>
      <c r="C120" s="25"/>
      <c r="D120" s="25"/>
      <c r="E120" s="25"/>
      <c r="F120" s="25"/>
      <c r="G120" s="25"/>
      <c r="H120" s="25"/>
      <c r="I120" s="25"/>
      <c r="J120" s="25"/>
      <c r="K120" s="25"/>
      <c r="L120" s="25"/>
      <c r="M120" s="25"/>
      <c r="N120" s="25"/>
      <c r="O120" s="25"/>
      <c r="P120" s="34">
        <f>-O174</f>
        <v>-4209</v>
      </c>
      <c r="Q120" s="34"/>
      <c r="R120" s="53"/>
      <c r="S120" s="25"/>
      <c r="T120" s="5"/>
    </row>
    <row r="121" spans="1:20" ht="15.6" x14ac:dyDescent="0.3">
      <c r="A121" s="24"/>
      <c r="B121" s="25" t="s">
        <v>219</v>
      </c>
      <c r="C121" s="25"/>
      <c r="D121" s="25"/>
      <c r="E121" s="25"/>
      <c r="F121" s="25"/>
      <c r="G121" s="25"/>
      <c r="H121" s="25"/>
      <c r="I121" s="25"/>
      <c r="J121" s="25"/>
      <c r="K121" s="25"/>
      <c r="L121" s="25"/>
      <c r="M121" s="25"/>
      <c r="N121" s="25"/>
      <c r="O121" s="25"/>
      <c r="P121" s="34">
        <v>-2895</v>
      </c>
      <c r="Q121" s="34"/>
      <c r="R121" s="53"/>
      <c r="S121" s="25"/>
      <c r="T121" s="5"/>
    </row>
    <row r="122" spans="1:20" ht="15.6" x14ac:dyDescent="0.3">
      <c r="A122" s="24"/>
      <c r="B122" s="25" t="s">
        <v>220</v>
      </c>
      <c r="C122" s="25"/>
      <c r="D122" s="25"/>
      <c r="E122" s="25"/>
      <c r="F122" s="25"/>
      <c r="G122" s="25"/>
      <c r="H122" s="25"/>
      <c r="I122" s="25"/>
      <c r="J122" s="25"/>
      <c r="K122" s="25"/>
      <c r="L122" s="25"/>
      <c r="M122" s="25"/>
      <c r="N122" s="25"/>
      <c r="O122" s="25"/>
      <c r="P122" s="34">
        <v>-13316</v>
      </c>
      <c r="Q122" s="34"/>
      <c r="R122" s="53"/>
      <c r="S122" s="25"/>
      <c r="T122" s="5"/>
    </row>
    <row r="123" spans="1:20" ht="15.6" x14ac:dyDescent="0.3">
      <c r="A123" s="24"/>
      <c r="B123" s="25" t="s">
        <v>221</v>
      </c>
      <c r="C123" s="25"/>
      <c r="D123" s="25"/>
      <c r="E123" s="25"/>
      <c r="F123" s="25"/>
      <c r="G123" s="25"/>
      <c r="H123" s="25"/>
      <c r="I123" s="25"/>
      <c r="J123" s="25"/>
      <c r="K123" s="25"/>
      <c r="L123" s="25"/>
      <c r="M123" s="25"/>
      <c r="N123" s="25"/>
      <c r="O123" s="25"/>
      <c r="P123" s="34">
        <v>-5767</v>
      </c>
      <c r="Q123" s="34"/>
      <c r="R123" s="53"/>
      <c r="S123" s="25"/>
      <c r="T123" s="5"/>
    </row>
    <row r="124" spans="1:20" ht="15.6" x14ac:dyDescent="0.3">
      <c r="A124" s="24"/>
      <c r="B124" s="25" t="s">
        <v>222</v>
      </c>
      <c r="C124" s="25"/>
      <c r="D124" s="25"/>
      <c r="E124" s="25"/>
      <c r="F124" s="25"/>
      <c r="G124" s="25"/>
      <c r="H124" s="25"/>
      <c r="I124" s="25"/>
      <c r="J124" s="25"/>
      <c r="K124" s="25"/>
      <c r="L124" s="25"/>
      <c r="M124" s="25"/>
      <c r="N124" s="25"/>
      <c r="O124" s="25"/>
      <c r="P124" s="34">
        <v>-5956</v>
      </c>
      <c r="Q124" s="34"/>
      <c r="R124" s="53"/>
      <c r="S124" s="25"/>
      <c r="T124" s="5"/>
    </row>
    <row r="125" spans="1:20" ht="15.6" x14ac:dyDescent="0.3">
      <c r="A125" s="24"/>
      <c r="B125" s="25" t="s">
        <v>223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173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47</v>
      </c>
      <c r="C127" s="25"/>
      <c r="D127" s="25"/>
      <c r="E127" s="25"/>
      <c r="F127" s="25"/>
      <c r="G127" s="25"/>
      <c r="H127" s="25"/>
      <c r="I127" s="25"/>
      <c r="J127" s="25"/>
      <c r="K127" s="25"/>
      <c r="L127" s="25"/>
      <c r="M127" s="25"/>
      <c r="N127" s="25"/>
      <c r="O127" s="25"/>
      <c r="P127" s="34">
        <f>SUM(P119:P126)</f>
        <v>-32172</v>
      </c>
      <c r="Q127" s="34"/>
      <c r="R127" s="34">
        <f>SUM(R99:R126)</f>
        <v>-13974</v>
      </c>
      <c r="S127" s="25"/>
      <c r="T127" s="5"/>
    </row>
    <row r="128" spans="1:20" ht="15.6" x14ac:dyDescent="0.3">
      <c r="A128" s="24"/>
      <c r="B128" s="25" t="s">
        <v>48</v>
      </c>
      <c r="C128" s="25"/>
      <c r="D128" s="25"/>
      <c r="E128" s="25"/>
      <c r="F128" s="25"/>
      <c r="G128" s="25"/>
      <c r="H128" s="25"/>
      <c r="I128" s="25"/>
      <c r="J128" s="25"/>
      <c r="K128" s="25"/>
      <c r="L128" s="25"/>
      <c r="M128" s="25"/>
      <c r="N128" s="25"/>
      <c r="O128" s="25"/>
      <c r="P128" s="34">
        <f>P98+P127+P112</f>
        <v>0</v>
      </c>
      <c r="Q128" s="34"/>
      <c r="R128" s="34">
        <f>R98+R127</f>
        <v>0</v>
      </c>
      <c r="S128" s="25"/>
      <c r="T128" s="5"/>
    </row>
    <row r="129" spans="1:21" ht="15.6" x14ac:dyDescent="0.3">
      <c r="A129" s="24"/>
      <c r="B129" s="25"/>
      <c r="C129" s="25"/>
      <c r="D129" s="25"/>
      <c r="E129" s="25"/>
      <c r="F129" s="25"/>
      <c r="G129" s="25"/>
      <c r="H129" s="25"/>
      <c r="I129" s="25"/>
      <c r="J129" s="25"/>
      <c r="K129" s="25"/>
      <c r="L129" s="25"/>
      <c r="M129" s="25"/>
      <c r="N129" s="25"/>
      <c r="O129" s="25"/>
      <c r="P129" s="34"/>
      <c r="Q129" s="34"/>
      <c r="R129" s="34"/>
      <c r="S129" s="25"/>
      <c r="T129" s="5"/>
    </row>
    <row r="130" spans="1:21" ht="15.6" x14ac:dyDescent="0.3">
      <c r="A130" s="6"/>
      <c r="B130" s="8"/>
      <c r="C130" s="8"/>
      <c r="D130" s="8"/>
      <c r="E130" s="8"/>
      <c r="F130" s="8"/>
      <c r="G130" s="8"/>
      <c r="H130" s="8"/>
      <c r="I130" s="8"/>
      <c r="J130" s="8"/>
      <c r="K130" s="8"/>
      <c r="L130" s="8"/>
      <c r="M130" s="8"/>
      <c r="N130" s="8"/>
      <c r="O130" s="8"/>
      <c r="P130" s="8"/>
      <c r="Q130" s="8"/>
      <c r="R130" s="52"/>
      <c r="S130" s="8"/>
      <c r="T130" s="5"/>
    </row>
    <row r="131" spans="1:21" ht="18" thickBot="1" x14ac:dyDescent="0.35">
      <c r="A131" s="102"/>
      <c r="B131" s="103" t="str">
        <f>B62</f>
        <v>PM8 INVESTOR REPORT QUARTER ENDING JUNE 2007</v>
      </c>
      <c r="C131" s="104"/>
      <c r="D131" s="104"/>
      <c r="E131" s="104"/>
      <c r="F131" s="104"/>
      <c r="G131" s="104"/>
      <c r="H131" s="104"/>
      <c r="I131" s="104"/>
      <c r="J131" s="104"/>
      <c r="K131" s="104"/>
      <c r="L131" s="104"/>
      <c r="M131" s="104"/>
      <c r="N131" s="104"/>
      <c r="O131" s="104"/>
      <c r="P131" s="104"/>
      <c r="Q131" s="104"/>
      <c r="R131" s="107"/>
      <c r="S131" s="106"/>
      <c r="T131" s="5"/>
    </row>
    <row r="132" spans="1:21" ht="15.6" x14ac:dyDescent="0.3">
      <c r="A132" s="2"/>
      <c r="B132" s="60" t="s">
        <v>49</v>
      </c>
      <c r="C132" s="4"/>
      <c r="D132" s="4"/>
      <c r="E132" s="4"/>
      <c r="F132" s="4"/>
      <c r="G132" s="4"/>
      <c r="H132" s="4"/>
      <c r="I132" s="4"/>
      <c r="J132" s="4"/>
      <c r="K132" s="4"/>
      <c r="L132" s="4"/>
      <c r="M132" s="4"/>
      <c r="N132" s="4"/>
      <c r="O132" s="4"/>
      <c r="P132" s="4"/>
      <c r="Q132" s="4"/>
      <c r="R132" s="50"/>
      <c r="S132" s="4"/>
      <c r="T132" s="5"/>
    </row>
    <row r="133" spans="1:21" ht="15.6" x14ac:dyDescent="0.3">
      <c r="A133" s="6"/>
      <c r="B133" s="21"/>
      <c r="C133" s="8"/>
      <c r="D133" s="8"/>
      <c r="E133" s="8"/>
      <c r="F133" s="8"/>
      <c r="G133" s="8"/>
      <c r="H133" s="8"/>
      <c r="I133" s="8"/>
      <c r="J133" s="8"/>
      <c r="K133" s="8"/>
      <c r="L133" s="8"/>
      <c r="M133" s="8"/>
      <c r="N133" s="8"/>
      <c r="O133" s="8"/>
      <c r="P133" s="8"/>
      <c r="Q133" s="8"/>
      <c r="R133" s="52"/>
      <c r="S133" s="8"/>
      <c r="T133" s="5"/>
    </row>
    <row r="134" spans="1:21" ht="15.6" x14ac:dyDescent="0.3">
      <c r="A134" s="6"/>
      <c r="B134" s="120" t="s">
        <v>50</v>
      </c>
      <c r="C134" s="8"/>
      <c r="D134" s="8"/>
      <c r="E134" s="8"/>
      <c r="F134" s="8"/>
      <c r="G134" s="8"/>
      <c r="H134" s="8"/>
      <c r="I134" s="8"/>
      <c r="J134" s="8"/>
      <c r="K134" s="8"/>
      <c r="L134" s="8"/>
      <c r="M134" s="8"/>
      <c r="N134" s="8"/>
      <c r="O134" s="8"/>
      <c r="P134" s="8"/>
      <c r="Q134" s="8"/>
      <c r="R134" s="52"/>
      <c r="S134" s="8"/>
      <c r="T134" s="5"/>
    </row>
    <row r="135" spans="1:21" ht="15.6" x14ac:dyDescent="0.3">
      <c r="A135" s="24"/>
      <c r="B135" s="25" t="s">
        <v>51</v>
      </c>
      <c r="C135" s="25"/>
      <c r="D135" s="25"/>
      <c r="E135" s="25"/>
      <c r="F135" s="25"/>
      <c r="G135" s="25"/>
      <c r="H135" s="25"/>
      <c r="I135" s="25"/>
      <c r="J135" s="25"/>
      <c r="K135" s="25"/>
      <c r="L135" s="25"/>
      <c r="M135" s="25"/>
      <c r="N135" s="25"/>
      <c r="O135" s="25"/>
      <c r="P135" s="25"/>
      <c r="Q135" s="25"/>
      <c r="R135" s="53">
        <f>+R33*0.019</f>
        <v>19000</v>
      </c>
      <c r="S135" s="25"/>
      <c r="T135" s="5"/>
    </row>
    <row r="136" spans="1:21" ht="15.6" x14ac:dyDescent="0.3">
      <c r="A136" s="24"/>
      <c r="B136" s="25" t="s">
        <v>52</v>
      </c>
      <c r="C136" s="25"/>
      <c r="D136" s="25"/>
      <c r="E136" s="25"/>
      <c r="F136" s="25"/>
      <c r="G136" s="25"/>
      <c r="H136" s="25"/>
      <c r="I136" s="25"/>
      <c r="J136" s="25"/>
      <c r="K136" s="25"/>
      <c r="L136" s="25"/>
      <c r="M136" s="25"/>
      <c r="N136" s="25"/>
      <c r="O136" s="25"/>
      <c r="P136" s="25"/>
      <c r="Q136" s="25"/>
      <c r="R136" s="53">
        <v>19000</v>
      </c>
      <c r="S136" s="25"/>
      <c r="T136" s="5"/>
    </row>
    <row r="137" spans="1:21" ht="15.6" x14ac:dyDescent="0.3">
      <c r="A137" s="24"/>
      <c r="B137" s="25" t="s">
        <v>155</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142</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53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148</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203</v>
      </c>
      <c r="C142" s="25"/>
      <c r="D142" s="25"/>
      <c r="E142" s="25"/>
      <c r="F142" s="25"/>
      <c r="G142" s="25"/>
      <c r="H142" s="25"/>
      <c r="I142" s="25"/>
      <c r="J142" s="25"/>
      <c r="K142" s="25"/>
      <c r="L142" s="25"/>
      <c r="M142" s="25"/>
      <c r="N142" s="25"/>
      <c r="O142" s="25"/>
      <c r="P142" s="25"/>
      <c r="Q142" s="25"/>
      <c r="R142" s="53">
        <v>0</v>
      </c>
      <c r="S142" s="25"/>
      <c r="T142" s="5"/>
      <c r="U142" s="110"/>
    </row>
    <row r="143" spans="1:21" ht="15.6" x14ac:dyDescent="0.3">
      <c r="A143" s="24"/>
      <c r="B143" s="25" t="s">
        <v>54</v>
      </c>
      <c r="C143" s="25"/>
      <c r="D143" s="25"/>
      <c r="E143" s="25"/>
      <c r="F143" s="25"/>
      <c r="G143" s="25"/>
      <c r="H143" s="25"/>
      <c r="I143" s="25"/>
      <c r="J143" s="25"/>
      <c r="K143" s="25"/>
      <c r="L143" s="25"/>
      <c r="M143" s="25"/>
      <c r="N143" s="25"/>
      <c r="O143" s="25"/>
      <c r="P143" s="25"/>
      <c r="Q143" s="25"/>
      <c r="R143" s="53">
        <f>SUM(R136:R142)</f>
        <v>19000</v>
      </c>
      <c r="S143" s="25"/>
      <c r="T143" s="5"/>
    </row>
    <row r="144" spans="1:21" ht="15.6" x14ac:dyDescent="0.3">
      <c r="A144" s="24"/>
      <c r="B144" s="25"/>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141" t="s">
        <v>264</v>
      </c>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25" t="s">
        <v>206</v>
      </c>
      <c r="C146" s="25"/>
      <c r="D146" s="25"/>
      <c r="E146" s="25"/>
      <c r="F146" s="25"/>
      <c r="G146" s="25"/>
      <c r="H146" s="25"/>
      <c r="I146" s="25"/>
      <c r="J146" s="25"/>
      <c r="K146" s="25"/>
      <c r="L146" s="25"/>
      <c r="M146" s="25"/>
      <c r="N146" s="25"/>
      <c r="O146" s="25"/>
      <c r="P146" s="25"/>
      <c r="Q146" s="25"/>
      <c r="R146" s="53">
        <f>+R33*0.005</f>
        <v>5000</v>
      </c>
      <c r="S146" s="25"/>
      <c r="T146" s="5"/>
    </row>
    <row r="147" spans="1:20" ht="15.6" x14ac:dyDescent="0.3">
      <c r="A147" s="24"/>
      <c r="B147" s="25" t="s">
        <v>260</v>
      </c>
      <c r="C147" s="25"/>
      <c r="D147" s="25"/>
      <c r="E147" s="25"/>
      <c r="F147" s="25"/>
      <c r="G147" s="25"/>
      <c r="H147" s="25"/>
      <c r="I147" s="25"/>
      <c r="J147" s="25"/>
      <c r="K147" s="25"/>
      <c r="L147" s="25"/>
      <c r="M147" s="25"/>
      <c r="N147" s="25"/>
      <c r="O147" s="25"/>
      <c r="P147" s="25"/>
      <c r="Q147" s="25"/>
      <c r="R147" s="53">
        <v>0</v>
      </c>
      <c r="S147" s="25"/>
      <c r="T147" s="5"/>
    </row>
    <row r="148" spans="1:20" ht="15.6" x14ac:dyDescent="0.3">
      <c r="A148" s="24"/>
      <c r="B148" s="25" t="s">
        <v>265</v>
      </c>
      <c r="C148" s="25"/>
      <c r="D148" s="25"/>
      <c r="E148" s="25"/>
      <c r="F148" s="25"/>
      <c r="G148" s="25"/>
      <c r="H148" s="25"/>
      <c r="I148" s="25"/>
      <c r="J148" s="25"/>
      <c r="K148" s="25"/>
      <c r="L148" s="25"/>
      <c r="M148" s="25"/>
      <c r="N148" s="25"/>
      <c r="O148" s="25"/>
      <c r="P148" s="25"/>
      <c r="Q148" s="25"/>
      <c r="R148" s="53">
        <f>SUM(R146:R147)</f>
        <v>5000</v>
      </c>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53"/>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61"/>
      <c r="S150" s="25"/>
      <c r="T150" s="5"/>
    </row>
    <row r="151" spans="1:20" ht="15.6" x14ac:dyDescent="0.3">
      <c r="A151" s="6"/>
      <c r="B151" s="120" t="s">
        <v>28</v>
      </c>
      <c r="C151" s="8"/>
      <c r="D151" s="8"/>
      <c r="E151" s="8"/>
      <c r="F151" s="8"/>
      <c r="G151" s="8"/>
      <c r="H151" s="8"/>
      <c r="I151" s="8"/>
      <c r="J151" s="8"/>
      <c r="K151" s="8"/>
      <c r="L151" s="8"/>
      <c r="M151" s="8"/>
      <c r="N151" s="8"/>
      <c r="O151" s="8"/>
      <c r="P151" s="8"/>
      <c r="Q151" s="8"/>
      <c r="R151" s="52"/>
      <c r="S151" s="8"/>
      <c r="T151" s="5"/>
    </row>
    <row r="152" spans="1:20" ht="15.6" x14ac:dyDescent="0.3">
      <c r="A152" s="24"/>
      <c r="B152" s="25" t="s">
        <v>55</v>
      </c>
      <c r="C152" s="25"/>
      <c r="D152" s="25"/>
      <c r="E152" s="25"/>
      <c r="F152" s="25"/>
      <c r="G152" s="25"/>
      <c r="H152" s="25"/>
      <c r="I152" s="25"/>
      <c r="J152" s="25"/>
      <c r="K152" s="25"/>
      <c r="L152" s="25"/>
      <c r="M152" s="25"/>
      <c r="N152" s="25"/>
      <c r="O152" s="25"/>
      <c r="P152" s="25"/>
      <c r="Q152" s="25"/>
      <c r="R152" s="59" t="s">
        <v>137</v>
      </c>
      <c r="S152" s="25"/>
      <c r="T152" s="5"/>
    </row>
    <row r="153" spans="1:20" ht="15.6" x14ac:dyDescent="0.3">
      <c r="A153" s="24"/>
      <c r="B153" s="25" t="s">
        <v>56</v>
      </c>
      <c r="C153" s="146"/>
      <c r="D153" s="146"/>
      <c r="E153" s="146"/>
      <c r="F153" s="146"/>
      <c r="G153" s="146"/>
      <c r="H153" s="146"/>
      <c r="I153" s="146"/>
      <c r="J153" s="146"/>
      <c r="K153" s="146"/>
      <c r="L153" s="146"/>
      <c r="M153" s="146"/>
      <c r="N153" s="146"/>
      <c r="O153" s="146"/>
      <c r="P153" s="146"/>
      <c r="Q153" s="146"/>
      <c r="R153" s="59" t="s">
        <v>137</v>
      </c>
      <c r="S153" s="25"/>
      <c r="T153" s="5"/>
    </row>
    <row r="154" spans="1:20" ht="15.6" x14ac:dyDescent="0.3">
      <c r="A154" s="24"/>
      <c r="B154" s="25" t="s">
        <v>57</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t="s">
        <v>58</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c r="C156" s="25"/>
      <c r="D156" s="25"/>
      <c r="E156" s="25"/>
      <c r="F156" s="25"/>
      <c r="G156" s="25"/>
      <c r="H156" s="25"/>
      <c r="I156" s="25"/>
      <c r="J156" s="25"/>
      <c r="K156" s="25"/>
      <c r="L156" s="25"/>
      <c r="M156" s="25"/>
      <c r="N156" s="25"/>
      <c r="O156" s="25"/>
      <c r="P156" s="25"/>
      <c r="Q156" s="25"/>
      <c r="R156" s="61"/>
      <c r="S156" s="25"/>
      <c r="T156" s="5"/>
    </row>
    <row r="157" spans="1:20" ht="15.6" x14ac:dyDescent="0.3">
      <c r="A157" s="6"/>
      <c r="B157" s="120" t="s">
        <v>59</v>
      </c>
      <c r="C157" s="8"/>
      <c r="D157" s="8"/>
      <c r="E157" s="8"/>
      <c r="F157" s="8"/>
      <c r="G157" s="8"/>
      <c r="H157" s="8"/>
      <c r="I157" s="8"/>
      <c r="J157" s="8"/>
      <c r="K157" s="8"/>
      <c r="L157" s="8"/>
      <c r="M157" s="8"/>
      <c r="N157" s="8"/>
      <c r="O157" s="8"/>
      <c r="P157" s="8"/>
      <c r="Q157" s="8"/>
      <c r="R157" s="63"/>
      <c r="S157" s="8"/>
      <c r="T157" s="5"/>
    </row>
    <row r="158" spans="1:20" ht="15.6" x14ac:dyDescent="0.3">
      <c r="A158" s="24"/>
      <c r="B158" s="25" t="s">
        <v>60</v>
      </c>
      <c r="C158" s="25"/>
      <c r="D158" s="25"/>
      <c r="E158" s="25"/>
      <c r="F158" s="25"/>
      <c r="G158" s="25"/>
      <c r="H158" s="25"/>
      <c r="I158" s="25"/>
      <c r="J158" s="25"/>
      <c r="K158" s="25"/>
      <c r="L158" s="25"/>
      <c r="M158" s="25"/>
      <c r="N158" s="25"/>
      <c r="O158" s="25"/>
      <c r="P158" s="25"/>
      <c r="Q158" s="25"/>
      <c r="R158" s="53">
        <v>0</v>
      </c>
      <c r="S158" s="25"/>
      <c r="T158" s="5"/>
    </row>
    <row r="159" spans="1:20" ht="15.6" x14ac:dyDescent="0.3">
      <c r="A159" s="24"/>
      <c r="B159" s="25" t="s">
        <v>61</v>
      </c>
      <c r="C159" s="25"/>
      <c r="D159" s="25"/>
      <c r="E159" s="25"/>
      <c r="F159" s="25"/>
      <c r="G159" s="25"/>
      <c r="H159" s="25"/>
      <c r="I159" s="25"/>
      <c r="J159" s="25"/>
      <c r="K159" s="25"/>
      <c r="L159" s="25"/>
      <c r="M159" s="25"/>
      <c r="N159" s="25"/>
      <c r="O159" s="25"/>
      <c r="P159" s="25"/>
      <c r="Q159" s="25"/>
      <c r="R159" s="53">
        <f>P112</f>
        <v>91</v>
      </c>
      <c r="S159" s="25"/>
      <c r="T159" s="5"/>
    </row>
    <row r="160" spans="1:20" ht="15.6" x14ac:dyDescent="0.3">
      <c r="A160" s="24"/>
      <c r="B160" s="25" t="s">
        <v>62</v>
      </c>
      <c r="C160" s="25"/>
      <c r="D160" s="25"/>
      <c r="E160" s="25"/>
      <c r="F160" s="25"/>
      <c r="G160" s="25"/>
      <c r="H160" s="25"/>
      <c r="I160" s="25"/>
      <c r="J160" s="25"/>
      <c r="K160" s="25"/>
      <c r="L160" s="25"/>
      <c r="M160" s="25"/>
      <c r="N160" s="25"/>
      <c r="O160" s="25"/>
      <c r="P160" s="25"/>
      <c r="Q160" s="25"/>
      <c r="R160" s="53">
        <f>R159+R158</f>
        <v>91</v>
      </c>
      <c r="S160" s="25"/>
      <c r="T160" s="5"/>
    </row>
    <row r="161" spans="1:20" ht="15.6" x14ac:dyDescent="0.3">
      <c r="A161" s="24"/>
      <c r="B161" s="155" t="s">
        <v>308</v>
      </c>
      <c r="C161" s="25"/>
      <c r="D161" s="25"/>
      <c r="E161" s="25"/>
      <c r="F161" s="25"/>
      <c r="G161" s="25"/>
      <c r="H161" s="25"/>
      <c r="I161" s="25"/>
      <c r="J161" s="25"/>
      <c r="K161" s="25"/>
      <c r="L161" s="25"/>
      <c r="M161" s="25"/>
      <c r="N161" s="25"/>
      <c r="O161" s="25"/>
      <c r="P161" s="25"/>
      <c r="Q161" s="25"/>
      <c r="R161" s="53">
        <f>R112</f>
        <v>-91</v>
      </c>
      <c r="S161" s="25"/>
      <c r="T161" s="5"/>
    </row>
    <row r="162" spans="1:20" ht="15.6" x14ac:dyDescent="0.3">
      <c r="A162" s="24"/>
      <c r="B162" s="25" t="s">
        <v>63</v>
      </c>
      <c r="C162" s="25"/>
      <c r="D162" s="25"/>
      <c r="E162" s="25"/>
      <c r="F162" s="25"/>
      <c r="G162" s="25"/>
      <c r="H162" s="25"/>
      <c r="I162" s="25"/>
      <c r="J162" s="25"/>
      <c r="K162" s="25"/>
      <c r="L162" s="25"/>
      <c r="M162" s="25"/>
      <c r="N162" s="25"/>
      <c r="O162" s="25"/>
      <c r="P162" s="25"/>
      <c r="Q162" s="25"/>
      <c r="R162" s="53">
        <f>R160+R161</f>
        <v>0</v>
      </c>
      <c r="S162" s="25"/>
      <c r="T162" s="5"/>
    </row>
    <row r="163" spans="1:20" ht="16.2" thickBot="1" x14ac:dyDescent="0.35">
      <c r="A163" s="24"/>
      <c r="B163" s="25"/>
      <c r="C163" s="25"/>
      <c r="D163" s="25"/>
      <c r="E163" s="25"/>
      <c r="F163" s="25"/>
      <c r="G163" s="25"/>
      <c r="H163" s="25"/>
      <c r="I163" s="25"/>
      <c r="J163" s="25"/>
      <c r="K163" s="25"/>
      <c r="L163" s="25"/>
      <c r="M163" s="25"/>
      <c r="N163" s="25"/>
      <c r="O163" s="25"/>
      <c r="P163" s="25"/>
      <c r="Q163" s="25"/>
      <c r="R163" s="61"/>
      <c r="S163" s="25"/>
      <c r="T163" s="5"/>
    </row>
    <row r="164" spans="1:20" ht="15.6" x14ac:dyDescent="0.3">
      <c r="A164" s="2"/>
      <c r="B164" s="4"/>
      <c r="C164" s="4"/>
      <c r="D164" s="4"/>
      <c r="E164" s="4"/>
      <c r="F164" s="4"/>
      <c r="G164" s="4"/>
      <c r="H164" s="4"/>
      <c r="I164" s="4"/>
      <c r="J164" s="4"/>
      <c r="K164" s="4"/>
      <c r="L164" s="4"/>
      <c r="M164" s="4"/>
      <c r="N164" s="4"/>
      <c r="O164" s="4"/>
      <c r="P164" s="4"/>
      <c r="Q164" s="4"/>
      <c r="R164" s="50"/>
      <c r="S164" s="4"/>
      <c r="T164" s="5"/>
    </row>
    <row r="165" spans="1:20" ht="15.6" x14ac:dyDescent="0.3">
      <c r="A165" s="6"/>
      <c r="B165" s="120" t="s">
        <v>64</v>
      </c>
      <c r="C165" s="8"/>
      <c r="D165" s="8"/>
      <c r="E165" s="8"/>
      <c r="F165" s="8"/>
      <c r="G165" s="8"/>
      <c r="H165" s="8"/>
      <c r="I165" s="8"/>
      <c r="J165" s="8"/>
      <c r="K165" s="8"/>
      <c r="L165" s="8"/>
      <c r="M165" s="8"/>
      <c r="N165" s="8"/>
      <c r="O165" s="8"/>
      <c r="P165" s="8"/>
      <c r="Q165" s="8"/>
      <c r="R165" s="52"/>
      <c r="S165" s="8"/>
      <c r="T165" s="5"/>
    </row>
    <row r="166" spans="1:20" ht="15.6" x14ac:dyDescent="0.3">
      <c r="A166" s="6"/>
      <c r="B166" s="21"/>
      <c r="C166" s="8"/>
      <c r="D166" s="8"/>
      <c r="E166" s="8"/>
      <c r="F166" s="8"/>
      <c r="G166" s="8"/>
      <c r="H166" s="8"/>
      <c r="I166" s="8"/>
      <c r="J166" s="8"/>
      <c r="K166" s="8"/>
      <c r="L166" s="8"/>
      <c r="M166" s="8"/>
      <c r="N166" s="8"/>
      <c r="O166" s="8"/>
      <c r="P166" s="8"/>
      <c r="Q166" s="8"/>
      <c r="R166" s="52"/>
      <c r="S166" s="8"/>
      <c r="T166" s="5"/>
    </row>
    <row r="167" spans="1:20" ht="15.6" x14ac:dyDescent="0.3">
      <c r="A167" s="24"/>
      <c r="B167" s="25" t="s">
        <v>65</v>
      </c>
      <c r="C167" s="25"/>
      <c r="D167" s="25"/>
      <c r="E167" s="25"/>
      <c r="F167" s="25"/>
      <c r="G167" s="25"/>
      <c r="H167" s="25"/>
      <c r="I167" s="25"/>
      <c r="J167" s="25"/>
      <c r="K167" s="25"/>
      <c r="L167" s="25"/>
      <c r="M167" s="25"/>
      <c r="N167" s="25"/>
      <c r="O167" s="25"/>
      <c r="P167" s="25"/>
      <c r="Q167" s="25"/>
      <c r="R167" s="53">
        <f>R70</f>
        <v>708277</v>
      </c>
      <c r="S167" s="25"/>
      <c r="T167" s="5"/>
    </row>
    <row r="168" spans="1:20" ht="15.6" x14ac:dyDescent="0.3">
      <c r="A168" s="24"/>
      <c r="B168" s="25" t="s">
        <v>66</v>
      </c>
      <c r="C168" s="25"/>
      <c r="D168" s="25"/>
      <c r="E168" s="25"/>
      <c r="F168" s="25"/>
      <c r="G168" s="25"/>
      <c r="H168" s="25"/>
      <c r="I168" s="25"/>
      <c r="J168" s="25"/>
      <c r="K168" s="25"/>
      <c r="L168" s="25"/>
      <c r="M168" s="25"/>
      <c r="N168" s="25"/>
      <c r="O168" s="25"/>
      <c r="P168" s="25"/>
      <c r="Q168" s="25"/>
      <c r="R168" s="53">
        <f>R83</f>
        <v>708277</v>
      </c>
      <c r="S168" s="25"/>
      <c r="T168" s="5"/>
    </row>
    <row r="169" spans="1:20" ht="16.2" thickBot="1" x14ac:dyDescent="0.35">
      <c r="A169" s="24"/>
      <c r="B169" s="25"/>
      <c r="C169" s="25"/>
      <c r="D169" s="25"/>
      <c r="E169" s="25"/>
      <c r="F169" s="25"/>
      <c r="G169" s="25"/>
      <c r="H169" s="25"/>
      <c r="I169" s="25"/>
      <c r="J169" s="25"/>
      <c r="K169" s="25"/>
      <c r="L169" s="25"/>
      <c r="M169" s="25"/>
      <c r="N169" s="25"/>
      <c r="O169" s="25"/>
      <c r="P169" s="25"/>
      <c r="Q169" s="25"/>
      <c r="R169" s="61"/>
      <c r="S169" s="25"/>
      <c r="T169" s="5"/>
    </row>
    <row r="170" spans="1:20" ht="15.6" x14ac:dyDescent="0.3">
      <c r="A170" s="2"/>
      <c r="B170" s="4"/>
      <c r="C170" s="4"/>
      <c r="D170" s="4"/>
      <c r="E170" s="4"/>
      <c r="F170" s="4"/>
      <c r="G170" s="4"/>
      <c r="H170" s="4"/>
      <c r="I170" s="4"/>
      <c r="J170" s="4"/>
      <c r="K170" s="4"/>
      <c r="L170" s="4"/>
      <c r="M170" s="4"/>
      <c r="N170" s="4"/>
      <c r="O170" s="4"/>
      <c r="P170" s="4"/>
      <c r="Q170" s="4"/>
      <c r="R170" s="50"/>
      <c r="S170" s="4"/>
      <c r="T170" s="5"/>
    </row>
    <row r="171" spans="1:20" ht="15.6" x14ac:dyDescent="0.3">
      <c r="A171" s="6"/>
      <c r="B171" s="120" t="s">
        <v>67</v>
      </c>
      <c r="C171" s="118"/>
      <c r="D171" s="118"/>
      <c r="E171" s="118"/>
      <c r="F171" s="118"/>
      <c r="G171" s="118"/>
      <c r="H171" s="121"/>
      <c r="I171" s="121"/>
      <c r="J171" s="121"/>
      <c r="K171" s="121"/>
      <c r="L171" s="121"/>
      <c r="M171" s="121"/>
      <c r="N171" s="121"/>
      <c r="O171" s="121" t="s">
        <v>112</v>
      </c>
      <c r="P171" s="121" t="s">
        <v>120</v>
      </c>
      <c r="Q171" s="112"/>
      <c r="R171" s="122" t="s">
        <v>129</v>
      </c>
      <c r="S171" s="10"/>
      <c r="T171" s="5"/>
    </row>
    <row r="172" spans="1:20" ht="15.6" x14ac:dyDescent="0.3">
      <c r="A172" s="24"/>
      <c r="B172" s="25" t="s">
        <v>68</v>
      </c>
      <c r="C172" s="25"/>
      <c r="D172" s="25"/>
      <c r="E172" s="25"/>
      <c r="F172" s="25"/>
      <c r="G172" s="25"/>
      <c r="H172" s="25"/>
      <c r="I172" s="25"/>
      <c r="J172" s="25"/>
      <c r="K172" s="25"/>
      <c r="L172" s="25"/>
      <c r="M172" s="25"/>
      <c r="N172" s="25"/>
      <c r="O172" s="53">
        <v>160000</v>
      </c>
      <c r="P172" s="40"/>
      <c r="Q172" s="25"/>
      <c r="R172" s="53"/>
      <c r="S172" s="25"/>
      <c r="T172" s="5"/>
    </row>
    <row r="173" spans="1:20" ht="15.6" x14ac:dyDescent="0.3">
      <c r="A173" s="24"/>
      <c r="B173" s="25" t="s">
        <v>69</v>
      </c>
      <c r="C173" s="25"/>
      <c r="D173" s="25"/>
      <c r="E173" s="25"/>
      <c r="F173" s="25"/>
      <c r="G173" s="25"/>
      <c r="H173" s="25"/>
      <c r="I173" s="25"/>
      <c r="J173" s="25"/>
      <c r="K173" s="25"/>
      <c r="L173" s="25"/>
      <c r="M173" s="25"/>
      <c r="N173" s="25"/>
      <c r="O173" s="53">
        <f>+'March 07'!O175</f>
        <v>56103</v>
      </c>
      <c r="P173" s="53">
        <f>+'March 07'!P175</f>
        <v>7749</v>
      </c>
      <c r="Q173" s="25"/>
      <c r="R173" s="53">
        <f>O173+P173</f>
        <v>63852</v>
      </c>
      <c r="S173" s="25"/>
      <c r="T173" s="5"/>
    </row>
    <row r="174" spans="1:20" ht="15.6" x14ac:dyDescent="0.3">
      <c r="A174" s="24"/>
      <c r="B174" s="25" t="s">
        <v>70</v>
      </c>
      <c r="C174" s="25"/>
      <c r="D174" s="25"/>
      <c r="E174" s="25"/>
      <c r="F174" s="25"/>
      <c r="G174" s="25"/>
      <c r="H174" s="25"/>
      <c r="I174" s="25"/>
      <c r="J174" s="25"/>
      <c r="K174" s="25"/>
      <c r="L174" s="25"/>
      <c r="M174" s="25"/>
      <c r="N174" s="25"/>
      <c r="O174" s="34">
        <v>4209</v>
      </c>
      <c r="P174" s="34">
        <f>-P96-P119</f>
        <v>82</v>
      </c>
      <c r="Q174" s="25"/>
      <c r="R174" s="53">
        <f>O174+P174</f>
        <v>4291</v>
      </c>
      <c r="S174" s="25"/>
      <c r="T174" s="5"/>
    </row>
    <row r="175" spans="1:20" ht="15.6" x14ac:dyDescent="0.3">
      <c r="A175" s="24"/>
      <c r="B175" s="25" t="s">
        <v>71</v>
      </c>
      <c r="C175" s="25"/>
      <c r="D175" s="25"/>
      <c r="E175" s="25"/>
      <c r="F175" s="25"/>
      <c r="G175" s="25"/>
      <c r="H175" s="25"/>
      <c r="I175" s="25"/>
      <c r="J175" s="25"/>
      <c r="K175" s="25"/>
      <c r="L175" s="25"/>
      <c r="M175" s="25"/>
      <c r="N175" s="25"/>
      <c r="O175" s="53">
        <f>O173+O174</f>
        <v>60312</v>
      </c>
      <c r="P175" s="53">
        <f>P174+P173</f>
        <v>7831</v>
      </c>
      <c r="Q175" s="25"/>
      <c r="R175" s="53">
        <f>O175+P175</f>
        <v>68143</v>
      </c>
      <c r="S175" s="25"/>
      <c r="T175" s="5"/>
    </row>
    <row r="176" spans="1:20" ht="15.6" x14ac:dyDescent="0.3">
      <c r="A176" s="24"/>
      <c r="B176" s="25" t="s">
        <v>72</v>
      </c>
      <c r="C176" s="25"/>
      <c r="D176" s="25"/>
      <c r="E176" s="25"/>
      <c r="F176" s="25"/>
      <c r="G176" s="25"/>
      <c r="H176" s="25"/>
      <c r="I176" s="25"/>
      <c r="J176" s="25"/>
      <c r="K176" s="25"/>
      <c r="L176" s="25"/>
      <c r="M176" s="25"/>
      <c r="N176" s="25"/>
      <c r="O176" s="53">
        <f>O172-O175-P175</f>
        <v>91857</v>
      </c>
      <c r="P176" s="40"/>
      <c r="Q176" s="25"/>
      <c r="R176" s="53"/>
      <c r="S176" s="25"/>
      <c r="T176" s="5"/>
    </row>
    <row r="177" spans="1:20" ht="16.2" thickBot="1" x14ac:dyDescent="0.35">
      <c r="A177" s="24"/>
      <c r="B177" s="25"/>
      <c r="C177" s="25"/>
      <c r="D177" s="25"/>
      <c r="E177" s="25"/>
      <c r="F177" s="25"/>
      <c r="G177" s="25"/>
      <c r="H177" s="25"/>
      <c r="I177" s="25"/>
      <c r="J177" s="25"/>
      <c r="K177" s="25"/>
      <c r="L177" s="25"/>
      <c r="M177" s="25"/>
      <c r="N177" s="25"/>
      <c r="O177" s="25"/>
      <c r="P177" s="25"/>
      <c r="Q177" s="25"/>
      <c r="R177" s="61"/>
      <c r="S177" s="25"/>
      <c r="T177" s="5"/>
    </row>
    <row r="178" spans="1:20" ht="15.6" x14ac:dyDescent="0.3">
      <c r="A178" s="2"/>
      <c r="B178" s="4"/>
      <c r="C178" s="4"/>
      <c r="D178" s="4"/>
      <c r="E178" s="4"/>
      <c r="F178" s="4"/>
      <c r="G178" s="4"/>
      <c r="H178" s="4"/>
      <c r="I178" s="4"/>
      <c r="J178" s="4"/>
      <c r="K178" s="4"/>
      <c r="L178" s="4"/>
      <c r="M178" s="4"/>
      <c r="N178" s="4"/>
      <c r="O178" s="4"/>
      <c r="P178" s="4"/>
      <c r="Q178" s="4"/>
      <c r="R178" s="50"/>
      <c r="S178" s="4"/>
      <c r="T178" s="5"/>
    </row>
    <row r="179" spans="1:20" ht="15.6" x14ac:dyDescent="0.3">
      <c r="A179" s="6"/>
      <c r="B179" s="120" t="s">
        <v>73</v>
      </c>
      <c r="C179" s="8"/>
      <c r="D179" s="8"/>
      <c r="E179" s="8"/>
      <c r="F179" s="8"/>
      <c r="G179" s="8"/>
      <c r="H179" s="8"/>
      <c r="I179" s="8"/>
      <c r="J179" s="8"/>
      <c r="K179" s="8"/>
      <c r="L179" s="8"/>
      <c r="M179" s="8"/>
      <c r="N179" s="8"/>
      <c r="O179" s="8"/>
      <c r="P179" s="8"/>
      <c r="Q179" s="8"/>
      <c r="R179" s="65"/>
      <c r="S179" s="8"/>
      <c r="T179" s="5"/>
    </row>
    <row r="180" spans="1:20" ht="15.6" x14ac:dyDescent="0.3">
      <c r="A180" s="24"/>
      <c r="B180" s="25" t="s">
        <v>74</v>
      </c>
      <c r="C180" s="25"/>
      <c r="D180" s="25"/>
      <c r="E180" s="25"/>
      <c r="F180" s="25"/>
      <c r="G180" s="25"/>
      <c r="H180" s="25"/>
      <c r="I180" s="25"/>
      <c r="J180" s="25"/>
      <c r="K180" s="25"/>
      <c r="L180" s="25"/>
      <c r="M180" s="25"/>
      <c r="N180" s="25"/>
      <c r="O180" s="25"/>
      <c r="P180" s="25"/>
      <c r="Q180" s="25"/>
      <c r="R180" s="59">
        <f>(R98+R100+R101+R102+R103+R104)/-(R105+R106+R107+R108)</f>
        <v>1.489795918367347</v>
      </c>
      <c r="S180" s="25" t="s">
        <v>130</v>
      </c>
      <c r="T180" s="5"/>
    </row>
    <row r="181" spans="1:20" ht="15.6" x14ac:dyDescent="0.3">
      <c r="A181" s="24"/>
      <c r="B181" s="25" t="s">
        <v>75</v>
      </c>
      <c r="C181" s="25"/>
      <c r="D181" s="25"/>
      <c r="E181" s="25"/>
      <c r="F181" s="25"/>
      <c r="G181" s="25"/>
      <c r="H181" s="25"/>
      <c r="I181" s="25"/>
      <c r="J181" s="25"/>
      <c r="K181" s="25"/>
      <c r="L181" s="25"/>
      <c r="M181" s="25"/>
      <c r="N181" s="25"/>
      <c r="O181" s="25"/>
      <c r="P181" s="25"/>
      <c r="Q181" s="25"/>
      <c r="R181" s="66">
        <v>1.39</v>
      </c>
      <c r="S181" s="25" t="s">
        <v>130</v>
      </c>
      <c r="T181" s="5"/>
    </row>
    <row r="182" spans="1:20" ht="15.6" x14ac:dyDescent="0.3">
      <c r="A182" s="24"/>
      <c r="B182" s="25" t="s">
        <v>76</v>
      </c>
      <c r="C182" s="25"/>
      <c r="D182" s="25"/>
      <c r="E182" s="25"/>
      <c r="F182" s="25"/>
      <c r="G182" s="25"/>
      <c r="H182" s="25"/>
      <c r="I182" s="25"/>
      <c r="J182" s="25"/>
      <c r="K182" s="25"/>
      <c r="L182" s="25"/>
      <c r="M182" s="25"/>
      <c r="N182" s="25"/>
      <c r="O182" s="25"/>
      <c r="P182" s="25"/>
      <c r="Q182" s="25"/>
      <c r="R182" s="59">
        <f>(R98+R100+R101+R102+R103+R104+R105+R106+R107+R108)/-(R109+R110)</f>
        <v>2.8886043533930859</v>
      </c>
      <c r="S182" s="25" t="s">
        <v>130</v>
      </c>
      <c r="T182" s="5"/>
    </row>
    <row r="183" spans="1:20" ht="15.6" x14ac:dyDescent="0.3">
      <c r="A183" s="24"/>
      <c r="B183" s="25" t="s">
        <v>77</v>
      </c>
      <c r="C183" s="25"/>
      <c r="D183" s="25"/>
      <c r="E183" s="25"/>
      <c r="F183" s="25"/>
      <c r="G183" s="25"/>
      <c r="H183" s="25"/>
      <c r="I183" s="25"/>
      <c r="J183" s="25"/>
      <c r="K183" s="25"/>
      <c r="L183" s="25"/>
      <c r="M183" s="25"/>
      <c r="N183" s="25"/>
      <c r="O183" s="25"/>
      <c r="P183" s="25"/>
      <c r="Q183" s="25"/>
      <c r="R183" s="67">
        <v>2.77</v>
      </c>
      <c r="S183" s="25" t="s">
        <v>130</v>
      </c>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6"/>
      <c r="B186" s="8"/>
      <c r="C186" s="8"/>
      <c r="D186" s="8"/>
      <c r="E186" s="8"/>
      <c r="F186" s="8"/>
      <c r="G186" s="8"/>
      <c r="H186" s="8"/>
      <c r="I186" s="8"/>
      <c r="J186" s="8"/>
      <c r="K186" s="8"/>
      <c r="L186" s="8"/>
      <c r="M186" s="8"/>
      <c r="N186" s="8"/>
      <c r="O186" s="8"/>
      <c r="P186" s="8"/>
      <c r="Q186" s="8"/>
      <c r="R186" s="8"/>
      <c r="S186" s="8"/>
      <c r="T186" s="5"/>
    </row>
    <row r="187" spans="1:20" ht="18" thickBot="1" x14ac:dyDescent="0.35">
      <c r="A187" s="102"/>
      <c r="B187" s="103" t="str">
        <f>B131</f>
        <v>PM8 INVESTOR REPORT QUARTER ENDING JUNE 2007</v>
      </c>
      <c r="C187" s="148"/>
      <c r="D187" s="148"/>
      <c r="E187" s="148"/>
      <c r="F187" s="148"/>
      <c r="G187" s="148"/>
      <c r="H187" s="148"/>
      <c r="I187" s="148"/>
      <c r="J187" s="148"/>
      <c r="K187" s="148"/>
      <c r="L187" s="148"/>
      <c r="M187" s="148"/>
      <c r="N187" s="148"/>
      <c r="O187" s="148"/>
      <c r="P187" s="148"/>
      <c r="Q187" s="148"/>
      <c r="R187" s="148"/>
      <c r="S187" s="149"/>
      <c r="T187" s="5"/>
    </row>
    <row r="188" spans="1:20" ht="15.6" x14ac:dyDescent="0.3">
      <c r="A188" s="68"/>
      <c r="B188" s="60" t="s">
        <v>78</v>
      </c>
      <c r="C188" s="69"/>
      <c r="D188" s="69"/>
      <c r="E188" s="69"/>
      <c r="F188" s="69"/>
      <c r="G188" s="70"/>
      <c r="H188" s="70"/>
      <c r="I188" s="70"/>
      <c r="J188" s="70"/>
      <c r="K188" s="70"/>
      <c r="L188" s="70"/>
      <c r="M188" s="70"/>
      <c r="N188" s="70"/>
      <c r="O188" s="70"/>
      <c r="P188" s="71">
        <v>39262</v>
      </c>
      <c r="Q188" s="4"/>
      <c r="R188" s="4"/>
      <c r="S188" s="4"/>
      <c r="T188" s="5"/>
    </row>
    <row r="189" spans="1:20" ht="15.6" x14ac:dyDescent="0.3">
      <c r="A189" s="72"/>
      <c r="B189" s="73"/>
      <c r="C189" s="74"/>
      <c r="D189" s="74"/>
      <c r="E189" s="74"/>
      <c r="F189" s="74"/>
      <c r="G189" s="75"/>
      <c r="H189" s="75"/>
      <c r="I189" s="75"/>
      <c r="J189" s="75"/>
      <c r="K189" s="75"/>
      <c r="L189" s="75"/>
      <c r="M189" s="75"/>
      <c r="N189" s="75"/>
      <c r="O189" s="75"/>
      <c r="P189" s="75"/>
      <c r="Q189" s="8"/>
      <c r="R189" s="8"/>
      <c r="S189" s="8"/>
      <c r="T189" s="5"/>
    </row>
    <row r="190" spans="1:20" ht="15.6" x14ac:dyDescent="0.3">
      <c r="A190" s="76"/>
      <c r="B190" s="77" t="s">
        <v>79</v>
      </c>
      <c r="C190" s="78"/>
      <c r="D190" s="78"/>
      <c r="E190" s="78"/>
      <c r="F190" s="78"/>
      <c r="G190" s="64"/>
      <c r="H190" s="64"/>
      <c r="I190" s="64"/>
      <c r="J190" s="64"/>
      <c r="K190" s="64"/>
      <c r="L190" s="64"/>
      <c r="M190" s="64"/>
      <c r="N190" s="64"/>
      <c r="O190" s="64"/>
      <c r="P190" s="79">
        <v>6.2039999999999998E-2</v>
      </c>
      <c r="Q190" s="25"/>
      <c r="R190" s="25"/>
      <c r="S190" s="25"/>
      <c r="T190" s="5"/>
    </row>
    <row r="191" spans="1:20" ht="15.6" x14ac:dyDescent="0.3">
      <c r="A191" s="76"/>
      <c r="B191" s="77" t="s">
        <v>178</v>
      </c>
      <c r="C191" s="78"/>
      <c r="D191" s="78"/>
      <c r="E191" s="78"/>
      <c r="F191" s="78"/>
      <c r="G191" s="64"/>
      <c r="H191" s="64"/>
      <c r="I191" s="64"/>
      <c r="J191" s="64"/>
      <c r="K191" s="64"/>
      <c r="L191" s="64"/>
      <c r="M191" s="64"/>
      <c r="N191" s="64"/>
      <c r="O191" s="64"/>
      <c r="P191" s="39">
        <v>5.1733455000000005E-2</v>
      </c>
      <c r="Q191" s="25"/>
      <c r="R191" s="25"/>
      <c r="S191" s="25"/>
      <c r="T191" s="5"/>
    </row>
    <row r="192" spans="1:20" ht="15.6" x14ac:dyDescent="0.3">
      <c r="A192" s="76"/>
      <c r="B192" s="77" t="s">
        <v>80</v>
      </c>
      <c r="C192" s="78"/>
      <c r="D192" s="78"/>
      <c r="E192" s="78"/>
      <c r="F192" s="78"/>
      <c r="G192" s="64"/>
      <c r="H192" s="64"/>
      <c r="I192" s="64"/>
      <c r="J192" s="64"/>
      <c r="K192" s="64"/>
      <c r="L192" s="64"/>
      <c r="M192" s="64"/>
      <c r="N192" s="64"/>
      <c r="O192" s="64"/>
      <c r="P192" s="79">
        <f>P190-P191</f>
        <v>1.0306544999999993E-2</v>
      </c>
      <c r="Q192" s="25"/>
      <c r="R192" s="25"/>
      <c r="S192" s="25"/>
      <c r="T192" s="5"/>
    </row>
    <row r="193" spans="1:20" ht="15.6" x14ac:dyDescent="0.3">
      <c r="A193" s="76"/>
      <c r="B193" s="77" t="s">
        <v>81</v>
      </c>
      <c r="C193" s="78"/>
      <c r="D193" s="78"/>
      <c r="E193" s="78"/>
      <c r="F193" s="78"/>
      <c r="G193" s="64"/>
      <c r="H193" s="64"/>
      <c r="I193" s="64"/>
      <c r="J193" s="64"/>
      <c r="K193" s="64"/>
      <c r="L193" s="64"/>
      <c r="M193" s="64"/>
      <c r="N193" s="64"/>
      <c r="O193" s="64"/>
      <c r="P193" s="79">
        <v>6.5000000000000002E-2</v>
      </c>
      <c r="Q193" s="25"/>
      <c r="R193" s="25"/>
      <c r="S193" s="25"/>
      <c r="T193" s="5"/>
    </row>
    <row r="194" spans="1:20" ht="15.6" x14ac:dyDescent="0.3">
      <c r="A194" s="76"/>
      <c r="B194" s="77" t="s">
        <v>261</v>
      </c>
      <c r="C194" s="78"/>
      <c r="D194" s="78"/>
      <c r="E194" s="78"/>
      <c r="F194" s="78"/>
      <c r="G194" s="64"/>
      <c r="H194" s="64"/>
      <c r="I194" s="64"/>
      <c r="J194" s="64"/>
      <c r="K194" s="64"/>
      <c r="L194" s="64"/>
      <c r="M194" s="64"/>
      <c r="N194" s="64"/>
      <c r="O194" s="64"/>
      <c r="P194" s="79">
        <f>+R42</f>
        <v>5.8699271293346324E-2</v>
      </c>
      <c r="Q194" s="25"/>
      <c r="R194" s="25"/>
      <c r="S194" s="25"/>
      <c r="T194" s="5"/>
    </row>
    <row r="195" spans="1:20" ht="15.6" x14ac:dyDescent="0.3">
      <c r="A195" s="76"/>
      <c r="B195" s="77" t="s">
        <v>82</v>
      </c>
      <c r="C195" s="78"/>
      <c r="D195" s="78"/>
      <c r="E195" s="78"/>
      <c r="F195" s="78"/>
      <c r="G195" s="64"/>
      <c r="H195" s="64"/>
      <c r="I195" s="64"/>
      <c r="J195" s="64"/>
      <c r="K195" s="64"/>
      <c r="L195" s="64"/>
      <c r="M195" s="64"/>
      <c r="N195" s="64"/>
      <c r="O195" s="64"/>
      <c r="P195" s="79">
        <f>P193-P194</f>
        <v>6.3007287066536785E-3</v>
      </c>
      <c r="Q195" s="25"/>
      <c r="R195" s="25"/>
      <c r="S195" s="25"/>
      <c r="T195" s="5"/>
    </row>
    <row r="196" spans="1:20" ht="15.6" x14ac:dyDescent="0.3">
      <c r="A196" s="76"/>
      <c r="B196" s="77" t="s">
        <v>267</v>
      </c>
      <c r="C196" s="78"/>
      <c r="D196" s="78"/>
      <c r="E196" s="78"/>
      <c r="F196" s="78"/>
      <c r="G196" s="64"/>
      <c r="H196" s="64"/>
      <c r="I196" s="64"/>
      <c r="J196" s="64"/>
      <c r="K196" s="64"/>
      <c r="L196" s="64"/>
      <c r="M196" s="64"/>
      <c r="N196" s="64"/>
      <c r="O196" s="64"/>
      <c r="P196" s="79">
        <f>+R98/J70</f>
        <v>1.8980971487793583E-2</v>
      </c>
      <c r="Q196" s="25"/>
      <c r="R196" s="25"/>
      <c r="S196" s="25"/>
      <c r="T196" s="5"/>
    </row>
    <row r="197" spans="1:20" ht="15.6" x14ac:dyDescent="0.3">
      <c r="A197" s="76"/>
      <c r="B197" s="77" t="s">
        <v>208</v>
      </c>
      <c r="C197" s="78"/>
      <c r="D197" s="78"/>
      <c r="E197" s="78"/>
      <c r="F197" s="78"/>
      <c r="G197" s="64"/>
      <c r="H197" s="64"/>
      <c r="I197" s="64"/>
      <c r="J197" s="64"/>
      <c r="K197" s="64"/>
      <c r="L197" s="64"/>
      <c r="M197" s="64"/>
      <c r="N197" s="64"/>
      <c r="O197" s="64"/>
      <c r="P197" s="132">
        <v>12875</v>
      </c>
      <c r="Q197" s="25"/>
      <c r="R197" s="25"/>
      <c r="S197" s="25"/>
      <c r="T197" s="5"/>
    </row>
    <row r="198" spans="1:20" ht="15.6" x14ac:dyDescent="0.3">
      <c r="A198" s="76"/>
      <c r="B198" s="77" t="s">
        <v>209</v>
      </c>
      <c r="C198" s="78"/>
      <c r="D198" s="78"/>
      <c r="E198" s="78"/>
      <c r="F198" s="78"/>
      <c r="G198" s="64"/>
      <c r="H198" s="64"/>
      <c r="I198" s="64"/>
      <c r="J198" s="64"/>
      <c r="K198" s="64"/>
      <c r="L198" s="64"/>
      <c r="M198" s="64"/>
      <c r="N198" s="64"/>
      <c r="O198" s="64"/>
      <c r="P198" s="132">
        <v>16163</v>
      </c>
      <c r="Q198" s="25"/>
      <c r="R198" s="25"/>
      <c r="S198" s="25"/>
      <c r="T198" s="5"/>
    </row>
    <row r="199" spans="1:20" ht="15.6" x14ac:dyDescent="0.3">
      <c r="A199" s="76"/>
      <c r="B199" s="77" t="s">
        <v>83</v>
      </c>
      <c r="C199" s="78"/>
      <c r="D199" s="78"/>
      <c r="E199" s="78"/>
      <c r="F199" s="78"/>
      <c r="G199" s="64"/>
      <c r="H199" s="64"/>
      <c r="I199" s="64"/>
      <c r="J199" s="64"/>
      <c r="K199" s="64"/>
      <c r="L199" s="64"/>
      <c r="M199" s="64"/>
      <c r="N199" s="64"/>
      <c r="O199" s="64"/>
      <c r="P199" s="136">
        <v>19.739999999999998</v>
      </c>
      <c r="Q199" s="25" t="s">
        <v>125</v>
      </c>
      <c r="R199" s="25"/>
      <c r="S199" s="25"/>
      <c r="T199" s="5"/>
    </row>
    <row r="200" spans="1:20" ht="15.6" x14ac:dyDescent="0.3">
      <c r="A200" s="76"/>
      <c r="B200" s="77" t="s">
        <v>84</v>
      </c>
      <c r="C200" s="78"/>
      <c r="D200" s="78"/>
      <c r="E200" s="78"/>
      <c r="F200" s="78"/>
      <c r="G200" s="64"/>
      <c r="H200" s="64"/>
      <c r="I200" s="64"/>
      <c r="J200" s="64"/>
      <c r="K200" s="64"/>
      <c r="L200" s="64"/>
      <c r="M200" s="64"/>
      <c r="N200" s="64"/>
      <c r="O200" s="64"/>
      <c r="P200" s="136">
        <v>18.329999999999998</v>
      </c>
      <c r="Q200" s="25" t="s">
        <v>125</v>
      </c>
      <c r="R200" s="25"/>
      <c r="S200" s="25"/>
      <c r="T200" s="5"/>
    </row>
    <row r="201" spans="1:20" ht="15.6" x14ac:dyDescent="0.3">
      <c r="A201" s="76"/>
      <c r="B201" s="77" t="s">
        <v>85</v>
      </c>
      <c r="C201" s="78"/>
      <c r="D201" s="78"/>
      <c r="E201" s="78"/>
      <c r="F201" s="78"/>
      <c r="G201" s="64"/>
      <c r="H201" s="64"/>
      <c r="I201" s="64"/>
      <c r="J201" s="64"/>
      <c r="K201" s="64"/>
      <c r="L201" s="64"/>
      <c r="M201" s="64"/>
      <c r="N201" s="64"/>
      <c r="O201" s="64"/>
      <c r="P201" s="79">
        <f>+L67/J67</f>
        <v>4.3771418791623599E-2</v>
      </c>
      <c r="Q201" s="25"/>
      <c r="R201" s="25"/>
      <c r="S201" s="25"/>
      <c r="T201" s="5"/>
    </row>
    <row r="202" spans="1:20" ht="15.6" x14ac:dyDescent="0.3">
      <c r="A202" s="76"/>
      <c r="B202" s="77" t="s">
        <v>86</v>
      </c>
      <c r="C202" s="78"/>
      <c r="D202" s="78"/>
      <c r="E202" s="78"/>
      <c r="F202" s="78"/>
      <c r="G202" s="64"/>
      <c r="H202" s="64"/>
      <c r="I202" s="64"/>
      <c r="J202" s="64"/>
      <c r="K202" s="64"/>
      <c r="L202" s="64"/>
      <c r="M202" s="64"/>
      <c r="N202" s="64"/>
      <c r="O202" s="64"/>
      <c r="P202" s="79">
        <v>0.14979999999999999</v>
      </c>
      <c r="Q202" s="25"/>
      <c r="R202" s="25"/>
      <c r="S202" s="25"/>
      <c r="T202" s="5"/>
    </row>
    <row r="203" spans="1:20" ht="15.6" x14ac:dyDescent="0.3">
      <c r="A203" s="76"/>
      <c r="B203" s="77"/>
      <c r="C203" s="77"/>
      <c r="D203" s="77"/>
      <c r="E203" s="77"/>
      <c r="F203" s="77"/>
      <c r="G203" s="25"/>
      <c r="H203" s="25"/>
      <c r="I203" s="25"/>
      <c r="J203" s="25"/>
      <c r="K203" s="25"/>
      <c r="L203" s="25"/>
      <c r="M203" s="25"/>
      <c r="N203" s="25"/>
      <c r="O203" s="25"/>
      <c r="P203" s="61"/>
      <c r="Q203" s="25"/>
      <c r="R203" s="80"/>
      <c r="S203" s="25"/>
      <c r="T203" s="5"/>
    </row>
    <row r="204" spans="1:20" ht="15.6" x14ac:dyDescent="0.3">
      <c r="A204" s="81"/>
      <c r="B204" s="14" t="s">
        <v>87</v>
      </c>
      <c r="C204" s="82"/>
      <c r="D204" s="82"/>
      <c r="E204" s="82"/>
      <c r="F204" s="83"/>
      <c r="G204" s="82"/>
      <c r="H204" s="17"/>
      <c r="I204" s="17"/>
      <c r="J204" s="17"/>
      <c r="K204" s="17"/>
      <c r="L204" s="17"/>
      <c r="M204" s="17"/>
      <c r="N204" s="17"/>
      <c r="O204" s="17" t="s">
        <v>113</v>
      </c>
      <c r="P204" s="84" t="s">
        <v>121</v>
      </c>
      <c r="Q204" s="8"/>
      <c r="R204" s="8"/>
      <c r="S204" s="8"/>
      <c r="T204" s="5"/>
    </row>
    <row r="205" spans="1:20" ht="15.6" x14ac:dyDescent="0.3">
      <c r="A205" s="85"/>
      <c r="B205" s="77" t="s">
        <v>88</v>
      </c>
      <c r="C205" s="54"/>
      <c r="D205" s="54"/>
      <c r="E205" s="54"/>
      <c r="F205" s="25"/>
      <c r="G205" s="25"/>
      <c r="H205" s="30"/>
      <c r="I205" s="30"/>
      <c r="J205" s="30"/>
      <c r="K205" s="30"/>
      <c r="L205" s="30"/>
      <c r="M205" s="30"/>
      <c r="N205" s="30"/>
      <c r="O205" s="30">
        <v>5</v>
      </c>
      <c r="P205" s="86">
        <v>121</v>
      </c>
      <c r="Q205" s="25"/>
      <c r="R205" s="80"/>
      <c r="S205" s="87"/>
      <c r="T205" s="5"/>
    </row>
    <row r="206" spans="1:20" ht="15.6" x14ac:dyDescent="0.3">
      <c r="A206" s="85"/>
      <c r="B206" s="77" t="s">
        <v>169</v>
      </c>
      <c r="C206" s="54"/>
      <c r="D206" s="54"/>
      <c r="E206" s="54"/>
      <c r="F206" s="25"/>
      <c r="G206" s="25"/>
      <c r="H206" s="30"/>
      <c r="I206" s="30"/>
      <c r="J206" s="30"/>
      <c r="K206" s="30"/>
      <c r="L206" s="30"/>
      <c r="M206" s="30"/>
      <c r="N206" s="30"/>
      <c r="O206" s="163">
        <f>+N244</f>
        <v>35</v>
      </c>
      <c r="P206" s="86">
        <f>+P244</f>
        <v>6529</v>
      </c>
      <c r="Q206" s="25"/>
      <c r="R206" s="80"/>
      <c r="S206" s="87"/>
      <c r="T206" s="5"/>
    </row>
    <row r="207" spans="1:20" ht="15.6" x14ac:dyDescent="0.3">
      <c r="A207" s="85"/>
      <c r="B207" s="77" t="s">
        <v>89</v>
      </c>
      <c r="C207" s="54"/>
      <c r="D207" s="54"/>
      <c r="E207" s="54"/>
      <c r="F207" s="25"/>
      <c r="G207" s="25"/>
      <c r="H207" s="30"/>
      <c r="I207" s="30"/>
      <c r="J207" s="30"/>
      <c r="K207" s="30"/>
      <c r="L207" s="30"/>
      <c r="M207" s="30"/>
      <c r="N207" s="30"/>
      <c r="O207" s="163">
        <f>+N256</f>
        <v>1</v>
      </c>
      <c r="P207" s="86">
        <f>+P256</f>
        <v>36</v>
      </c>
      <c r="Q207" s="25"/>
      <c r="R207" s="80"/>
      <c r="S207" s="87"/>
      <c r="T207" s="5"/>
    </row>
    <row r="208" spans="1:20" ht="15.6" x14ac:dyDescent="0.3">
      <c r="A208" s="85"/>
      <c r="B208" s="123" t="s">
        <v>90</v>
      </c>
      <c r="C208" s="54"/>
      <c r="D208" s="54"/>
      <c r="E208" s="54"/>
      <c r="F208" s="25"/>
      <c r="G208" s="25"/>
      <c r="H208" s="25"/>
      <c r="I208" s="25"/>
      <c r="J208" s="25"/>
      <c r="K208" s="25"/>
      <c r="L208" s="25"/>
      <c r="M208" s="25"/>
      <c r="N208" s="25"/>
      <c r="O208" s="25"/>
      <c r="P208" s="86">
        <v>0</v>
      </c>
      <c r="Q208" s="25"/>
      <c r="R208" s="80"/>
      <c r="S208" s="87"/>
      <c r="T208" s="5"/>
    </row>
    <row r="209" spans="1:21" ht="15.6" x14ac:dyDescent="0.3">
      <c r="A209" s="85"/>
      <c r="B209" s="123" t="s">
        <v>91</v>
      </c>
      <c r="C209" s="54"/>
      <c r="D209" s="54"/>
      <c r="E209" s="54"/>
      <c r="F209" s="25"/>
      <c r="G209" s="25"/>
      <c r="H209" s="25"/>
      <c r="I209" s="25"/>
      <c r="J209" s="25"/>
      <c r="K209" s="25"/>
      <c r="L209" s="25"/>
      <c r="M209" s="25"/>
      <c r="N209" s="25"/>
      <c r="O209" s="25"/>
      <c r="P209" s="62" t="s">
        <v>122</v>
      </c>
      <c r="Q209" s="25"/>
      <c r="R209" s="80"/>
      <c r="S209" s="87"/>
      <c r="T209" s="5"/>
    </row>
    <row r="210" spans="1:21" ht="15.6" x14ac:dyDescent="0.3">
      <c r="A210" s="88"/>
      <c r="B210" s="123" t="s">
        <v>92</v>
      </c>
      <c r="C210" s="77"/>
      <c r="D210" s="77"/>
      <c r="E210" s="77"/>
      <c r="F210" s="77"/>
      <c r="G210" s="25"/>
      <c r="H210" s="25"/>
      <c r="I210" s="25"/>
      <c r="J210" s="25"/>
      <c r="K210" s="25"/>
      <c r="L210" s="25"/>
      <c r="M210" s="25"/>
      <c r="N210" s="25"/>
      <c r="O210" s="25"/>
      <c r="P210" s="86"/>
      <c r="Q210" s="25"/>
      <c r="R210" s="80"/>
      <c r="S210" s="89"/>
      <c r="T210" s="5"/>
    </row>
    <row r="211" spans="1:21" ht="15.6" x14ac:dyDescent="0.3">
      <c r="A211" s="88"/>
      <c r="B211" s="134" t="s">
        <v>93</v>
      </c>
      <c r="C211" s="77"/>
      <c r="D211" s="77"/>
      <c r="E211" s="77"/>
      <c r="F211" s="77"/>
      <c r="G211" s="25"/>
      <c r="H211" s="25"/>
      <c r="I211" s="25"/>
      <c r="J211" s="25"/>
      <c r="K211" s="25"/>
      <c r="L211" s="25"/>
      <c r="M211" s="25"/>
      <c r="N211" s="25"/>
      <c r="O211" s="30"/>
      <c r="P211" s="86">
        <f>R159</f>
        <v>91</v>
      </c>
      <c r="Q211" s="25"/>
      <c r="R211" s="80"/>
      <c r="S211" s="89"/>
      <c r="T211" s="5"/>
    </row>
    <row r="212" spans="1:21" ht="15.6" x14ac:dyDescent="0.3">
      <c r="A212" s="85"/>
      <c r="B212" s="77" t="s">
        <v>94</v>
      </c>
      <c r="C212" s="54"/>
      <c r="D212" s="54"/>
      <c r="E212" s="54"/>
      <c r="F212" s="54"/>
      <c r="G212" s="25"/>
      <c r="H212" s="25"/>
      <c r="I212" s="25"/>
      <c r="J212" s="25"/>
      <c r="K212" s="25"/>
      <c r="L212" s="25"/>
      <c r="M212" s="25"/>
      <c r="N212" s="25"/>
      <c r="O212" s="30"/>
      <c r="P212" s="86">
        <f>+'March 07'!P212+P211</f>
        <v>241</v>
      </c>
      <c r="Q212" s="25"/>
      <c r="R212" s="80"/>
      <c r="S212" s="89"/>
      <c r="T212" s="5"/>
    </row>
    <row r="213" spans="1:21" ht="15.6" x14ac:dyDescent="0.3">
      <c r="A213" s="88" t="s">
        <v>255</v>
      </c>
      <c r="B213" s="123" t="s">
        <v>256</v>
      </c>
      <c r="C213" s="77"/>
      <c r="D213" s="77"/>
      <c r="E213" s="77"/>
      <c r="F213" s="77"/>
      <c r="G213" s="25"/>
      <c r="H213" s="25"/>
      <c r="I213" s="25"/>
      <c r="J213" s="25"/>
      <c r="K213" s="25"/>
      <c r="L213" s="25"/>
      <c r="M213" s="25"/>
      <c r="N213" s="25"/>
      <c r="O213" s="25"/>
      <c r="P213" s="86"/>
      <c r="Q213" s="25"/>
      <c r="R213" s="80"/>
      <c r="S213" s="89"/>
      <c r="T213" s="5"/>
    </row>
    <row r="214" spans="1:21" ht="15.6" x14ac:dyDescent="0.3">
      <c r="A214" s="88"/>
      <c r="B214" s="77" t="s">
        <v>283</v>
      </c>
      <c r="C214" s="77"/>
      <c r="D214" s="77"/>
      <c r="E214" s="77"/>
      <c r="F214" s="77"/>
      <c r="G214" s="25"/>
      <c r="H214" s="25"/>
      <c r="I214" s="25"/>
      <c r="J214" s="25"/>
      <c r="K214" s="25"/>
      <c r="L214" s="25"/>
      <c r="M214" s="25"/>
      <c r="N214" s="25"/>
      <c r="O214" s="30">
        <v>0</v>
      </c>
      <c r="P214" s="86">
        <v>0</v>
      </c>
      <c r="Q214" s="25"/>
      <c r="R214" s="80"/>
      <c r="S214" s="89"/>
      <c r="T214" s="5"/>
    </row>
    <row r="215" spans="1:21" ht="15.6" x14ac:dyDescent="0.3">
      <c r="A215" s="85"/>
      <c r="B215" s="77" t="s">
        <v>97</v>
      </c>
      <c r="C215" s="90"/>
      <c r="D215" s="90"/>
      <c r="E215" s="90"/>
      <c r="F215" s="91"/>
      <c r="G215" s="25"/>
      <c r="H215" s="25"/>
      <c r="I215" s="25"/>
      <c r="J215" s="25"/>
      <c r="K215" s="25"/>
      <c r="L215" s="25"/>
      <c r="M215" s="25"/>
      <c r="N215" s="25"/>
      <c r="O215" s="30"/>
      <c r="P215" s="62">
        <v>0</v>
      </c>
      <c r="Q215" s="25"/>
      <c r="R215" s="80"/>
      <c r="S215" s="89"/>
      <c r="T215" s="5"/>
    </row>
    <row r="216" spans="1:21" ht="15.6" x14ac:dyDescent="0.3">
      <c r="A216" s="85"/>
      <c r="B216" s="77" t="s">
        <v>98</v>
      </c>
      <c r="C216" s="90"/>
      <c r="D216" s="90"/>
      <c r="E216" s="90"/>
      <c r="F216" s="91"/>
      <c r="G216" s="25"/>
      <c r="H216" s="25"/>
      <c r="I216" s="25"/>
      <c r="J216" s="25"/>
      <c r="K216" s="25"/>
      <c r="L216" s="25"/>
      <c r="M216" s="25"/>
      <c r="N216" s="25"/>
      <c r="O216" s="30"/>
      <c r="P216" s="62">
        <v>0</v>
      </c>
      <c r="Q216" s="25"/>
      <c r="R216" s="80"/>
      <c r="S216" s="89"/>
      <c r="T216" s="5"/>
    </row>
    <row r="217" spans="1:21" ht="15.6" x14ac:dyDescent="0.3">
      <c r="A217" s="85"/>
      <c r="B217" s="123" t="s">
        <v>257</v>
      </c>
      <c r="C217" s="90"/>
      <c r="D217" s="90"/>
      <c r="E217" s="90"/>
      <c r="F217" s="91"/>
      <c r="G217" s="25"/>
      <c r="H217" s="25"/>
      <c r="I217" s="25"/>
      <c r="J217" s="25"/>
      <c r="K217" s="25"/>
      <c r="L217" s="25"/>
      <c r="M217" s="25"/>
      <c r="N217" s="25"/>
      <c r="O217" s="30"/>
      <c r="P217" s="92"/>
      <c r="Q217" s="25"/>
      <c r="R217" s="80"/>
      <c r="S217" s="89"/>
      <c r="T217" s="5"/>
    </row>
    <row r="218" spans="1:21" ht="15.6" x14ac:dyDescent="0.3">
      <c r="A218" s="85"/>
      <c r="B218" s="77" t="s">
        <v>283</v>
      </c>
      <c r="C218" s="90"/>
      <c r="D218" s="90"/>
      <c r="E218" s="90"/>
      <c r="F218" s="91"/>
      <c r="G218" s="25"/>
      <c r="H218" s="25"/>
      <c r="I218" s="25"/>
      <c r="J218" s="25"/>
      <c r="K218" s="25"/>
      <c r="L218" s="25"/>
      <c r="M218" s="25"/>
      <c r="N218" s="25"/>
      <c r="O218" s="30">
        <v>13</v>
      </c>
      <c r="P218" s="86">
        <v>1199</v>
      </c>
      <c r="Q218" s="25"/>
      <c r="R218" s="80"/>
      <c r="S218" s="89"/>
      <c r="T218" s="5"/>
    </row>
    <row r="219" spans="1:21" ht="15.6" x14ac:dyDescent="0.3">
      <c r="A219" s="85"/>
      <c r="B219" s="77" t="s">
        <v>258</v>
      </c>
      <c r="C219" s="90"/>
      <c r="D219" s="90"/>
      <c r="E219" s="90"/>
      <c r="F219" s="91"/>
      <c r="G219" s="25"/>
      <c r="H219" s="25"/>
      <c r="I219" s="25"/>
      <c r="J219" s="25"/>
      <c r="K219" s="25"/>
      <c r="L219" s="25"/>
      <c r="M219" s="25"/>
      <c r="N219" s="25"/>
      <c r="O219" s="25"/>
      <c r="P219" s="171">
        <v>3.51</v>
      </c>
      <c r="Q219" s="25"/>
      <c r="R219" s="80"/>
      <c r="S219" s="89"/>
      <c r="T219" s="5"/>
    </row>
    <row r="220" spans="1:21" ht="17.399999999999999" x14ac:dyDescent="0.3">
      <c r="A220" s="85"/>
      <c r="B220" s="166" t="s">
        <v>247</v>
      </c>
      <c r="C220" s="90"/>
      <c r="D220" s="90"/>
      <c r="E220" s="90"/>
      <c r="F220" s="91"/>
      <c r="G220" s="25"/>
      <c r="H220" s="25"/>
      <c r="I220" s="25"/>
      <c r="J220" s="168" t="s">
        <v>246</v>
      </c>
      <c r="K220" s="25"/>
      <c r="L220" s="25"/>
      <c r="M220" s="25"/>
      <c r="N220" s="25"/>
      <c r="O220" s="25"/>
      <c r="P220" s="92"/>
      <c r="Q220" s="25"/>
      <c r="R220" s="80"/>
      <c r="S220" s="89"/>
      <c r="T220" s="5"/>
    </row>
    <row r="221" spans="1:21" ht="15.6" x14ac:dyDescent="0.3">
      <c r="A221" s="85"/>
      <c r="B221" s="77"/>
      <c r="C221" s="90"/>
      <c r="D221" s="90"/>
      <c r="E221" s="90"/>
      <c r="F221" s="91"/>
      <c r="G221" s="25"/>
      <c r="H221" s="25"/>
      <c r="I221" s="25"/>
      <c r="J221" s="25"/>
      <c r="K221" s="25"/>
      <c r="L221" s="25"/>
      <c r="M221" s="25"/>
      <c r="N221" s="25"/>
      <c r="O221" s="25"/>
      <c r="P221" s="92"/>
      <c r="Q221" s="25"/>
      <c r="R221" s="80"/>
      <c r="S221" s="89"/>
      <c r="T221" s="5"/>
    </row>
    <row r="222" spans="1:21" ht="15.6" x14ac:dyDescent="0.3">
      <c r="A222" s="6"/>
      <c r="B222" s="14" t="s">
        <v>236</v>
      </c>
      <c r="C222" s="82"/>
      <c r="D222" s="82"/>
      <c r="E222" s="82"/>
      <c r="F222" s="83"/>
      <c r="G222" s="82"/>
      <c r="H222" s="17"/>
      <c r="I222" s="17"/>
      <c r="J222" s="17"/>
      <c r="K222" s="17"/>
      <c r="L222" s="17"/>
      <c r="M222" s="17"/>
      <c r="N222" s="84" t="s">
        <v>113</v>
      </c>
      <c r="O222" s="17" t="s">
        <v>114</v>
      </c>
      <c r="P222" s="84" t="s">
        <v>123</v>
      </c>
      <c r="Q222" s="17" t="s">
        <v>114</v>
      </c>
      <c r="R222" s="8"/>
      <c r="S222" s="93"/>
      <c r="T222" s="5"/>
    </row>
    <row r="223" spans="1:21" ht="15.6" x14ac:dyDescent="0.3">
      <c r="A223" s="24"/>
      <c r="B223" s="54" t="s">
        <v>99</v>
      </c>
      <c r="C223" s="94"/>
      <c r="D223" s="94"/>
      <c r="E223" s="94"/>
      <c r="F223" s="25"/>
      <c r="G223" s="94"/>
      <c r="H223" s="94"/>
      <c r="I223" s="94"/>
      <c r="J223" s="94"/>
      <c r="K223" s="94"/>
      <c r="L223" s="94"/>
      <c r="M223" s="94"/>
      <c r="N223" s="54">
        <v>6308</v>
      </c>
      <c r="O223" s="95">
        <f t="shared" ref="O223:O230" si="1">N223/$N$232</f>
        <v>0.99073346945186114</v>
      </c>
      <c r="P223" s="53">
        <v>696601</v>
      </c>
      <c r="Q223" s="135">
        <f t="shared" ref="Q223:Q230" si="2">P223/$P$232</f>
        <v>0.9927163850696582</v>
      </c>
      <c r="R223" s="80"/>
      <c r="S223" s="89"/>
      <c r="T223" s="5"/>
    </row>
    <row r="224" spans="1:21" ht="15.6" x14ac:dyDescent="0.3">
      <c r="A224" s="24"/>
      <c r="B224" s="54" t="s">
        <v>100</v>
      </c>
      <c r="C224" s="94"/>
      <c r="D224" s="94"/>
      <c r="E224" s="94"/>
      <c r="F224" s="25"/>
      <c r="G224" s="95"/>
      <c r="H224" s="94"/>
      <c r="I224" s="94"/>
      <c r="J224" s="94"/>
      <c r="K224" s="94"/>
      <c r="L224" s="94"/>
      <c r="M224" s="94"/>
      <c r="N224" s="54">
        <v>45</v>
      </c>
      <c r="O224" s="95">
        <f t="shared" si="1"/>
        <v>7.0676927909533536E-3</v>
      </c>
      <c r="P224" s="53">
        <v>4177</v>
      </c>
      <c r="Q224" s="135">
        <f t="shared" si="2"/>
        <v>5.9525845361059811E-3</v>
      </c>
      <c r="R224" s="80"/>
      <c r="S224" s="89"/>
      <c r="T224" s="5"/>
      <c r="U224" s="110"/>
    </row>
    <row r="225" spans="1:21" ht="15.6" x14ac:dyDescent="0.3">
      <c r="A225" s="24"/>
      <c r="B225" s="54" t="s">
        <v>101</v>
      </c>
      <c r="C225" s="94"/>
      <c r="D225" s="94"/>
      <c r="E225" s="94"/>
      <c r="F225" s="25"/>
      <c r="G225" s="95"/>
      <c r="H225" s="94"/>
      <c r="I225" s="94"/>
      <c r="J225" s="94"/>
      <c r="K225" s="94"/>
      <c r="L225" s="94"/>
      <c r="M225" s="94"/>
      <c r="N225" s="54">
        <v>7</v>
      </c>
      <c r="O225" s="95">
        <f t="shared" si="1"/>
        <v>1.0994188785927439E-3</v>
      </c>
      <c r="P225" s="53">
        <v>595</v>
      </c>
      <c r="Q225" s="135">
        <f t="shared" si="2"/>
        <v>8.4792621474337048E-4</v>
      </c>
      <c r="R225" s="80"/>
      <c r="S225" s="89"/>
      <c r="T225" s="5"/>
    </row>
    <row r="226" spans="1:21" ht="15.6" x14ac:dyDescent="0.3">
      <c r="A226" s="24"/>
      <c r="B226" s="54" t="s">
        <v>210</v>
      </c>
      <c r="C226" s="94"/>
      <c r="D226" s="94"/>
      <c r="E226" s="94"/>
      <c r="F226" s="25"/>
      <c r="G226" s="95"/>
      <c r="H226" s="94"/>
      <c r="I226" s="94"/>
      <c r="J226" s="94"/>
      <c r="K226" s="94"/>
      <c r="L226" s="94"/>
      <c r="M226" s="94"/>
      <c r="N226" s="54">
        <v>2</v>
      </c>
      <c r="O226" s="95">
        <f t="shared" si="1"/>
        <v>3.1411967959792684E-4</v>
      </c>
      <c r="P226" s="53">
        <v>81</v>
      </c>
      <c r="Q226" s="135">
        <f t="shared" si="2"/>
        <v>1.1543197209111431E-4</v>
      </c>
      <c r="R226" s="80"/>
      <c r="S226" s="89"/>
      <c r="T226" s="5"/>
      <c r="U226" s="110"/>
    </row>
    <row r="227" spans="1:21" ht="15.6" x14ac:dyDescent="0.3">
      <c r="A227" s="24"/>
      <c r="B227" s="54" t="s">
        <v>211</v>
      </c>
      <c r="C227" s="94"/>
      <c r="D227" s="94"/>
      <c r="E227" s="94"/>
      <c r="F227" s="25"/>
      <c r="G227" s="95"/>
      <c r="H227" s="94"/>
      <c r="I227" s="94"/>
      <c r="J227" s="94"/>
      <c r="K227" s="94"/>
      <c r="L227" s="94"/>
      <c r="M227" s="94"/>
      <c r="N227" s="54">
        <v>0</v>
      </c>
      <c r="O227" s="95">
        <f t="shared" si="1"/>
        <v>0</v>
      </c>
      <c r="P227" s="53">
        <v>0</v>
      </c>
      <c r="Q227" s="135">
        <f t="shared" si="2"/>
        <v>0</v>
      </c>
      <c r="R227" s="80"/>
      <c r="S227" s="89"/>
      <c r="T227" s="5"/>
    </row>
    <row r="228" spans="1:21" ht="15.6" x14ac:dyDescent="0.3">
      <c r="A228" s="24"/>
      <c r="B228" s="54" t="s">
        <v>212</v>
      </c>
      <c r="C228" s="94"/>
      <c r="D228" s="94"/>
      <c r="E228" s="94"/>
      <c r="F228" s="25"/>
      <c r="G228" s="95"/>
      <c r="H228" s="94"/>
      <c r="I228" s="94"/>
      <c r="J228" s="94"/>
      <c r="K228" s="94"/>
      <c r="L228" s="94"/>
      <c r="M228" s="94"/>
      <c r="N228" s="54">
        <v>0</v>
      </c>
      <c r="O228" s="95">
        <f t="shared" si="1"/>
        <v>0</v>
      </c>
      <c r="P228" s="53">
        <v>0</v>
      </c>
      <c r="Q228" s="135">
        <f t="shared" si="2"/>
        <v>0</v>
      </c>
      <c r="R228" s="80"/>
      <c r="S228" s="89"/>
      <c r="T228" s="5"/>
      <c r="U228" s="110"/>
    </row>
    <row r="229" spans="1:21" ht="15.6" x14ac:dyDescent="0.3">
      <c r="A229" s="24"/>
      <c r="B229" s="54" t="s">
        <v>213</v>
      </c>
      <c r="C229" s="94"/>
      <c r="D229" s="94"/>
      <c r="E229" s="94"/>
      <c r="F229" s="25"/>
      <c r="G229" s="95"/>
      <c r="H229" s="94"/>
      <c r="I229" s="94"/>
      <c r="J229" s="94"/>
      <c r="K229" s="94"/>
      <c r="L229" s="94"/>
      <c r="M229" s="94"/>
      <c r="N229" s="54">
        <v>3</v>
      </c>
      <c r="O229" s="95">
        <f t="shared" si="1"/>
        <v>4.711795193968902E-4</v>
      </c>
      <c r="P229" s="53">
        <v>157</v>
      </c>
      <c r="Q229" s="135">
        <f t="shared" si="2"/>
        <v>2.2373851380623391E-4</v>
      </c>
      <c r="R229" s="80"/>
      <c r="S229" s="89"/>
      <c r="T229" s="5"/>
    </row>
    <row r="230" spans="1:21" ht="15.6" x14ac:dyDescent="0.3">
      <c r="A230" s="24"/>
      <c r="B230" s="54" t="s">
        <v>214</v>
      </c>
      <c r="C230" s="94"/>
      <c r="D230" s="94"/>
      <c r="E230" s="94"/>
      <c r="F230" s="25"/>
      <c r="G230" s="95"/>
      <c r="H230" s="94"/>
      <c r="I230" s="94"/>
      <c r="J230" s="94"/>
      <c r="K230" s="94"/>
      <c r="L230" s="94"/>
      <c r="M230" s="94"/>
      <c r="N230" s="54">
        <v>2</v>
      </c>
      <c r="O230" s="95">
        <f t="shared" si="1"/>
        <v>3.1411967959792684E-4</v>
      </c>
      <c r="P230" s="53">
        <v>101</v>
      </c>
      <c r="Q230" s="135">
        <f t="shared" si="2"/>
        <v>1.4393369359509315E-4</v>
      </c>
      <c r="R230" s="80"/>
      <c r="S230" s="89"/>
      <c r="T230" s="5"/>
      <c r="U230" s="110"/>
    </row>
    <row r="231" spans="1:21" ht="15.6" x14ac:dyDescent="0.3">
      <c r="A231" s="24"/>
      <c r="B231" s="25"/>
      <c r="C231" s="94"/>
      <c r="D231" s="94"/>
      <c r="E231" s="94"/>
      <c r="F231" s="25"/>
      <c r="G231" s="95"/>
      <c r="H231" s="94"/>
      <c r="I231" s="94"/>
      <c r="J231" s="94"/>
      <c r="K231" s="94"/>
      <c r="L231" s="94"/>
      <c r="M231" s="94"/>
      <c r="N231" s="54"/>
      <c r="O231" s="95"/>
      <c r="P231" s="53"/>
      <c r="Q231" s="135"/>
      <c r="R231" s="80"/>
      <c r="S231" s="89"/>
      <c r="T231" s="5"/>
    </row>
    <row r="232" spans="1:21" ht="15.6" x14ac:dyDescent="0.3">
      <c r="A232" s="24"/>
      <c r="B232" s="25" t="s">
        <v>129</v>
      </c>
      <c r="C232" s="25"/>
      <c r="D232" s="25"/>
      <c r="E232" s="25"/>
      <c r="F232" s="25"/>
      <c r="G232" s="25"/>
      <c r="H232" s="96"/>
      <c r="I232" s="96"/>
      <c r="J232" s="96"/>
      <c r="K232" s="96"/>
      <c r="L232" s="96"/>
      <c r="M232" s="96"/>
      <c r="N232" s="34">
        <f>SUM(N223:N231)</f>
        <v>6367</v>
      </c>
      <c r="O232" s="135">
        <f>SUM(O223:O231)</f>
        <v>1</v>
      </c>
      <c r="P232" s="53">
        <f>SUM(P223:P231)</f>
        <v>701712</v>
      </c>
      <c r="Q232" s="135">
        <f>SUM(Q223:Q231)</f>
        <v>1</v>
      </c>
      <c r="R232" s="25"/>
      <c r="S232" s="25"/>
      <c r="T232" s="5"/>
    </row>
    <row r="233" spans="1:21" ht="15.6" x14ac:dyDescent="0.3">
      <c r="A233" s="24"/>
      <c r="B233" s="25"/>
      <c r="C233" s="25"/>
      <c r="D233" s="25"/>
      <c r="E233" s="25"/>
      <c r="F233" s="25"/>
      <c r="G233" s="25"/>
      <c r="H233" s="96"/>
      <c r="I233" s="96"/>
      <c r="J233" s="96"/>
      <c r="K233" s="96"/>
      <c r="L233" s="96"/>
      <c r="M233" s="96"/>
      <c r="N233" s="34"/>
      <c r="O233" s="135"/>
      <c r="P233" s="53"/>
      <c r="Q233" s="135"/>
      <c r="R233" s="25"/>
      <c r="S233" s="25"/>
      <c r="T233" s="5"/>
    </row>
    <row r="234" spans="1:21" ht="15.6" x14ac:dyDescent="0.3">
      <c r="A234" s="144"/>
      <c r="B234" s="14" t="s">
        <v>241</v>
      </c>
      <c r="C234" s="82"/>
      <c r="D234" s="82"/>
      <c r="E234" s="82"/>
      <c r="F234" s="83"/>
      <c r="G234" s="82"/>
      <c r="H234" s="17"/>
      <c r="I234" s="17"/>
      <c r="J234" s="17"/>
      <c r="K234" s="17"/>
      <c r="L234" s="17"/>
      <c r="M234" s="17"/>
      <c r="N234" s="84" t="s">
        <v>113</v>
      </c>
      <c r="O234" s="17" t="s">
        <v>114</v>
      </c>
      <c r="P234" s="84" t="s">
        <v>123</v>
      </c>
      <c r="Q234" s="17" t="s">
        <v>114</v>
      </c>
      <c r="R234" s="142"/>
      <c r="S234" s="143"/>
      <c r="T234" s="5"/>
    </row>
    <row r="235" spans="1:21" ht="15.6" x14ac:dyDescent="0.3">
      <c r="A235" s="24"/>
      <c r="B235" s="54" t="s">
        <v>99</v>
      </c>
      <c r="C235" s="94"/>
      <c r="D235" s="94"/>
      <c r="E235" s="94"/>
      <c r="F235" s="25"/>
      <c r="G235" s="94"/>
      <c r="H235" s="94"/>
      <c r="I235" s="94"/>
      <c r="J235" s="94"/>
      <c r="K235" s="94"/>
      <c r="L235" s="94"/>
      <c r="M235" s="94"/>
      <c r="N235" s="54">
        <v>14</v>
      </c>
      <c r="O235" s="95">
        <f t="shared" ref="O235:O242" si="3">N235/$N$244</f>
        <v>0.4</v>
      </c>
      <c r="P235" s="53">
        <v>457</v>
      </c>
      <c r="Q235" s="135">
        <f t="shared" ref="Q235:Q242" si="4">P235/$P$244</f>
        <v>6.9995405115637926E-2</v>
      </c>
      <c r="R235" s="25"/>
      <c r="S235" s="25"/>
      <c r="T235" s="5"/>
    </row>
    <row r="236" spans="1:21" ht="15.6" x14ac:dyDescent="0.3">
      <c r="A236" s="24"/>
      <c r="B236" s="54" t="s">
        <v>100</v>
      </c>
      <c r="C236" s="94"/>
      <c r="D236" s="94"/>
      <c r="E236" s="94"/>
      <c r="F236" s="25"/>
      <c r="G236" s="95"/>
      <c r="H236" s="94"/>
      <c r="I236" s="94"/>
      <c r="J236" s="94"/>
      <c r="K236" s="94"/>
      <c r="L236" s="94"/>
      <c r="M236" s="94"/>
      <c r="N236" s="54">
        <v>3</v>
      </c>
      <c r="O236" s="95">
        <f t="shared" si="3"/>
        <v>8.5714285714285715E-2</v>
      </c>
      <c r="P236" s="53">
        <v>1957</v>
      </c>
      <c r="Q236" s="135">
        <f t="shared" si="4"/>
        <v>0.29973962321948233</v>
      </c>
      <c r="R236" s="25"/>
      <c r="S236" s="25"/>
      <c r="T236" s="5"/>
    </row>
    <row r="237" spans="1:21" ht="15.6" x14ac:dyDescent="0.3">
      <c r="A237" s="24"/>
      <c r="B237" s="54" t="s">
        <v>101</v>
      </c>
      <c r="C237" s="94"/>
      <c r="D237" s="94"/>
      <c r="E237" s="94"/>
      <c r="F237" s="25"/>
      <c r="G237" s="95"/>
      <c r="H237" s="94"/>
      <c r="I237" s="94"/>
      <c r="J237" s="94"/>
      <c r="K237" s="94"/>
      <c r="L237" s="94"/>
      <c r="M237" s="94"/>
      <c r="N237" s="54">
        <v>5</v>
      </c>
      <c r="O237" s="95">
        <f t="shared" si="3"/>
        <v>0.14285714285714285</v>
      </c>
      <c r="P237" s="53">
        <v>1015</v>
      </c>
      <c r="Q237" s="135">
        <f t="shared" si="4"/>
        <v>0.15546025425026805</v>
      </c>
      <c r="R237" s="25"/>
      <c r="S237" s="25"/>
      <c r="T237" s="5"/>
    </row>
    <row r="238" spans="1:21" ht="15.6" x14ac:dyDescent="0.3">
      <c r="A238" s="24"/>
      <c r="B238" s="54" t="s">
        <v>210</v>
      </c>
      <c r="C238" s="94"/>
      <c r="D238" s="94"/>
      <c r="E238" s="94"/>
      <c r="F238" s="25"/>
      <c r="G238" s="95"/>
      <c r="H238" s="94"/>
      <c r="I238" s="94"/>
      <c r="J238" s="94"/>
      <c r="K238" s="94"/>
      <c r="L238" s="94"/>
      <c r="M238" s="94"/>
      <c r="N238" s="54">
        <v>2</v>
      </c>
      <c r="O238" s="95">
        <f t="shared" si="3"/>
        <v>5.7142857142857141E-2</v>
      </c>
      <c r="P238" s="53">
        <v>494</v>
      </c>
      <c r="Q238" s="135">
        <f t="shared" si="4"/>
        <v>7.5662429162199424E-2</v>
      </c>
      <c r="R238" s="25"/>
      <c r="S238" s="25"/>
      <c r="T238" s="5"/>
    </row>
    <row r="239" spans="1:21" ht="15.6" x14ac:dyDescent="0.3">
      <c r="A239" s="24"/>
      <c r="B239" s="54" t="s">
        <v>211</v>
      </c>
      <c r="C239" s="94"/>
      <c r="D239" s="94"/>
      <c r="E239" s="94"/>
      <c r="F239" s="25"/>
      <c r="G239" s="95"/>
      <c r="H239" s="94"/>
      <c r="I239" s="94"/>
      <c r="J239" s="94"/>
      <c r="K239" s="94"/>
      <c r="L239" s="94"/>
      <c r="M239" s="94"/>
      <c r="N239" s="54">
        <v>4</v>
      </c>
      <c r="O239" s="95">
        <f t="shared" si="3"/>
        <v>0.11428571428571428</v>
      </c>
      <c r="P239" s="53">
        <v>683</v>
      </c>
      <c r="Q239" s="135">
        <f t="shared" si="4"/>
        <v>0.10461020064328382</v>
      </c>
      <c r="R239" s="25"/>
      <c r="S239" s="25"/>
      <c r="T239" s="5"/>
    </row>
    <row r="240" spans="1:21" ht="15.6" x14ac:dyDescent="0.3">
      <c r="A240" s="24"/>
      <c r="B240" s="54" t="s">
        <v>212</v>
      </c>
      <c r="C240" s="94"/>
      <c r="D240" s="94"/>
      <c r="E240" s="94"/>
      <c r="F240" s="25"/>
      <c r="G240" s="95"/>
      <c r="H240" s="94"/>
      <c r="I240" s="94"/>
      <c r="J240" s="94"/>
      <c r="K240" s="94"/>
      <c r="L240" s="94"/>
      <c r="M240" s="94"/>
      <c r="N240" s="54">
        <v>2</v>
      </c>
      <c r="O240" s="95">
        <f t="shared" si="3"/>
        <v>5.7142857142857141E-2</v>
      </c>
      <c r="P240" s="53">
        <v>454</v>
      </c>
      <c r="Q240" s="135">
        <f t="shared" si="4"/>
        <v>6.9535916679430237E-2</v>
      </c>
      <c r="R240" s="25"/>
      <c r="S240" s="25"/>
      <c r="T240" s="5"/>
    </row>
    <row r="241" spans="1:20" ht="15.6" x14ac:dyDescent="0.3">
      <c r="A241" s="24"/>
      <c r="B241" s="54" t="s">
        <v>213</v>
      </c>
      <c r="C241" s="94"/>
      <c r="D241" s="94"/>
      <c r="E241" s="94"/>
      <c r="F241" s="25"/>
      <c r="G241" s="95"/>
      <c r="H241" s="94"/>
      <c r="I241" s="94"/>
      <c r="J241" s="94"/>
      <c r="K241" s="94"/>
      <c r="L241" s="94"/>
      <c r="M241" s="94"/>
      <c r="N241" s="54">
        <v>3</v>
      </c>
      <c r="O241" s="95">
        <f t="shared" si="3"/>
        <v>8.5714285714285715E-2</v>
      </c>
      <c r="P241" s="53">
        <v>724</v>
      </c>
      <c r="Q241" s="135">
        <f t="shared" si="4"/>
        <v>0.11088987593812222</v>
      </c>
      <c r="R241" s="25"/>
      <c r="S241" s="25"/>
      <c r="T241" s="5"/>
    </row>
    <row r="242" spans="1:20" ht="15.6" x14ac:dyDescent="0.3">
      <c r="A242" s="24"/>
      <c r="B242" s="54" t="s">
        <v>214</v>
      </c>
      <c r="C242" s="94"/>
      <c r="D242" s="94"/>
      <c r="E242" s="94"/>
      <c r="F242" s="25"/>
      <c r="G242" s="95"/>
      <c r="H242" s="94"/>
      <c r="I242" s="94"/>
      <c r="J242" s="94"/>
      <c r="K242" s="94"/>
      <c r="L242" s="94"/>
      <c r="M242" s="94"/>
      <c r="N242" s="54">
        <v>2</v>
      </c>
      <c r="O242" s="95">
        <f t="shared" si="3"/>
        <v>5.7142857142857141E-2</v>
      </c>
      <c r="P242" s="53">
        <v>745</v>
      </c>
      <c r="Q242" s="135">
        <f t="shared" si="4"/>
        <v>0.11410629499157604</v>
      </c>
      <c r="R242" s="25"/>
      <c r="S242" s="25"/>
      <c r="T242" s="5"/>
    </row>
    <row r="243" spans="1:20" ht="15.6" x14ac:dyDescent="0.3">
      <c r="A243" s="24"/>
      <c r="B243" s="25"/>
      <c r="C243" s="94"/>
      <c r="D243" s="94"/>
      <c r="E243" s="94"/>
      <c r="F243" s="25"/>
      <c r="G243" s="95"/>
      <c r="H243" s="94"/>
      <c r="I243" s="94"/>
      <c r="J243" s="94"/>
      <c r="K243" s="94"/>
      <c r="L243" s="94"/>
      <c r="M243" s="94"/>
      <c r="N243" s="54"/>
      <c r="O243" s="95"/>
      <c r="P243" s="53"/>
      <c r="Q243" s="135"/>
      <c r="R243" s="25"/>
      <c r="S243" s="25"/>
      <c r="T243" s="5"/>
    </row>
    <row r="244" spans="1:20" ht="15.6" x14ac:dyDescent="0.3">
      <c r="A244" s="24"/>
      <c r="B244" s="25" t="s">
        <v>129</v>
      </c>
      <c r="C244" s="25"/>
      <c r="D244" s="25"/>
      <c r="E244" s="25"/>
      <c r="F244" s="25"/>
      <c r="G244" s="25"/>
      <c r="H244" s="96"/>
      <c r="I244" s="96"/>
      <c r="J244" s="96"/>
      <c r="K244" s="96"/>
      <c r="L244" s="96"/>
      <c r="M244" s="96"/>
      <c r="N244" s="34">
        <f>SUM(N235:N243)</f>
        <v>35</v>
      </c>
      <c r="O244" s="135">
        <f>SUM(O235:O243)</f>
        <v>1</v>
      </c>
      <c r="P244" s="53">
        <f>SUM(P235:P243)</f>
        <v>6529</v>
      </c>
      <c r="Q244" s="135">
        <f>SUM(Q235:Q243)</f>
        <v>1.0000000000000002</v>
      </c>
      <c r="R244" s="25"/>
      <c r="S244" s="25"/>
      <c r="T244" s="5"/>
    </row>
    <row r="245" spans="1:20" ht="15.6" x14ac:dyDescent="0.3">
      <c r="A245" s="24"/>
      <c r="B245" s="25"/>
      <c r="C245" s="25"/>
      <c r="D245" s="25"/>
      <c r="E245" s="25"/>
      <c r="F245" s="25"/>
      <c r="G245" s="25"/>
      <c r="H245" s="96"/>
      <c r="I245" s="96"/>
      <c r="J245" s="96"/>
      <c r="K245" s="96"/>
      <c r="L245" s="96"/>
      <c r="M245" s="96"/>
      <c r="N245" s="34"/>
      <c r="O245" s="135"/>
      <c r="P245" s="53"/>
      <c r="Q245" s="135"/>
      <c r="R245" s="25"/>
      <c r="S245" s="25"/>
      <c r="T245" s="5"/>
    </row>
    <row r="246" spans="1:20" s="153" customFormat="1" ht="15.6" x14ac:dyDescent="0.3">
      <c r="A246" s="144"/>
      <c r="B246" s="14" t="s">
        <v>239</v>
      </c>
      <c r="C246" s="151"/>
      <c r="D246" s="151"/>
      <c r="E246" s="151"/>
      <c r="F246" s="151"/>
      <c r="G246" s="151"/>
      <c r="H246" s="152"/>
      <c r="I246" s="152"/>
      <c r="J246" s="152"/>
      <c r="K246" s="152"/>
      <c r="L246" s="152"/>
      <c r="M246" s="152"/>
      <c r="N246" s="84" t="s">
        <v>113</v>
      </c>
      <c r="O246" s="17" t="s">
        <v>114</v>
      </c>
      <c r="P246" s="84" t="s">
        <v>123</v>
      </c>
      <c r="Q246" s="17" t="s">
        <v>114</v>
      </c>
      <c r="R246" s="151"/>
      <c r="S246" s="151"/>
      <c r="T246" s="5"/>
    </row>
    <row r="247" spans="1:20" s="153" customFormat="1" ht="15.6" x14ac:dyDescent="0.3">
      <c r="A247" s="24"/>
      <c r="B247" s="54" t="s">
        <v>99</v>
      </c>
      <c r="C247" s="161"/>
      <c r="D247" s="161"/>
      <c r="E247" s="161"/>
      <c r="F247" s="161"/>
      <c r="G247" s="161"/>
      <c r="H247" s="162"/>
      <c r="I247" s="162"/>
      <c r="J247" s="162"/>
      <c r="K247" s="162"/>
      <c r="L247" s="162"/>
      <c r="M247" s="162"/>
      <c r="N247" s="54">
        <v>0</v>
      </c>
      <c r="O247" s="95">
        <f>N247/$N$256</f>
        <v>0</v>
      </c>
      <c r="P247" s="53">
        <v>0</v>
      </c>
      <c r="Q247" s="135">
        <f>P247/$P$256</f>
        <v>0</v>
      </c>
      <c r="R247" s="155"/>
      <c r="S247" s="160"/>
      <c r="T247" s="5"/>
    </row>
    <row r="248" spans="1:20" s="153" customFormat="1" ht="15.6" x14ac:dyDescent="0.3">
      <c r="A248" s="24"/>
      <c r="B248" s="54" t="s">
        <v>100</v>
      </c>
      <c r="C248" s="161"/>
      <c r="D248" s="161"/>
      <c r="E248" s="161"/>
      <c r="F248" s="161"/>
      <c r="G248" s="161"/>
      <c r="H248" s="162"/>
      <c r="I248" s="162"/>
      <c r="J248" s="162"/>
      <c r="K248" s="162"/>
      <c r="L248" s="162"/>
      <c r="M248" s="162"/>
      <c r="N248" s="54">
        <v>0</v>
      </c>
      <c r="O248" s="95">
        <f t="shared" ref="O248:O254" si="5">N248/$N$256</f>
        <v>0</v>
      </c>
      <c r="P248" s="53">
        <v>0</v>
      </c>
      <c r="Q248" s="135">
        <f t="shared" ref="Q248:Q254" si="6">P248/$P$256</f>
        <v>0</v>
      </c>
      <c r="R248" s="135"/>
      <c r="S248" s="160"/>
      <c r="T248" s="5"/>
    </row>
    <row r="249" spans="1:20" s="153" customFormat="1" ht="15.6" x14ac:dyDescent="0.3">
      <c r="A249" s="24"/>
      <c r="B249" s="54" t="s">
        <v>101</v>
      </c>
      <c r="C249" s="161"/>
      <c r="D249" s="161"/>
      <c r="E249" s="161"/>
      <c r="F249" s="161"/>
      <c r="G249" s="161"/>
      <c r="H249" s="162"/>
      <c r="I249" s="162"/>
      <c r="J249" s="162"/>
      <c r="K249" s="162"/>
      <c r="L249" s="162"/>
      <c r="M249" s="162"/>
      <c r="N249" s="54">
        <v>0</v>
      </c>
      <c r="O249" s="95">
        <f t="shared" si="5"/>
        <v>0</v>
      </c>
      <c r="P249" s="53">
        <v>0</v>
      </c>
      <c r="Q249" s="135">
        <f t="shared" si="6"/>
        <v>0</v>
      </c>
      <c r="R249" s="155"/>
      <c r="S249" s="160"/>
      <c r="T249" s="5"/>
    </row>
    <row r="250" spans="1:20" s="153" customFormat="1" ht="15.6" x14ac:dyDescent="0.3">
      <c r="A250" s="24"/>
      <c r="B250" s="54" t="s">
        <v>210</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t="s">
        <v>211</v>
      </c>
      <c r="C251" s="161"/>
      <c r="D251" s="161"/>
      <c r="E251" s="161"/>
      <c r="F251" s="161"/>
      <c r="G251" s="161"/>
      <c r="H251" s="162"/>
      <c r="I251" s="162"/>
      <c r="J251" s="162"/>
      <c r="K251" s="162"/>
      <c r="L251" s="162"/>
      <c r="M251" s="162"/>
      <c r="N251" s="54">
        <v>0</v>
      </c>
      <c r="O251" s="95">
        <f t="shared" si="5"/>
        <v>0</v>
      </c>
      <c r="P251" s="53">
        <v>0</v>
      </c>
      <c r="Q251" s="135">
        <f t="shared" si="6"/>
        <v>0</v>
      </c>
      <c r="R251" s="155"/>
      <c r="S251" s="160"/>
      <c r="T251" s="5"/>
    </row>
    <row r="252" spans="1:20" s="153" customFormat="1" ht="15.6" x14ac:dyDescent="0.3">
      <c r="A252" s="24"/>
      <c r="B252" s="54" t="s">
        <v>212</v>
      </c>
      <c r="C252" s="161"/>
      <c r="D252" s="161"/>
      <c r="E252" s="161"/>
      <c r="F252" s="161"/>
      <c r="G252" s="161"/>
      <c r="H252" s="162"/>
      <c r="I252" s="162"/>
      <c r="J252" s="162"/>
      <c r="K252" s="162"/>
      <c r="L252" s="162"/>
      <c r="M252" s="162"/>
      <c r="N252" s="54">
        <v>0</v>
      </c>
      <c r="O252" s="95">
        <f t="shared" si="5"/>
        <v>0</v>
      </c>
      <c r="P252" s="53">
        <v>0</v>
      </c>
      <c r="Q252" s="135">
        <f t="shared" si="6"/>
        <v>0</v>
      </c>
      <c r="R252" s="155"/>
      <c r="S252" s="160"/>
      <c r="T252" s="5"/>
    </row>
    <row r="253" spans="1:20" s="153" customFormat="1" ht="15.6" x14ac:dyDescent="0.3">
      <c r="A253" s="24"/>
      <c r="B253" s="54" t="s">
        <v>213</v>
      </c>
      <c r="C253" s="161"/>
      <c r="D253" s="161"/>
      <c r="E253" s="161"/>
      <c r="F253" s="161"/>
      <c r="G253" s="161"/>
      <c r="H253" s="162"/>
      <c r="I253" s="162"/>
      <c r="J253" s="162"/>
      <c r="K253" s="162"/>
      <c r="L253" s="162"/>
      <c r="M253" s="162"/>
      <c r="N253" s="54">
        <v>0</v>
      </c>
      <c r="O253" s="95">
        <f t="shared" si="5"/>
        <v>0</v>
      </c>
      <c r="P253" s="53">
        <v>0</v>
      </c>
      <c r="Q253" s="135">
        <f t="shared" si="6"/>
        <v>0</v>
      </c>
      <c r="R253" s="155"/>
      <c r="S253" s="160"/>
      <c r="T253" s="5"/>
    </row>
    <row r="254" spans="1:20" s="153" customFormat="1" ht="15.6" x14ac:dyDescent="0.3">
      <c r="A254" s="24"/>
      <c r="B254" s="54" t="s">
        <v>214</v>
      </c>
      <c r="C254" s="161"/>
      <c r="D254" s="161"/>
      <c r="E254" s="161"/>
      <c r="F254" s="161"/>
      <c r="G254" s="161"/>
      <c r="H254" s="162"/>
      <c r="I254" s="162"/>
      <c r="J254" s="162"/>
      <c r="K254" s="162"/>
      <c r="L254" s="162"/>
      <c r="M254" s="162"/>
      <c r="N254" s="54">
        <v>1</v>
      </c>
      <c r="O254" s="95">
        <f t="shared" si="5"/>
        <v>1</v>
      </c>
      <c r="P254" s="53">
        <v>36</v>
      </c>
      <c r="Q254" s="135">
        <f t="shared" si="6"/>
        <v>1</v>
      </c>
      <c r="R254" s="155"/>
      <c r="S254" s="160"/>
      <c r="T254" s="5"/>
    </row>
    <row r="255" spans="1:20" s="153" customFormat="1" ht="15.6" x14ac:dyDescent="0.3">
      <c r="A255" s="24"/>
      <c r="B255" s="54"/>
      <c r="C255" s="161"/>
      <c r="D255" s="161"/>
      <c r="E255" s="161"/>
      <c r="F255" s="161"/>
      <c r="G255" s="161"/>
      <c r="H255" s="162"/>
      <c r="I255" s="162"/>
      <c r="J255" s="162"/>
      <c r="K255" s="162"/>
      <c r="L255" s="162"/>
      <c r="M255" s="162"/>
      <c r="N255" s="54"/>
      <c r="O255" s="95"/>
      <c r="P255" s="53"/>
      <c r="Q255" s="135"/>
      <c r="R255" s="155"/>
      <c r="S255" s="160"/>
      <c r="T255" s="5"/>
    </row>
    <row r="256" spans="1:20" ht="15.6" x14ac:dyDescent="0.3">
      <c r="A256" s="24"/>
      <c r="B256" s="25" t="s">
        <v>129</v>
      </c>
      <c r="C256" s="161"/>
      <c r="D256" s="161"/>
      <c r="E256" s="161"/>
      <c r="F256" s="161"/>
      <c r="G256" s="161"/>
      <c r="H256" s="162"/>
      <c r="I256" s="162"/>
      <c r="J256" s="162"/>
      <c r="K256" s="162"/>
      <c r="L256" s="162"/>
      <c r="M256" s="162"/>
      <c r="N256" s="34">
        <f>SUM(N247:N254)</f>
        <v>1</v>
      </c>
      <c r="O256" s="95">
        <f>SUM(O247:O254)</f>
        <v>1</v>
      </c>
      <c r="P256" s="53">
        <f>SUM(P247:P254)</f>
        <v>36</v>
      </c>
      <c r="Q256" s="135">
        <f>SUM(Q247:Q254)</f>
        <v>1</v>
      </c>
      <c r="R256" s="155"/>
      <c r="S256" s="160"/>
      <c r="T256" s="5"/>
    </row>
    <row r="257" spans="1:20" ht="15.6" x14ac:dyDescent="0.3">
      <c r="A257" s="24"/>
      <c r="B257" s="25"/>
      <c r="C257" s="151"/>
      <c r="D257" s="151"/>
      <c r="E257" s="151"/>
      <c r="F257" s="151"/>
      <c r="G257" s="151"/>
      <c r="H257" s="152"/>
      <c r="I257" s="152"/>
      <c r="J257" s="152"/>
      <c r="K257" s="152"/>
      <c r="L257" s="152"/>
      <c r="M257" s="152"/>
      <c r="N257" s="34"/>
      <c r="O257" s="135"/>
      <c r="P257" s="53"/>
      <c r="Q257" s="135"/>
      <c r="R257" s="151"/>
      <c r="S257" s="151"/>
      <c r="T257" s="5"/>
    </row>
    <row r="258" spans="1:20" ht="15.6" x14ac:dyDescent="0.3">
      <c r="A258" s="24"/>
      <c r="B258" s="154" t="s">
        <v>240</v>
      </c>
      <c r="C258" s="155"/>
      <c r="D258" s="155"/>
      <c r="E258" s="155"/>
      <c r="F258" s="155"/>
      <c r="G258" s="155"/>
      <c r="H258" s="156"/>
      <c r="I258" s="156"/>
      <c r="J258" s="156"/>
      <c r="K258" s="156"/>
      <c r="L258" s="156"/>
      <c r="M258" s="156"/>
      <c r="N258" s="173">
        <f>+N232+N244+N256</f>
        <v>6403</v>
      </c>
      <c r="O258" s="158"/>
      <c r="P258" s="159">
        <f>+P256+P244+P232</f>
        <v>708277</v>
      </c>
      <c r="Q258" s="158"/>
      <c r="R258" s="155"/>
      <c r="S258" s="160"/>
      <c r="T258" s="5"/>
    </row>
    <row r="259" spans="1:20" ht="15.6" x14ac:dyDescent="0.3">
      <c r="A259" s="24"/>
      <c r="B259" s="154"/>
      <c r="C259" s="8"/>
      <c r="D259" s="8"/>
      <c r="E259" s="8"/>
      <c r="F259" s="8"/>
      <c r="G259" s="8"/>
      <c r="H259" s="97"/>
      <c r="I259" s="97"/>
      <c r="J259" s="97"/>
      <c r="K259" s="97"/>
      <c r="L259" s="97"/>
      <c r="M259" s="97"/>
      <c r="N259" s="97"/>
      <c r="O259" s="97"/>
      <c r="P259" s="98"/>
      <c r="Q259" s="97"/>
      <c r="R259" s="8"/>
      <c r="S259" s="8"/>
      <c r="T259" s="5"/>
    </row>
    <row r="260" spans="1:20" ht="15.6" x14ac:dyDescent="0.3">
      <c r="A260" s="150"/>
      <c r="B260" s="14" t="s">
        <v>102</v>
      </c>
      <c r="C260" s="15"/>
      <c r="D260" s="15"/>
      <c r="E260" s="15"/>
      <c r="F260" s="17" t="s">
        <v>108</v>
      </c>
      <c r="G260" s="15"/>
      <c r="H260" s="14" t="s">
        <v>110</v>
      </c>
      <c r="I260" s="145"/>
      <c r="J260" s="145"/>
      <c r="K260" s="145"/>
      <c r="L260" s="145"/>
      <c r="M260" s="145"/>
      <c r="N260" s="145"/>
      <c r="O260" s="145"/>
      <c r="P260" s="145"/>
      <c r="Q260" s="145"/>
      <c r="R260" s="145"/>
      <c r="S260" s="145"/>
      <c r="T260" s="5"/>
    </row>
    <row r="261" spans="1:20" ht="15.6" x14ac:dyDescent="0.3">
      <c r="A261" s="150"/>
      <c r="B261" s="145"/>
      <c r="C261" s="8"/>
      <c r="D261" s="8"/>
      <c r="E261" s="8"/>
      <c r="F261" s="8"/>
      <c r="G261" s="8"/>
      <c r="H261" s="8"/>
      <c r="I261" s="145"/>
      <c r="J261" s="145"/>
      <c r="K261" s="145"/>
      <c r="L261" s="145"/>
      <c r="M261" s="145"/>
      <c r="N261" s="145"/>
      <c r="O261" s="145"/>
      <c r="P261" s="145"/>
      <c r="Q261" s="145"/>
      <c r="R261" s="145"/>
      <c r="S261" s="145"/>
      <c r="T261" s="5"/>
    </row>
    <row r="262" spans="1:20" ht="15.6" x14ac:dyDescent="0.3">
      <c r="A262" s="150"/>
      <c r="B262" s="13" t="s">
        <v>103</v>
      </c>
      <c r="C262" s="13"/>
      <c r="D262" s="13"/>
      <c r="E262" s="13"/>
      <c r="F262" s="133" t="s">
        <v>172</v>
      </c>
      <c r="G262" s="13"/>
      <c r="H262" s="13" t="s">
        <v>200</v>
      </c>
      <c r="I262" s="145"/>
      <c r="J262" s="145"/>
      <c r="K262" s="145"/>
      <c r="L262" s="145"/>
      <c r="M262" s="145"/>
      <c r="N262" s="145"/>
      <c r="O262" s="145"/>
      <c r="P262" s="145"/>
      <c r="Q262" s="145"/>
      <c r="R262" s="145"/>
      <c r="S262" s="145"/>
      <c r="T262" s="5"/>
    </row>
    <row r="263" spans="1:20" ht="15.6" x14ac:dyDescent="0.3">
      <c r="A263" s="150"/>
      <c r="B263" s="13" t="s">
        <v>271</v>
      </c>
      <c r="C263" s="13"/>
      <c r="D263" s="13"/>
      <c r="E263" s="13"/>
      <c r="F263" s="133" t="s">
        <v>272</v>
      </c>
      <c r="G263" s="13"/>
      <c r="H263" s="13" t="s">
        <v>273</v>
      </c>
      <c r="I263" s="145"/>
      <c r="J263" s="145"/>
      <c r="K263" s="145"/>
      <c r="L263" s="145"/>
      <c r="M263" s="145"/>
      <c r="N263" s="145"/>
      <c r="O263" s="145"/>
      <c r="P263" s="145"/>
      <c r="Q263" s="145"/>
      <c r="R263" s="145"/>
      <c r="S263" s="145"/>
      <c r="T263" s="5"/>
    </row>
    <row r="264" spans="1:20" ht="15.6" x14ac:dyDescent="0.3">
      <c r="A264" s="150"/>
      <c r="B264" s="13" t="s">
        <v>104</v>
      </c>
      <c r="C264" s="13"/>
      <c r="D264" s="13"/>
      <c r="E264" s="13"/>
      <c r="F264" s="133" t="s">
        <v>171</v>
      </c>
      <c r="G264" s="13"/>
      <c r="H264" s="13" t="s">
        <v>201</v>
      </c>
      <c r="I264" s="145"/>
      <c r="J264" s="145"/>
      <c r="K264" s="145"/>
      <c r="L264" s="145"/>
      <c r="M264" s="145"/>
      <c r="N264" s="145"/>
      <c r="O264" s="145"/>
      <c r="P264" s="145"/>
      <c r="Q264" s="145"/>
      <c r="R264" s="145"/>
      <c r="S264" s="145"/>
      <c r="T264" s="5"/>
    </row>
    <row r="265" spans="1:20" ht="15.6" x14ac:dyDescent="0.3">
      <c r="A265" s="150"/>
      <c r="B265" s="13"/>
      <c r="C265" s="13"/>
      <c r="D265" s="13"/>
      <c r="E265" s="13"/>
      <c r="F265" s="13"/>
      <c r="G265" s="100"/>
      <c r="H265" s="145"/>
      <c r="I265" s="145"/>
      <c r="J265" s="145"/>
      <c r="K265" s="145"/>
      <c r="L265" s="145"/>
      <c r="M265" s="145"/>
      <c r="N265" s="145"/>
      <c r="O265" s="145"/>
      <c r="P265" s="145"/>
      <c r="Q265" s="145"/>
      <c r="R265" s="145"/>
      <c r="S265" s="145"/>
      <c r="T265" s="5"/>
    </row>
    <row r="266" spans="1:20" ht="18" thickBot="1" x14ac:dyDescent="0.35">
      <c r="A266" s="150"/>
      <c r="B266" s="49" t="str">
        <f>B187</f>
        <v>PM8 INVESTOR REPORT QUARTER ENDING JUNE 2007</v>
      </c>
      <c r="C266" s="13"/>
      <c r="D266" s="13"/>
      <c r="E266" s="13"/>
      <c r="F266" s="13"/>
      <c r="G266" s="100"/>
      <c r="H266" s="145"/>
      <c r="I266" s="145"/>
      <c r="J266" s="145"/>
      <c r="K266" s="145"/>
      <c r="L266" s="145"/>
      <c r="M266" s="145"/>
      <c r="N266" s="145"/>
      <c r="O266" s="145"/>
      <c r="P266" s="145"/>
      <c r="Q266" s="145"/>
      <c r="R266" s="145"/>
      <c r="S266" s="145"/>
      <c r="T266" s="5"/>
    </row>
    <row r="267" spans="1:20" x14ac:dyDescent="0.25">
      <c r="A267" s="101"/>
      <c r="B267" s="101"/>
      <c r="C267" s="101"/>
      <c r="D267" s="101"/>
      <c r="E267" s="101"/>
      <c r="F267" s="101"/>
      <c r="G267" s="101"/>
      <c r="H267" s="101"/>
      <c r="I267" s="101"/>
      <c r="J267" s="101"/>
      <c r="K267" s="101"/>
      <c r="L267" s="101"/>
      <c r="M267" s="101"/>
      <c r="N267" s="101"/>
      <c r="O267" s="101"/>
      <c r="P267" s="101"/>
      <c r="Q267" s="101"/>
      <c r="R267" s="101"/>
      <c r="S267" s="101"/>
    </row>
  </sheetData>
  <phoneticPr fontId="0" type="noConversion"/>
  <hyperlinks>
    <hyperlink ref="J220"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1" max="14" man="1"/>
    <brk id="187"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7"/>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0.86270000000000002</v>
      </c>
      <c r="P16" s="17" t="s">
        <v>161</v>
      </c>
      <c r="Q16" s="140">
        <v>0.13730000000000001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39374</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299232.81599999999</v>
      </c>
      <c r="I31" s="31"/>
      <c r="J31" s="125">
        <f>J30*J37</f>
        <v>444434.31360000005</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270408.05900000001</v>
      </c>
      <c r="I32" s="36"/>
      <c r="J32" s="126">
        <f>J36*J30</f>
        <v>401622.46140000003</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299232.81599999999</v>
      </c>
      <c r="I34" s="31"/>
      <c r="J34" s="31">
        <f>J33*J37</f>
        <v>309043.728</v>
      </c>
      <c r="K34" s="31"/>
      <c r="L34" s="31">
        <v>65000</v>
      </c>
      <c r="M34" s="31"/>
      <c r="N34" s="31">
        <v>35000</v>
      </c>
      <c r="O34" s="31"/>
      <c r="P34" s="31"/>
      <c r="Q34" s="147"/>
      <c r="R34" s="31">
        <f>SUM(C34:N34)</f>
        <v>708276.54399999999</v>
      </c>
      <c r="S34" s="34"/>
      <c r="T34" s="5"/>
    </row>
    <row r="35" spans="1:20" ht="15.6" x14ac:dyDescent="0.3">
      <c r="A35" s="28"/>
      <c r="B35" s="29" t="s">
        <v>287</v>
      </c>
      <c r="C35" s="36"/>
      <c r="D35" s="35">
        <f>D36*D33</f>
        <v>0</v>
      </c>
      <c r="E35" s="36"/>
      <c r="F35" s="35">
        <f>F36*F33</f>
        <v>0</v>
      </c>
      <c r="G35" s="35"/>
      <c r="H35" s="35">
        <f>H36*H33</f>
        <v>270408.05900000001</v>
      </c>
      <c r="I35" s="36"/>
      <c r="J35" s="35">
        <f>J36*J33</f>
        <v>279273.897</v>
      </c>
      <c r="K35" s="35"/>
      <c r="L35" s="35">
        <v>65000</v>
      </c>
      <c r="M35" s="35"/>
      <c r="N35" s="35">
        <v>35000</v>
      </c>
      <c r="O35" s="35"/>
      <c r="P35" s="35"/>
      <c r="Q35" s="37"/>
      <c r="R35" s="35">
        <f>SUM(C35:N35)</f>
        <v>649681.95600000001</v>
      </c>
      <c r="S35" s="34"/>
      <c r="T35" s="5"/>
    </row>
    <row r="36" spans="1:20" ht="15.6" x14ac:dyDescent="0.3">
      <c r="A36" s="28"/>
      <c r="B36" s="123" t="s">
        <v>149</v>
      </c>
      <c r="C36" s="127"/>
      <c r="D36" s="172">
        <v>0</v>
      </c>
      <c r="E36" s="139"/>
      <c r="F36" s="172">
        <v>0</v>
      </c>
      <c r="G36" s="138"/>
      <c r="H36" s="172">
        <v>0.88658380000000003</v>
      </c>
      <c r="I36" s="138"/>
      <c r="J36" s="172">
        <v>0.88658380000000003</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0.98109120000000005</v>
      </c>
      <c r="I37" s="138"/>
      <c r="J37" s="172">
        <v>0.98109120000000005</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6.2E-2</v>
      </c>
      <c r="I39" s="39"/>
      <c r="J39" s="38">
        <v>4.3889999999999998E-2</v>
      </c>
      <c r="K39" s="39"/>
      <c r="L39" s="38">
        <v>6.6600000000000006E-2</v>
      </c>
      <c r="M39" s="39"/>
      <c r="N39" s="38">
        <v>4.8090000000000001E-2</v>
      </c>
      <c r="O39" s="39"/>
      <c r="P39" s="38"/>
      <c r="Q39" s="146"/>
      <c r="R39" s="39"/>
      <c r="S39" s="25"/>
      <c r="T39" s="5"/>
    </row>
    <row r="40" spans="1:20" ht="15.6" x14ac:dyDescent="0.3">
      <c r="A40" s="24"/>
      <c r="B40" s="25" t="s">
        <v>14</v>
      </c>
      <c r="C40" s="25"/>
      <c r="D40" s="38">
        <v>5.7099999999999998E-2</v>
      </c>
      <c r="E40" s="25"/>
      <c r="F40" s="38">
        <v>4.0779999999999997E-2</v>
      </c>
      <c r="G40" s="39"/>
      <c r="H40" s="38">
        <v>5.79E-2</v>
      </c>
      <c r="I40" s="39"/>
      <c r="J40" s="38">
        <v>4.1480000000000003E-2</v>
      </c>
      <c r="K40" s="39"/>
      <c r="L40" s="38">
        <v>6.25E-2</v>
      </c>
      <c r="M40" s="39"/>
      <c r="N40" s="38">
        <v>4.5679999999999998E-2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6.2E-2</v>
      </c>
      <c r="I42" s="39"/>
      <c r="J42" s="38">
        <v>6.2398000000000002E-2</v>
      </c>
      <c r="K42" s="39"/>
      <c r="L42" s="38">
        <f>+L39</f>
        <v>6.6600000000000006E-2</v>
      </c>
      <c r="M42" s="39"/>
      <c r="N42" s="38">
        <v>6.6976999999999995E-2</v>
      </c>
      <c r="O42" s="39"/>
      <c r="P42" s="38"/>
      <c r="Q42" s="146"/>
      <c r="R42" s="39">
        <f>SUMPRODUCT(D42:N42,D34:N34)/R34</f>
        <v>6.2841753703118522E-2</v>
      </c>
      <c r="S42" s="25"/>
      <c r="T42" s="5"/>
    </row>
    <row r="43" spans="1:20" ht="15.6" x14ac:dyDescent="0.3">
      <c r="A43" s="24"/>
      <c r="B43" s="25" t="s">
        <v>290</v>
      </c>
      <c r="C43" s="25"/>
      <c r="D43" s="38">
        <f>+D40</f>
        <v>5.7099999999999998E-2</v>
      </c>
      <c r="E43" s="25"/>
      <c r="F43" s="38">
        <v>5.7313000000000003E-2</v>
      </c>
      <c r="G43" s="39"/>
      <c r="H43" s="38">
        <f>+H40</f>
        <v>5.79E-2</v>
      </c>
      <c r="I43" s="39"/>
      <c r="J43" s="38">
        <v>5.8298000000000003E-2</v>
      </c>
      <c r="K43" s="39"/>
      <c r="L43" s="38">
        <f>+L40</f>
        <v>6.25E-2</v>
      </c>
      <c r="M43" s="39"/>
      <c r="N43" s="38">
        <v>6.2877000000000002E-2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0.18192338116334311</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39370</v>
      </c>
      <c r="S54" s="25"/>
      <c r="T54" s="5"/>
    </row>
    <row r="55" spans="1:21" ht="15.6" x14ac:dyDescent="0.3">
      <c r="A55" s="24"/>
      <c r="B55" s="25" t="s">
        <v>140</v>
      </c>
      <c r="C55" s="25"/>
      <c r="D55" s="25"/>
      <c r="E55" s="25"/>
      <c r="F55" s="25"/>
      <c r="G55" s="25"/>
      <c r="H55" s="58"/>
      <c r="I55" s="58"/>
      <c r="J55" s="58"/>
      <c r="K55" s="58"/>
      <c r="L55" s="58"/>
      <c r="M55" s="58"/>
      <c r="N55" s="25">
        <f>+R55-P55+1</f>
        <v>91</v>
      </c>
      <c r="O55" s="58"/>
      <c r="P55" s="45">
        <v>39188</v>
      </c>
      <c r="Q55" s="46"/>
      <c r="R55" s="45">
        <v>39278</v>
      </c>
      <c r="S55" s="25"/>
      <c r="T55" s="5"/>
    </row>
    <row r="56" spans="1:21" ht="15.6" x14ac:dyDescent="0.3">
      <c r="A56" s="24"/>
      <c r="B56" s="25" t="s">
        <v>141</v>
      </c>
      <c r="C56" s="25"/>
      <c r="D56" s="25"/>
      <c r="E56" s="25"/>
      <c r="F56" s="25"/>
      <c r="G56" s="25"/>
      <c r="H56" s="25"/>
      <c r="I56" s="25"/>
      <c r="J56" s="25"/>
      <c r="K56" s="25"/>
      <c r="L56" s="25"/>
      <c r="M56" s="25"/>
      <c r="N56" s="25">
        <f>+R56-P56+1</f>
        <v>91</v>
      </c>
      <c r="O56" s="25"/>
      <c r="P56" s="45">
        <v>39279</v>
      </c>
      <c r="Q56" s="46"/>
      <c r="R56" s="45">
        <v>39369</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39356</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274</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708277</v>
      </c>
      <c r="K67" s="34"/>
      <c r="L67" s="34">
        <f>58595+3695+514</f>
        <v>62804</v>
      </c>
      <c r="M67" s="34"/>
      <c r="N67" s="34">
        <f>3695+514</f>
        <v>4209</v>
      </c>
      <c r="O67" s="34"/>
      <c r="P67" s="34">
        <v>0</v>
      </c>
      <c r="Q67" s="34"/>
      <c r="R67" s="53">
        <f>+J67-L67+N67-P67</f>
        <v>649682</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708277</v>
      </c>
      <c r="K70" s="34"/>
      <c r="L70" s="34">
        <f>SUM(L67:L69)</f>
        <v>62804</v>
      </c>
      <c r="M70" s="34"/>
      <c r="N70" s="34">
        <f>SUM(N67:N69)</f>
        <v>4209</v>
      </c>
      <c r="O70" s="34"/>
      <c r="P70" s="34">
        <f>SUM(P67:P69)</f>
        <v>0</v>
      </c>
      <c r="Q70" s="34"/>
      <c r="R70" s="54">
        <f>SUM(R67:R69)</f>
        <v>649682</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708277</v>
      </c>
      <c r="K83" s="34"/>
      <c r="L83" s="34"/>
      <c r="M83" s="34"/>
      <c r="N83" s="34"/>
      <c r="O83" s="34"/>
      <c r="P83" s="54"/>
      <c r="Q83" s="34"/>
      <c r="R83" s="54">
        <f>SUM(R70:R82)</f>
        <v>649682</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+P188</f>
        <v>39353</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62804-31</f>
        <v>62773</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11390+1742-1629-302</f>
        <v>11201</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597+179</f>
        <v>776</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818</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350</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792</v>
      </c>
      <c r="S94" s="25"/>
      <c r="T94" s="5"/>
    </row>
    <row r="95" spans="1:20" ht="15.6" x14ac:dyDescent="0.3">
      <c r="A95" s="24"/>
      <c r="B95" s="25" t="s">
        <v>35</v>
      </c>
      <c r="C95" s="25"/>
      <c r="D95" s="25"/>
      <c r="E95" s="25"/>
      <c r="F95" s="25"/>
      <c r="G95" s="25"/>
      <c r="H95" s="25"/>
      <c r="I95" s="25"/>
      <c r="J95" s="25"/>
      <c r="K95" s="25"/>
      <c r="L95" s="25"/>
      <c r="M95" s="25"/>
      <c r="N95" s="25"/>
      <c r="O95" s="25"/>
      <c r="P95" s="34">
        <f>SUM(P87:P94)</f>
        <v>62773</v>
      </c>
      <c r="Q95" s="25"/>
      <c r="R95" s="54">
        <f>SUM(R87:R94)</f>
        <v>13937</v>
      </c>
      <c r="S95" s="25"/>
      <c r="T95" s="5"/>
    </row>
    <row r="96" spans="1:20" ht="15.6" x14ac:dyDescent="0.3">
      <c r="A96" s="24"/>
      <c r="B96" s="25" t="s">
        <v>235</v>
      </c>
      <c r="C96" s="25"/>
      <c r="D96" s="25"/>
      <c r="E96" s="25"/>
      <c r="F96" s="25"/>
      <c r="G96" s="25"/>
      <c r="H96" s="25"/>
      <c r="I96" s="25"/>
      <c r="J96" s="25"/>
      <c r="K96" s="25"/>
      <c r="L96" s="25"/>
      <c r="M96" s="25"/>
      <c r="N96" s="25"/>
      <c r="O96" s="25"/>
      <c r="P96" s="34">
        <v>-58</v>
      </c>
      <c r="Q96" s="25"/>
      <c r="R96" s="54">
        <f>-P96</f>
        <v>58</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37</v>
      </c>
      <c r="C98" s="25"/>
      <c r="D98" s="25"/>
      <c r="E98" s="25"/>
      <c r="F98" s="25"/>
      <c r="G98" s="25"/>
      <c r="H98" s="25"/>
      <c r="I98" s="25"/>
      <c r="J98" s="25"/>
      <c r="K98" s="25"/>
      <c r="L98" s="25"/>
      <c r="M98" s="25"/>
      <c r="N98" s="25"/>
      <c r="O98" s="25"/>
      <c r="P98" s="34">
        <f>P95+P97+P96</f>
        <v>62715</v>
      </c>
      <c r="Q98" s="25"/>
      <c r="R98" s="54">
        <f>R95+R97+R96</f>
        <v>13995</v>
      </c>
      <c r="S98" s="25"/>
      <c r="T98" s="5"/>
    </row>
    <row r="99" spans="1:21" ht="15.6" x14ac:dyDescent="0.3">
      <c r="A99" s="24"/>
      <c r="B99" s="119" t="s">
        <v>38</v>
      </c>
      <c r="C99" s="25"/>
      <c r="D99" s="25"/>
      <c r="E99" s="25"/>
      <c r="F99" s="25"/>
      <c r="G99" s="25"/>
      <c r="H99" s="25"/>
      <c r="I99" s="25"/>
      <c r="J99" s="25"/>
      <c r="K99" s="25"/>
      <c r="L99" s="25"/>
      <c r="M99" s="25"/>
      <c r="N99" s="25"/>
      <c r="O99" s="25"/>
      <c r="P99" s="34"/>
      <c r="Q99" s="25"/>
      <c r="R99" s="53"/>
      <c r="S99" s="25"/>
      <c r="T99" s="5"/>
    </row>
    <row r="100" spans="1:21" ht="15.6" x14ac:dyDescent="0.3">
      <c r="A100" s="24">
        <v>1</v>
      </c>
      <c r="B100" s="25" t="s">
        <v>39</v>
      </c>
      <c r="C100" s="25"/>
      <c r="D100" s="25"/>
      <c r="E100" s="25"/>
      <c r="F100" s="25"/>
      <c r="G100" s="25"/>
      <c r="H100" s="25"/>
      <c r="I100" s="25"/>
      <c r="J100" s="25"/>
      <c r="K100" s="25"/>
      <c r="L100" s="25"/>
      <c r="M100" s="25"/>
      <c r="N100" s="25"/>
      <c r="O100" s="25"/>
      <c r="P100" s="25"/>
      <c r="Q100" s="25"/>
      <c r="R100" s="53">
        <v>0</v>
      </c>
      <c r="S100" s="25"/>
      <c r="T100" s="5"/>
    </row>
    <row r="101" spans="1:21" ht="15.6" x14ac:dyDescent="0.3">
      <c r="A101" s="24">
        <f>+A100+1</f>
        <v>2</v>
      </c>
      <c r="B101" s="25" t="s">
        <v>40</v>
      </c>
      <c r="C101" s="25"/>
      <c r="D101" s="25"/>
      <c r="E101" s="25"/>
      <c r="F101" s="25"/>
      <c r="G101" s="25"/>
      <c r="H101" s="25"/>
      <c r="I101" s="25"/>
      <c r="J101" s="25"/>
      <c r="K101" s="25"/>
      <c r="L101" s="25"/>
      <c r="M101" s="25"/>
      <c r="N101" s="25"/>
      <c r="O101" s="25"/>
      <c r="P101" s="25"/>
      <c r="Q101" s="25"/>
      <c r="R101" s="53">
        <v>-2</v>
      </c>
      <c r="S101" s="25"/>
      <c r="T101" s="5"/>
    </row>
    <row r="102" spans="1:21" ht="15.6" x14ac:dyDescent="0.3">
      <c r="A102" s="24">
        <f>+A101+1</f>
        <v>3</v>
      </c>
      <c r="B102" s="25" t="s">
        <v>174</v>
      </c>
      <c r="C102" s="25"/>
      <c r="D102" s="25"/>
      <c r="E102" s="25"/>
      <c r="F102" s="25"/>
      <c r="G102" s="25"/>
      <c r="H102" s="25"/>
      <c r="I102" s="25"/>
      <c r="J102" s="25"/>
      <c r="K102" s="25"/>
      <c r="L102" s="25"/>
      <c r="M102" s="25"/>
      <c r="N102" s="25"/>
      <c r="O102" s="25"/>
      <c r="P102" s="25"/>
      <c r="Q102" s="25"/>
      <c r="R102" s="53">
        <f>-177-50-9</f>
        <v>-236</v>
      </c>
      <c r="S102" s="25"/>
      <c r="T102" s="5"/>
    </row>
    <row r="103" spans="1:21" ht="15.6" x14ac:dyDescent="0.3">
      <c r="A103" s="24" t="s">
        <v>146</v>
      </c>
      <c r="B103" s="25" t="s">
        <v>131</v>
      </c>
      <c r="C103" s="25"/>
      <c r="D103" s="25"/>
      <c r="E103" s="25"/>
      <c r="F103" s="25"/>
      <c r="G103" s="25"/>
      <c r="H103" s="25"/>
      <c r="I103" s="25"/>
      <c r="J103" s="25"/>
      <c r="K103" s="25"/>
      <c r="L103" s="25"/>
      <c r="M103" s="25"/>
      <c r="N103" s="25"/>
      <c r="O103" s="25"/>
      <c r="P103" s="25"/>
      <c r="Q103" s="25"/>
      <c r="R103" s="53">
        <v>0</v>
      </c>
      <c r="S103" s="25"/>
      <c r="T103" s="5"/>
    </row>
    <row r="104" spans="1:21" ht="15.6" x14ac:dyDescent="0.3">
      <c r="A104" s="24" t="s">
        <v>147</v>
      </c>
      <c r="B104" s="25" t="s">
        <v>218</v>
      </c>
      <c r="C104" s="25"/>
      <c r="D104" s="25"/>
      <c r="E104" s="25"/>
      <c r="F104" s="25"/>
      <c r="G104" s="25"/>
      <c r="H104" s="25"/>
      <c r="I104" s="25"/>
      <c r="J104" s="25"/>
      <c r="K104" s="25"/>
      <c r="L104" s="25"/>
      <c r="M104" s="25"/>
      <c r="N104" s="25"/>
      <c r="O104" s="25"/>
      <c r="P104" s="25"/>
      <c r="Q104" s="25"/>
      <c r="R104" s="53">
        <v>-2</v>
      </c>
      <c r="S104" s="25"/>
      <c r="T104" s="5"/>
    </row>
    <row r="105" spans="1:21" ht="15.6" x14ac:dyDescent="0.3">
      <c r="A105" s="24" t="s">
        <v>176</v>
      </c>
      <c r="B105" s="25" t="s">
        <v>230</v>
      </c>
      <c r="C105" s="25"/>
      <c r="D105" s="25"/>
      <c r="E105" s="25"/>
      <c r="F105" s="25"/>
      <c r="G105" s="25"/>
      <c r="H105" s="25"/>
      <c r="I105" s="25"/>
      <c r="J105" s="25"/>
      <c r="K105" s="25"/>
      <c r="L105" s="25"/>
      <c r="M105" s="25"/>
      <c r="N105" s="25"/>
      <c r="O105" s="25"/>
      <c r="P105" s="25"/>
      <c r="Q105" s="25"/>
      <c r="R105" s="53">
        <v>0</v>
      </c>
      <c r="S105" s="25"/>
      <c r="T105" s="5"/>
      <c r="U105" s="110"/>
    </row>
    <row r="106" spans="1:21" ht="15.6" x14ac:dyDescent="0.3">
      <c r="A106" s="24" t="s">
        <v>177</v>
      </c>
      <c r="B106" s="25" t="s">
        <v>231</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248</v>
      </c>
      <c r="B107" s="25" t="s">
        <v>232</v>
      </c>
      <c r="C107" s="25"/>
      <c r="D107" s="25"/>
      <c r="E107" s="25"/>
      <c r="F107" s="25"/>
      <c r="G107" s="25"/>
      <c r="H107" s="25"/>
      <c r="I107" s="25"/>
      <c r="J107" s="25"/>
      <c r="K107" s="25"/>
      <c r="L107" s="25"/>
      <c r="M107" s="25"/>
      <c r="N107" s="25"/>
      <c r="O107" s="25"/>
      <c r="P107" s="25"/>
      <c r="Q107" s="25"/>
      <c r="R107" s="53">
        <v>-4625</v>
      </c>
      <c r="S107" s="25"/>
      <c r="T107" s="5"/>
    </row>
    <row r="108" spans="1:21" ht="15.6" x14ac:dyDescent="0.3">
      <c r="A108" s="24" t="s">
        <v>205</v>
      </c>
      <c r="B108" s="25" t="s">
        <v>233</v>
      </c>
      <c r="C108" s="25"/>
      <c r="D108" s="25"/>
      <c r="E108" s="25"/>
      <c r="F108" s="25"/>
      <c r="G108" s="25"/>
      <c r="H108" s="25"/>
      <c r="I108" s="25"/>
      <c r="J108" s="25"/>
      <c r="K108" s="25"/>
      <c r="L108" s="25"/>
      <c r="M108" s="25"/>
      <c r="N108" s="25"/>
      <c r="O108" s="25"/>
      <c r="P108" s="25"/>
      <c r="Q108" s="25"/>
      <c r="R108" s="53">
        <v>-4808</v>
      </c>
      <c r="S108" s="25"/>
      <c r="T108" s="5"/>
      <c r="U108" s="110"/>
    </row>
    <row r="109" spans="1:21" ht="15.6" x14ac:dyDescent="0.3">
      <c r="A109" s="24" t="s">
        <v>249</v>
      </c>
      <c r="B109" s="25" t="s">
        <v>234</v>
      </c>
      <c r="C109" s="25"/>
      <c r="D109" s="25"/>
      <c r="E109" s="25"/>
      <c r="F109" s="25"/>
      <c r="G109" s="25"/>
      <c r="H109" s="25"/>
      <c r="I109" s="25"/>
      <c r="J109" s="25"/>
      <c r="K109" s="25"/>
      <c r="L109" s="25"/>
      <c r="M109" s="25"/>
      <c r="N109" s="25"/>
      <c r="O109" s="25"/>
      <c r="P109" s="25"/>
      <c r="Q109" s="25"/>
      <c r="R109" s="53">
        <v>-1079</v>
      </c>
      <c r="S109" s="25"/>
      <c r="T109" s="5"/>
      <c r="U109" s="110"/>
    </row>
    <row r="110" spans="1:21" ht="15.6" x14ac:dyDescent="0.3">
      <c r="A110" s="24" t="s">
        <v>250</v>
      </c>
      <c r="B110" s="25" t="s">
        <v>168</v>
      </c>
      <c r="C110" s="25"/>
      <c r="D110" s="25"/>
      <c r="E110" s="25"/>
      <c r="F110" s="25"/>
      <c r="G110" s="25"/>
      <c r="H110" s="25"/>
      <c r="I110" s="25"/>
      <c r="J110" s="25"/>
      <c r="K110" s="25"/>
      <c r="L110" s="25"/>
      <c r="M110" s="25"/>
      <c r="N110" s="25"/>
      <c r="O110" s="25"/>
      <c r="P110" s="25"/>
      <c r="Q110" s="25"/>
      <c r="R110" s="53">
        <v>-584</v>
      </c>
      <c r="S110" s="25"/>
      <c r="T110" s="5"/>
      <c r="U110" s="110"/>
    </row>
    <row r="111" spans="1:21" ht="15.6" x14ac:dyDescent="0.3">
      <c r="A111" s="24">
        <v>6</v>
      </c>
      <c r="B111" s="25" t="s">
        <v>41</v>
      </c>
      <c r="C111" s="25"/>
      <c r="D111" s="25"/>
      <c r="E111" s="25"/>
      <c r="F111" s="25"/>
      <c r="G111" s="25"/>
      <c r="H111" s="25"/>
      <c r="I111" s="25"/>
      <c r="J111" s="25"/>
      <c r="K111" s="25"/>
      <c r="L111" s="25"/>
      <c r="M111" s="25"/>
      <c r="N111" s="25"/>
      <c r="O111" s="25"/>
      <c r="P111" s="25"/>
      <c r="Q111" s="25"/>
      <c r="R111" s="53">
        <v>-8</v>
      </c>
      <c r="S111" s="25"/>
      <c r="T111" s="5"/>
    </row>
    <row r="112" spans="1:21" ht="15.6" x14ac:dyDescent="0.3">
      <c r="A112" s="24">
        <f t="shared" ref="A112:A117" si="0">+A111+1</f>
        <v>7</v>
      </c>
      <c r="B112" s="25" t="s">
        <v>53</v>
      </c>
      <c r="C112" s="25"/>
      <c r="D112" s="25"/>
      <c r="E112" s="25"/>
      <c r="F112" s="25"/>
      <c r="G112" s="25"/>
      <c r="H112" s="25"/>
      <c r="I112" s="25"/>
      <c r="J112" s="25"/>
      <c r="K112" s="25"/>
      <c r="L112" s="25"/>
      <c r="M112" s="25"/>
      <c r="N112" s="25"/>
      <c r="O112" s="25"/>
      <c r="P112" s="34">
        <f>-R112</f>
        <v>31</v>
      </c>
      <c r="Q112" s="25"/>
      <c r="R112" s="53">
        <v>-31</v>
      </c>
      <c r="S112" s="25"/>
      <c r="T112" s="5"/>
    </row>
    <row r="113" spans="1:20" ht="15.6" x14ac:dyDescent="0.3">
      <c r="A113" s="24">
        <f t="shared" si="0"/>
        <v>8</v>
      </c>
      <c r="B113" s="25" t="s">
        <v>144</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9</v>
      </c>
      <c r="B114" s="25" t="s">
        <v>42</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10</v>
      </c>
      <c r="B115" s="25" t="s">
        <v>43</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11</v>
      </c>
      <c r="B116" s="25" t="s">
        <v>175</v>
      </c>
      <c r="C116" s="25"/>
      <c r="D116" s="25"/>
      <c r="E116" s="25"/>
      <c r="F116" s="25"/>
      <c r="G116" s="25"/>
      <c r="H116" s="25"/>
      <c r="I116" s="25"/>
      <c r="J116" s="25"/>
      <c r="K116" s="25"/>
      <c r="L116" s="25"/>
      <c r="M116" s="25"/>
      <c r="N116" s="25"/>
      <c r="O116" s="25"/>
      <c r="P116" s="25"/>
      <c r="Q116" s="25"/>
      <c r="R116" s="53">
        <v>-360</v>
      </c>
      <c r="S116" s="25"/>
      <c r="T116" s="5"/>
    </row>
    <row r="117" spans="1:20" ht="15.6" x14ac:dyDescent="0.3">
      <c r="A117" s="24">
        <f t="shared" si="0"/>
        <v>12</v>
      </c>
      <c r="B117" s="25" t="s">
        <v>145</v>
      </c>
      <c r="C117" s="25"/>
      <c r="D117" s="25"/>
      <c r="E117" s="25"/>
      <c r="F117" s="25"/>
      <c r="G117" s="25"/>
      <c r="H117" s="25"/>
      <c r="I117" s="25"/>
      <c r="J117" s="25"/>
      <c r="K117" s="25"/>
      <c r="L117" s="25"/>
      <c r="M117" s="25"/>
      <c r="N117" s="25"/>
      <c r="O117" s="25"/>
      <c r="P117" s="25"/>
      <c r="Q117" s="25"/>
      <c r="R117" s="53">
        <f>-R98-SUM(R100:R116)</f>
        <v>-2260</v>
      </c>
      <c r="S117" s="25"/>
      <c r="T117" s="5"/>
    </row>
    <row r="118" spans="1:20" ht="15.6" x14ac:dyDescent="0.3">
      <c r="A118" s="24"/>
      <c r="B118" s="119" t="s">
        <v>44</v>
      </c>
      <c r="C118" s="25"/>
      <c r="D118" s="25"/>
      <c r="E118" s="25"/>
      <c r="F118" s="25"/>
      <c r="G118" s="25"/>
      <c r="H118" s="25"/>
      <c r="I118" s="25"/>
      <c r="J118" s="25"/>
      <c r="K118" s="25"/>
      <c r="L118" s="25"/>
      <c r="M118" s="25"/>
      <c r="N118" s="25"/>
      <c r="O118" s="25"/>
      <c r="P118" s="25"/>
      <c r="Q118" s="25"/>
      <c r="R118" s="59"/>
      <c r="S118" s="25"/>
      <c r="T118" s="5"/>
    </row>
    <row r="119" spans="1:20" ht="15.6" x14ac:dyDescent="0.3">
      <c r="A119" s="24"/>
      <c r="B119" s="25" t="s">
        <v>45</v>
      </c>
      <c r="C119" s="25"/>
      <c r="D119" s="25"/>
      <c r="E119" s="25"/>
      <c r="F119" s="25"/>
      <c r="G119" s="25"/>
      <c r="H119" s="25"/>
      <c r="I119" s="25"/>
      <c r="J119" s="25"/>
      <c r="K119" s="25"/>
      <c r="L119" s="25"/>
      <c r="M119" s="25"/>
      <c r="N119" s="25"/>
      <c r="O119" s="25"/>
      <c r="P119" s="34">
        <v>-73</v>
      </c>
      <c r="Q119" s="34"/>
      <c r="R119" s="53"/>
      <c r="S119" s="25"/>
      <c r="T119" s="5"/>
    </row>
    <row r="120" spans="1:20" ht="15.6" x14ac:dyDescent="0.3">
      <c r="A120" s="24"/>
      <c r="B120" s="25" t="s">
        <v>46</v>
      </c>
      <c r="C120" s="25"/>
      <c r="D120" s="25"/>
      <c r="E120" s="25"/>
      <c r="F120" s="25"/>
      <c r="G120" s="25"/>
      <c r="H120" s="25"/>
      <c r="I120" s="25"/>
      <c r="J120" s="25"/>
      <c r="K120" s="25"/>
      <c r="L120" s="25"/>
      <c r="M120" s="25"/>
      <c r="N120" s="25"/>
      <c r="O120" s="25"/>
      <c r="P120" s="34">
        <f>-O174</f>
        <v>-4078</v>
      </c>
      <c r="Q120" s="34"/>
      <c r="R120" s="53"/>
      <c r="S120" s="25"/>
      <c r="T120" s="5"/>
    </row>
    <row r="121" spans="1:20" ht="15.6" x14ac:dyDescent="0.3">
      <c r="A121" s="24"/>
      <c r="B121" s="25" t="s">
        <v>219</v>
      </c>
      <c r="C121" s="25"/>
      <c r="D121" s="25"/>
      <c r="E121" s="25"/>
      <c r="F121" s="25"/>
      <c r="G121" s="25"/>
      <c r="H121" s="25"/>
      <c r="I121" s="25"/>
      <c r="J121" s="25"/>
      <c r="K121" s="25"/>
      <c r="L121" s="25"/>
      <c r="M121" s="25"/>
      <c r="N121" s="25"/>
      <c r="O121" s="25"/>
      <c r="P121" s="34">
        <v>0</v>
      </c>
      <c r="Q121" s="34"/>
      <c r="R121" s="53"/>
      <c r="S121" s="25"/>
      <c r="T121" s="5"/>
    </row>
    <row r="122" spans="1:20" ht="15.6" x14ac:dyDescent="0.3">
      <c r="A122" s="24"/>
      <c r="B122" s="25" t="s">
        <v>220</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221</v>
      </c>
      <c r="C123" s="25"/>
      <c r="D123" s="25"/>
      <c r="E123" s="25"/>
      <c r="F123" s="25"/>
      <c r="G123" s="25"/>
      <c r="H123" s="25"/>
      <c r="I123" s="25"/>
      <c r="J123" s="25"/>
      <c r="K123" s="25"/>
      <c r="L123" s="25"/>
      <c r="M123" s="25"/>
      <c r="N123" s="25"/>
      <c r="O123" s="25"/>
      <c r="P123" s="34">
        <v>-28825</v>
      </c>
      <c r="Q123" s="34"/>
      <c r="R123" s="53"/>
      <c r="S123" s="25"/>
      <c r="T123" s="5"/>
    </row>
    <row r="124" spans="1:20" ht="15.6" x14ac:dyDescent="0.3">
      <c r="A124" s="24"/>
      <c r="B124" s="25" t="s">
        <v>222</v>
      </c>
      <c r="C124" s="25"/>
      <c r="D124" s="25"/>
      <c r="E124" s="25"/>
      <c r="F124" s="25"/>
      <c r="G124" s="25"/>
      <c r="H124" s="25"/>
      <c r="I124" s="25"/>
      <c r="J124" s="25"/>
      <c r="K124" s="25"/>
      <c r="L124" s="25"/>
      <c r="M124" s="25"/>
      <c r="N124" s="25"/>
      <c r="O124" s="25"/>
      <c r="P124" s="34">
        <v>-29770</v>
      </c>
      <c r="Q124" s="34"/>
      <c r="R124" s="53"/>
      <c r="S124" s="25"/>
      <c r="T124" s="5"/>
    </row>
    <row r="125" spans="1:20" ht="15.6" x14ac:dyDescent="0.3">
      <c r="A125" s="24"/>
      <c r="B125" s="25" t="s">
        <v>223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173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47</v>
      </c>
      <c r="C127" s="25"/>
      <c r="D127" s="25"/>
      <c r="E127" s="25"/>
      <c r="F127" s="25"/>
      <c r="G127" s="25"/>
      <c r="H127" s="25"/>
      <c r="I127" s="25"/>
      <c r="J127" s="25"/>
      <c r="K127" s="25"/>
      <c r="L127" s="25"/>
      <c r="M127" s="25"/>
      <c r="N127" s="25"/>
      <c r="O127" s="25"/>
      <c r="P127" s="34">
        <f>SUM(P119:P126)</f>
        <v>-62746</v>
      </c>
      <c r="Q127" s="34"/>
      <c r="R127" s="34">
        <f>SUM(R99:R126)</f>
        <v>-13995</v>
      </c>
      <c r="S127" s="25"/>
      <c r="T127" s="5"/>
    </row>
    <row r="128" spans="1:20" ht="15.6" x14ac:dyDescent="0.3">
      <c r="A128" s="24"/>
      <c r="B128" s="25" t="s">
        <v>48</v>
      </c>
      <c r="C128" s="25"/>
      <c r="D128" s="25"/>
      <c r="E128" s="25"/>
      <c r="F128" s="25"/>
      <c r="G128" s="25"/>
      <c r="H128" s="25"/>
      <c r="I128" s="25"/>
      <c r="J128" s="25"/>
      <c r="K128" s="25"/>
      <c r="L128" s="25"/>
      <c r="M128" s="25"/>
      <c r="N128" s="25"/>
      <c r="O128" s="25"/>
      <c r="P128" s="34">
        <f>P98+P127+P112</f>
        <v>0</v>
      </c>
      <c r="Q128" s="34"/>
      <c r="R128" s="34">
        <f>R98+R127</f>
        <v>0</v>
      </c>
      <c r="S128" s="25"/>
      <c r="T128" s="5"/>
    </row>
    <row r="129" spans="1:21" ht="15.6" x14ac:dyDescent="0.3">
      <c r="A129" s="24"/>
      <c r="B129" s="25"/>
      <c r="C129" s="25"/>
      <c r="D129" s="25"/>
      <c r="E129" s="25"/>
      <c r="F129" s="25"/>
      <c r="G129" s="25"/>
      <c r="H129" s="25"/>
      <c r="I129" s="25"/>
      <c r="J129" s="25"/>
      <c r="K129" s="25"/>
      <c r="L129" s="25"/>
      <c r="M129" s="25"/>
      <c r="N129" s="25"/>
      <c r="O129" s="25"/>
      <c r="P129" s="34"/>
      <c r="Q129" s="34"/>
      <c r="R129" s="34"/>
      <c r="S129" s="25"/>
      <c r="T129" s="5"/>
    </row>
    <row r="130" spans="1:21" ht="15.6" x14ac:dyDescent="0.3">
      <c r="A130" s="6"/>
      <c r="B130" s="8"/>
      <c r="C130" s="8"/>
      <c r="D130" s="8"/>
      <c r="E130" s="8"/>
      <c r="F130" s="8"/>
      <c r="G130" s="8"/>
      <c r="H130" s="8"/>
      <c r="I130" s="8"/>
      <c r="J130" s="8"/>
      <c r="K130" s="8"/>
      <c r="L130" s="8"/>
      <c r="M130" s="8"/>
      <c r="N130" s="8"/>
      <c r="O130" s="8"/>
      <c r="P130" s="8"/>
      <c r="Q130" s="8"/>
      <c r="R130" s="52"/>
      <c r="S130" s="8"/>
      <c r="T130" s="5"/>
    </row>
    <row r="131" spans="1:21" ht="18" thickBot="1" x14ac:dyDescent="0.35">
      <c r="A131" s="102"/>
      <c r="B131" s="103" t="str">
        <f>B62</f>
        <v>PM8 INVESTOR REPORT QUARTER ENDING SEPTEMBER 2007</v>
      </c>
      <c r="C131" s="104"/>
      <c r="D131" s="104"/>
      <c r="E131" s="104"/>
      <c r="F131" s="104"/>
      <c r="G131" s="104"/>
      <c r="H131" s="104"/>
      <c r="I131" s="104"/>
      <c r="J131" s="104"/>
      <c r="K131" s="104"/>
      <c r="L131" s="104"/>
      <c r="M131" s="104"/>
      <c r="N131" s="104"/>
      <c r="O131" s="104"/>
      <c r="P131" s="104"/>
      <c r="Q131" s="104"/>
      <c r="R131" s="107"/>
      <c r="S131" s="106"/>
      <c r="T131" s="5"/>
    </row>
    <row r="132" spans="1:21" ht="15.6" x14ac:dyDescent="0.3">
      <c r="A132" s="2"/>
      <c r="B132" s="60" t="s">
        <v>49</v>
      </c>
      <c r="C132" s="4"/>
      <c r="D132" s="4"/>
      <c r="E132" s="4"/>
      <c r="F132" s="4"/>
      <c r="G132" s="4"/>
      <c r="H132" s="4"/>
      <c r="I132" s="4"/>
      <c r="J132" s="4"/>
      <c r="K132" s="4"/>
      <c r="L132" s="4"/>
      <c r="M132" s="4"/>
      <c r="N132" s="4"/>
      <c r="O132" s="4"/>
      <c r="P132" s="4"/>
      <c r="Q132" s="4"/>
      <c r="R132" s="50"/>
      <c r="S132" s="4"/>
      <c r="T132" s="5"/>
    </row>
    <row r="133" spans="1:21" ht="15.6" x14ac:dyDescent="0.3">
      <c r="A133" s="6"/>
      <c r="B133" s="21"/>
      <c r="C133" s="8"/>
      <c r="D133" s="8"/>
      <c r="E133" s="8"/>
      <c r="F133" s="8"/>
      <c r="G133" s="8"/>
      <c r="H133" s="8"/>
      <c r="I133" s="8"/>
      <c r="J133" s="8"/>
      <c r="K133" s="8"/>
      <c r="L133" s="8"/>
      <c r="M133" s="8"/>
      <c r="N133" s="8"/>
      <c r="O133" s="8"/>
      <c r="P133" s="8"/>
      <c r="Q133" s="8"/>
      <c r="R133" s="52"/>
      <c r="S133" s="8"/>
      <c r="T133" s="5"/>
    </row>
    <row r="134" spans="1:21" ht="15.6" x14ac:dyDescent="0.3">
      <c r="A134" s="6"/>
      <c r="B134" s="120" t="s">
        <v>50</v>
      </c>
      <c r="C134" s="8"/>
      <c r="D134" s="8"/>
      <c r="E134" s="8"/>
      <c r="F134" s="8"/>
      <c r="G134" s="8"/>
      <c r="H134" s="8"/>
      <c r="I134" s="8"/>
      <c r="J134" s="8"/>
      <c r="K134" s="8"/>
      <c r="L134" s="8"/>
      <c r="M134" s="8"/>
      <c r="N134" s="8"/>
      <c r="O134" s="8"/>
      <c r="P134" s="8"/>
      <c r="Q134" s="8"/>
      <c r="R134" s="52"/>
      <c r="S134" s="8"/>
      <c r="T134" s="5"/>
    </row>
    <row r="135" spans="1:21" ht="15.6" x14ac:dyDescent="0.3">
      <c r="A135" s="24"/>
      <c r="B135" s="25" t="s">
        <v>51</v>
      </c>
      <c r="C135" s="25"/>
      <c r="D135" s="25"/>
      <c r="E135" s="25"/>
      <c r="F135" s="25"/>
      <c r="G135" s="25"/>
      <c r="H135" s="25"/>
      <c r="I135" s="25"/>
      <c r="J135" s="25"/>
      <c r="K135" s="25"/>
      <c r="L135" s="25"/>
      <c r="M135" s="25"/>
      <c r="N135" s="25"/>
      <c r="O135" s="25"/>
      <c r="P135" s="25"/>
      <c r="Q135" s="25"/>
      <c r="R135" s="53">
        <f>+R33*0.019</f>
        <v>19000</v>
      </c>
      <c r="S135" s="25"/>
      <c r="T135" s="5"/>
    </row>
    <row r="136" spans="1:21" ht="15.6" x14ac:dyDescent="0.3">
      <c r="A136" s="24"/>
      <c r="B136" s="25" t="s">
        <v>52</v>
      </c>
      <c r="C136" s="25"/>
      <c r="D136" s="25"/>
      <c r="E136" s="25"/>
      <c r="F136" s="25"/>
      <c r="G136" s="25"/>
      <c r="H136" s="25"/>
      <c r="I136" s="25"/>
      <c r="J136" s="25"/>
      <c r="K136" s="25"/>
      <c r="L136" s="25"/>
      <c r="M136" s="25"/>
      <c r="N136" s="25"/>
      <c r="O136" s="25"/>
      <c r="P136" s="25"/>
      <c r="Q136" s="25"/>
      <c r="R136" s="53">
        <v>19000</v>
      </c>
      <c r="S136" s="25"/>
      <c r="T136" s="5"/>
    </row>
    <row r="137" spans="1:21" ht="15.6" x14ac:dyDescent="0.3">
      <c r="A137" s="24"/>
      <c r="B137" s="25" t="s">
        <v>155</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142</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53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148</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203</v>
      </c>
      <c r="C142" s="25"/>
      <c r="D142" s="25"/>
      <c r="E142" s="25"/>
      <c r="F142" s="25"/>
      <c r="G142" s="25"/>
      <c r="H142" s="25"/>
      <c r="I142" s="25"/>
      <c r="J142" s="25"/>
      <c r="K142" s="25"/>
      <c r="L142" s="25"/>
      <c r="M142" s="25"/>
      <c r="N142" s="25"/>
      <c r="O142" s="25"/>
      <c r="P142" s="25"/>
      <c r="Q142" s="25"/>
      <c r="R142" s="53">
        <v>0</v>
      </c>
      <c r="S142" s="25"/>
      <c r="T142" s="5"/>
      <c r="U142" s="110"/>
    </row>
    <row r="143" spans="1:21" ht="15.6" x14ac:dyDescent="0.3">
      <c r="A143" s="24"/>
      <c r="B143" s="25" t="s">
        <v>54</v>
      </c>
      <c r="C143" s="25"/>
      <c r="D143" s="25"/>
      <c r="E143" s="25"/>
      <c r="F143" s="25"/>
      <c r="G143" s="25"/>
      <c r="H143" s="25"/>
      <c r="I143" s="25"/>
      <c r="J143" s="25"/>
      <c r="K143" s="25"/>
      <c r="L143" s="25"/>
      <c r="M143" s="25"/>
      <c r="N143" s="25"/>
      <c r="O143" s="25"/>
      <c r="P143" s="25"/>
      <c r="Q143" s="25"/>
      <c r="R143" s="53">
        <f>SUM(R136:R142)</f>
        <v>19000</v>
      </c>
      <c r="S143" s="25"/>
      <c r="T143" s="5"/>
    </row>
    <row r="144" spans="1:21" ht="15.6" x14ac:dyDescent="0.3">
      <c r="A144" s="24"/>
      <c r="B144" s="25"/>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141" t="s">
        <v>264</v>
      </c>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25" t="s">
        <v>206</v>
      </c>
      <c r="C146" s="25"/>
      <c r="D146" s="25"/>
      <c r="E146" s="25"/>
      <c r="F146" s="25"/>
      <c r="G146" s="25"/>
      <c r="H146" s="25"/>
      <c r="I146" s="25"/>
      <c r="J146" s="25"/>
      <c r="K146" s="25"/>
      <c r="L146" s="25"/>
      <c r="M146" s="25"/>
      <c r="N146" s="25"/>
      <c r="O146" s="25"/>
      <c r="P146" s="25"/>
      <c r="Q146" s="25"/>
      <c r="R146" s="53">
        <f>+R33*0.005</f>
        <v>5000</v>
      </c>
      <c r="S146" s="25"/>
      <c r="T146" s="5"/>
    </row>
    <row r="147" spans="1:20" ht="15.6" x14ac:dyDescent="0.3">
      <c r="A147" s="24"/>
      <c r="B147" s="25" t="s">
        <v>260</v>
      </c>
      <c r="C147" s="25"/>
      <c r="D147" s="25"/>
      <c r="E147" s="25"/>
      <c r="F147" s="25"/>
      <c r="G147" s="25"/>
      <c r="H147" s="25"/>
      <c r="I147" s="25"/>
      <c r="J147" s="25"/>
      <c r="K147" s="25"/>
      <c r="L147" s="25"/>
      <c r="M147" s="25"/>
      <c r="N147" s="25"/>
      <c r="O147" s="25"/>
      <c r="P147" s="25"/>
      <c r="Q147" s="25"/>
      <c r="R147" s="53">
        <v>0</v>
      </c>
      <c r="S147" s="25"/>
      <c r="T147" s="5"/>
    </row>
    <row r="148" spans="1:20" ht="15.6" x14ac:dyDescent="0.3">
      <c r="A148" s="24"/>
      <c r="B148" s="25" t="s">
        <v>265</v>
      </c>
      <c r="C148" s="25"/>
      <c r="D148" s="25"/>
      <c r="E148" s="25"/>
      <c r="F148" s="25"/>
      <c r="G148" s="25"/>
      <c r="H148" s="25"/>
      <c r="I148" s="25"/>
      <c r="J148" s="25"/>
      <c r="K148" s="25"/>
      <c r="L148" s="25"/>
      <c r="M148" s="25"/>
      <c r="N148" s="25"/>
      <c r="O148" s="25"/>
      <c r="P148" s="25"/>
      <c r="Q148" s="25"/>
      <c r="R148" s="53">
        <f>SUM(R146:R147)</f>
        <v>5000</v>
      </c>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53"/>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61"/>
      <c r="S150" s="25"/>
      <c r="T150" s="5"/>
    </row>
    <row r="151" spans="1:20" ht="15.6" x14ac:dyDescent="0.3">
      <c r="A151" s="6"/>
      <c r="B151" s="120" t="s">
        <v>28</v>
      </c>
      <c r="C151" s="8"/>
      <c r="D151" s="8"/>
      <c r="E151" s="8"/>
      <c r="F151" s="8"/>
      <c r="G151" s="8"/>
      <c r="H151" s="8"/>
      <c r="I151" s="8"/>
      <c r="J151" s="8"/>
      <c r="K151" s="8"/>
      <c r="L151" s="8"/>
      <c r="M151" s="8"/>
      <c r="N151" s="8"/>
      <c r="O151" s="8"/>
      <c r="P151" s="8"/>
      <c r="Q151" s="8"/>
      <c r="R151" s="52"/>
      <c r="S151" s="8"/>
      <c r="T151" s="5"/>
    </row>
    <row r="152" spans="1:20" ht="15.6" x14ac:dyDescent="0.3">
      <c r="A152" s="24"/>
      <c r="B152" s="25" t="s">
        <v>55</v>
      </c>
      <c r="C152" s="25"/>
      <c r="D152" s="25"/>
      <c r="E152" s="25"/>
      <c r="F152" s="25"/>
      <c r="G152" s="25"/>
      <c r="H152" s="25"/>
      <c r="I152" s="25"/>
      <c r="J152" s="25"/>
      <c r="K152" s="25"/>
      <c r="L152" s="25"/>
      <c r="M152" s="25"/>
      <c r="N152" s="25"/>
      <c r="O152" s="25"/>
      <c r="P152" s="25"/>
      <c r="Q152" s="25"/>
      <c r="R152" s="59" t="s">
        <v>137</v>
      </c>
      <c r="S152" s="25"/>
      <c r="T152" s="5"/>
    </row>
    <row r="153" spans="1:20" ht="15.6" x14ac:dyDescent="0.3">
      <c r="A153" s="24"/>
      <c r="B153" s="25" t="s">
        <v>56</v>
      </c>
      <c r="C153" s="146"/>
      <c r="D153" s="146"/>
      <c r="E153" s="146"/>
      <c r="F153" s="146"/>
      <c r="G153" s="146"/>
      <c r="H153" s="146"/>
      <c r="I153" s="146"/>
      <c r="J153" s="146"/>
      <c r="K153" s="146"/>
      <c r="L153" s="146"/>
      <c r="M153" s="146"/>
      <c r="N153" s="146"/>
      <c r="O153" s="146"/>
      <c r="P153" s="146"/>
      <c r="Q153" s="146"/>
      <c r="R153" s="59" t="s">
        <v>137</v>
      </c>
      <c r="S153" s="25"/>
      <c r="T153" s="5"/>
    </row>
    <row r="154" spans="1:20" ht="15.6" x14ac:dyDescent="0.3">
      <c r="A154" s="24"/>
      <c r="B154" s="25" t="s">
        <v>57</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t="s">
        <v>58</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c r="C156" s="25"/>
      <c r="D156" s="25"/>
      <c r="E156" s="25"/>
      <c r="F156" s="25"/>
      <c r="G156" s="25"/>
      <c r="H156" s="25"/>
      <c r="I156" s="25"/>
      <c r="J156" s="25"/>
      <c r="K156" s="25"/>
      <c r="L156" s="25"/>
      <c r="M156" s="25"/>
      <c r="N156" s="25"/>
      <c r="O156" s="25"/>
      <c r="P156" s="25"/>
      <c r="Q156" s="25"/>
      <c r="R156" s="61"/>
      <c r="S156" s="25"/>
      <c r="T156" s="5"/>
    </row>
    <row r="157" spans="1:20" ht="15.6" x14ac:dyDescent="0.3">
      <c r="A157" s="6"/>
      <c r="B157" s="120" t="s">
        <v>59</v>
      </c>
      <c r="C157" s="8"/>
      <c r="D157" s="8"/>
      <c r="E157" s="8"/>
      <c r="F157" s="8"/>
      <c r="G157" s="8"/>
      <c r="H157" s="8"/>
      <c r="I157" s="8"/>
      <c r="J157" s="8"/>
      <c r="K157" s="8"/>
      <c r="L157" s="8"/>
      <c r="M157" s="8"/>
      <c r="N157" s="8"/>
      <c r="O157" s="8"/>
      <c r="P157" s="8"/>
      <c r="Q157" s="8"/>
      <c r="R157" s="63"/>
      <c r="S157" s="8"/>
      <c r="T157" s="5"/>
    </row>
    <row r="158" spans="1:20" ht="15.6" x14ac:dyDescent="0.3">
      <c r="A158" s="24"/>
      <c r="B158" s="25" t="s">
        <v>60</v>
      </c>
      <c r="C158" s="25"/>
      <c r="D158" s="25"/>
      <c r="E158" s="25"/>
      <c r="F158" s="25"/>
      <c r="G158" s="25"/>
      <c r="H158" s="25"/>
      <c r="I158" s="25"/>
      <c r="J158" s="25"/>
      <c r="K158" s="25"/>
      <c r="L158" s="25"/>
      <c r="M158" s="25"/>
      <c r="N158" s="25"/>
      <c r="O158" s="25"/>
      <c r="P158" s="25"/>
      <c r="Q158" s="25"/>
      <c r="R158" s="53">
        <v>0</v>
      </c>
      <c r="S158" s="25"/>
      <c r="T158" s="5"/>
    </row>
    <row r="159" spans="1:20" ht="15.6" x14ac:dyDescent="0.3">
      <c r="A159" s="24"/>
      <c r="B159" s="25" t="s">
        <v>61</v>
      </c>
      <c r="C159" s="25"/>
      <c r="D159" s="25"/>
      <c r="E159" s="25"/>
      <c r="F159" s="25"/>
      <c r="G159" s="25"/>
      <c r="H159" s="25"/>
      <c r="I159" s="25"/>
      <c r="J159" s="25"/>
      <c r="K159" s="25"/>
      <c r="L159" s="25"/>
      <c r="M159" s="25"/>
      <c r="N159" s="25"/>
      <c r="O159" s="25"/>
      <c r="P159" s="25"/>
      <c r="Q159" s="25"/>
      <c r="R159" s="53">
        <f>P112</f>
        <v>31</v>
      </c>
      <c r="S159" s="25"/>
      <c r="T159" s="5"/>
    </row>
    <row r="160" spans="1:20" ht="15.6" x14ac:dyDescent="0.3">
      <c r="A160" s="24"/>
      <c r="B160" s="25" t="s">
        <v>62</v>
      </c>
      <c r="C160" s="25"/>
      <c r="D160" s="25"/>
      <c r="E160" s="25"/>
      <c r="F160" s="25"/>
      <c r="G160" s="25"/>
      <c r="H160" s="25"/>
      <c r="I160" s="25"/>
      <c r="J160" s="25"/>
      <c r="K160" s="25"/>
      <c r="L160" s="25"/>
      <c r="M160" s="25"/>
      <c r="N160" s="25"/>
      <c r="O160" s="25"/>
      <c r="P160" s="25"/>
      <c r="Q160" s="25"/>
      <c r="R160" s="53">
        <f>R159+R158</f>
        <v>31</v>
      </c>
      <c r="S160" s="25"/>
      <c r="T160" s="5"/>
    </row>
    <row r="161" spans="1:20" ht="15.6" x14ac:dyDescent="0.3">
      <c r="A161" s="24"/>
      <c r="B161" s="155" t="s">
        <v>308</v>
      </c>
      <c r="C161" s="25"/>
      <c r="D161" s="25"/>
      <c r="E161" s="25"/>
      <c r="F161" s="25"/>
      <c r="G161" s="25"/>
      <c r="H161" s="25"/>
      <c r="I161" s="25"/>
      <c r="J161" s="25"/>
      <c r="K161" s="25"/>
      <c r="L161" s="25"/>
      <c r="M161" s="25"/>
      <c r="N161" s="25"/>
      <c r="O161" s="25"/>
      <c r="P161" s="25"/>
      <c r="Q161" s="25"/>
      <c r="R161" s="53">
        <f>R112</f>
        <v>-31</v>
      </c>
      <c r="S161" s="25"/>
      <c r="T161" s="5"/>
    </row>
    <row r="162" spans="1:20" ht="15.6" x14ac:dyDescent="0.3">
      <c r="A162" s="24"/>
      <c r="B162" s="25" t="s">
        <v>63</v>
      </c>
      <c r="C162" s="25"/>
      <c r="D162" s="25"/>
      <c r="E162" s="25"/>
      <c r="F162" s="25"/>
      <c r="G162" s="25"/>
      <c r="H162" s="25"/>
      <c r="I162" s="25"/>
      <c r="J162" s="25"/>
      <c r="K162" s="25"/>
      <c r="L162" s="25"/>
      <c r="M162" s="25"/>
      <c r="N162" s="25"/>
      <c r="O162" s="25"/>
      <c r="P162" s="25"/>
      <c r="Q162" s="25"/>
      <c r="R162" s="53">
        <f>R160+R161</f>
        <v>0</v>
      </c>
      <c r="S162" s="25"/>
      <c r="T162" s="5"/>
    </row>
    <row r="163" spans="1:20" ht="16.2" thickBot="1" x14ac:dyDescent="0.35">
      <c r="A163" s="24"/>
      <c r="B163" s="25"/>
      <c r="C163" s="25"/>
      <c r="D163" s="25"/>
      <c r="E163" s="25"/>
      <c r="F163" s="25"/>
      <c r="G163" s="25"/>
      <c r="H163" s="25"/>
      <c r="I163" s="25"/>
      <c r="J163" s="25"/>
      <c r="K163" s="25"/>
      <c r="L163" s="25"/>
      <c r="M163" s="25"/>
      <c r="N163" s="25"/>
      <c r="O163" s="25"/>
      <c r="P163" s="25"/>
      <c r="Q163" s="25"/>
      <c r="R163" s="61"/>
      <c r="S163" s="25"/>
      <c r="T163" s="5"/>
    </row>
    <row r="164" spans="1:20" ht="15.6" x14ac:dyDescent="0.3">
      <c r="A164" s="2"/>
      <c r="B164" s="4"/>
      <c r="C164" s="4"/>
      <c r="D164" s="4"/>
      <c r="E164" s="4"/>
      <c r="F164" s="4"/>
      <c r="G164" s="4"/>
      <c r="H164" s="4"/>
      <c r="I164" s="4"/>
      <c r="J164" s="4"/>
      <c r="K164" s="4"/>
      <c r="L164" s="4"/>
      <c r="M164" s="4"/>
      <c r="N164" s="4"/>
      <c r="O164" s="4"/>
      <c r="P164" s="4"/>
      <c r="Q164" s="4"/>
      <c r="R164" s="50"/>
      <c r="S164" s="4"/>
      <c r="T164" s="5"/>
    </row>
    <row r="165" spans="1:20" ht="15.6" x14ac:dyDescent="0.3">
      <c r="A165" s="6"/>
      <c r="B165" s="120" t="s">
        <v>64</v>
      </c>
      <c r="C165" s="8"/>
      <c r="D165" s="8"/>
      <c r="E165" s="8"/>
      <c r="F165" s="8"/>
      <c r="G165" s="8"/>
      <c r="H165" s="8"/>
      <c r="I165" s="8"/>
      <c r="J165" s="8"/>
      <c r="K165" s="8"/>
      <c r="L165" s="8"/>
      <c r="M165" s="8"/>
      <c r="N165" s="8"/>
      <c r="O165" s="8"/>
      <c r="P165" s="8"/>
      <c r="Q165" s="8"/>
      <c r="R165" s="52"/>
      <c r="S165" s="8"/>
      <c r="T165" s="5"/>
    </row>
    <row r="166" spans="1:20" ht="15.6" x14ac:dyDescent="0.3">
      <c r="A166" s="6"/>
      <c r="B166" s="21"/>
      <c r="C166" s="8"/>
      <c r="D166" s="8"/>
      <c r="E166" s="8"/>
      <c r="F166" s="8"/>
      <c r="G166" s="8"/>
      <c r="H166" s="8"/>
      <c r="I166" s="8"/>
      <c r="J166" s="8"/>
      <c r="K166" s="8"/>
      <c r="L166" s="8"/>
      <c r="M166" s="8"/>
      <c r="N166" s="8"/>
      <c r="O166" s="8"/>
      <c r="P166" s="8"/>
      <c r="Q166" s="8"/>
      <c r="R166" s="52"/>
      <c r="S166" s="8"/>
      <c r="T166" s="5"/>
    </row>
    <row r="167" spans="1:20" ht="15.6" x14ac:dyDescent="0.3">
      <c r="A167" s="24"/>
      <c r="B167" s="25" t="s">
        <v>65</v>
      </c>
      <c r="C167" s="25"/>
      <c r="D167" s="25"/>
      <c r="E167" s="25"/>
      <c r="F167" s="25"/>
      <c r="G167" s="25"/>
      <c r="H167" s="25"/>
      <c r="I167" s="25"/>
      <c r="J167" s="25"/>
      <c r="K167" s="25"/>
      <c r="L167" s="25"/>
      <c r="M167" s="25"/>
      <c r="N167" s="25"/>
      <c r="O167" s="25"/>
      <c r="P167" s="25"/>
      <c r="Q167" s="25"/>
      <c r="R167" s="53">
        <f>R70</f>
        <v>649682</v>
      </c>
      <c r="S167" s="25"/>
      <c r="T167" s="5"/>
    </row>
    <row r="168" spans="1:20" ht="15.6" x14ac:dyDescent="0.3">
      <c r="A168" s="24"/>
      <c r="B168" s="25" t="s">
        <v>66</v>
      </c>
      <c r="C168" s="25"/>
      <c r="D168" s="25"/>
      <c r="E168" s="25"/>
      <c r="F168" s="25"/>
      <c r="G168" s="25"/>
      <c r="H168" s="25"/>
      <c r="I168" s="25"/>
      <c r="J168" s="25"/>
      <c r="K168" s="25"/>
      <c r="L168" s="25"/>
      <c r="M168" s="25"/>
      <c r="N168" s="25"/>
      <c r="O168" s="25"/>
      <c r="P168" s="25"/>
      <c r="Q168" s="25"/>
      <c r="R168" s="53">
        <f>R83</f>
        <v>649682</v>
      </c>
      <c r="S168" s="25"/>
      <c r="T168" s="5"/>
    </row>
    <row r="169" spans="1:20" ht="16.2" thickBot="1" x14ac:dyDescent="0.35">
      <c r="A169" s="24"/>
      <c r="B169" s="25"/>
      <c r="C169" s="25"/>
      <c r="D169" s="25"/>
      <c r="E169" s="25"/>
      <c r="F169" s="25"/>
      <c r="G169" s="25"/>
      <c r="H169" s="25"/>
      <c r="I169" s="25"/>
      <c r="J169" s="25"/>
      <c r="K169" s="25"/>
      <c r="L169" s="25"/>
      <c r="M169" s="25"/>
      <c r="N169" s="25"/>
      <c r="O169" s="25"/>
      <c r="P169" s="25"/>
      <c r="Q169" s="25"/>
      <c r="R169" s="61"/>
      <c r="S169" s="25"/>
      <c r="T169" s="5"/>
    </row>
    <row r="170" spans="1:20" ht="15.6" x14ac:dyDescent="0.3">
      <c r="A170" s="2"/>
      <c r="B170" s="4"/>
      <c r="C170" s="4"/>
      <c r="D170" s="4"/>
      <c r="E170" s="4"/>
      <c r="F170" s="4"/>
      <c r="G170" s="4"/>
      <c r="H170" s="4"/>
      <c r="I170" s="4"/>
      <c r="J170" s="4"/>
      <c r="K170" s="4"/>
      <c r="L170" s="4"/>
      <c r="M170" s="4"/>
      <c r="N170" s="4"/>
      <c r="O170" s="4"/>
      <c r="P170" s="4"/>
      <c r="Q170" s="4"/>
      <c r="R170" s="50"/>
      <c r="S170" s="4"/>
      <c r="T170" s="5"/>
    </row>
    <row r="171" spans="1:20" ht="15.6" x14ac:dyDescent="0.3">
      <c r="A171" s="6"/>
      <c r="B171" s="120" t="s">
        <v>67</v>
      </c>
      <c r="C171" s="118"/>
      <c r="D171" s="118"/>
      <c r="E171" s="118"/>
      <c r="F171" s="118"/>
      <c r="G171" s="118"/>
      <c r="H171" s="121"/>
      <c r="I171" s="121"/>
      <c r="J171" s="121"/>
      <c r="K171" s="121"/>
      <c r="L171" s="121"/>
      <c r="M171" s="121"/>
      <c r="N171" s="121"/>
      <c r="O171" s="121" t="s">
        <v>112</v>
      </c>
      <c r="P171" s="121" t="s">
        <v>120</v>
      </c>
      <c r="Q171" s="112"/>
      <c r="R171" s="122" t="s">
        <v>129</v>
      </c>
      <c r="S171" s="10"/>
      <c r="T171" s="5"/>
    </row>
    <row r="172" spans="1:20" ht="15.6" x14ac:dyDescent="0.3">
      <c r="A172" s="24"/>
      <c r="B172" s="25" t="s">
        <v>68</v>
      </c>
      <c r="C172" s="25"/>
      <c r="D172" s="25"/>
      <c r="E172" s="25"/>
      <c r="F172" s="25"/>
      <c r="G172" s="25"/>
      <c r="H172" s="25"/>
      <c r="I172" s="25"/>
      <c r="J172" s="25"/>
      <c r="K172" s="25"/>
      <c r="L172" s="25"/>
      <c r="M172" s="25"/>
      <c r="N172" s="25"/>
      <c r="O172" s="53">
        <v>160000</v>
      </c>
      <c r="P172" s="40"/>
      <c r="Q172" s="25"/>
      <c r="R172" s="53"/>
      <c r="S172" s="25"/>
      <c r="T172" s="5"/>
    </row>
    <row r="173" spans="1:20" ht="15.6" x14ac:dyDescent="0.3">
      <c r="A173" s="24"/>
      <c r="B173" s="25" t="s">
        <v>69</v>
      </c>
      <c r="C173" s="25"/>
      <c r="D173" s="25"/>
      <c r="E173" s="25"/>
      <c r="F173" s="25"/>
      <c r="G173" s="25"/>
      <c r="H173" s="25"/>
      <c r="I173" s="25"/>
      <c r="J173" s="25"/>
      <c r="K173" s="25"/>
      <c r="L173" s="25"/>
      <c r="M173" s="25"/>
      <c r="N173" s="25"/>
      <c r="O173" s="53">
        <f>+'June 07'!O175</f>
        <v>60312</v>
      </c>
      <c r="P173" s="53">
        <f>+'June 07'!P175</f>
        <v>7831</v>
      </c>
      <c r="Q173" s="25"/>
      <c r="R173" s="53">
        <f>O173+P173</f>
        <v>68143</v>
      </c>
      <c r="S173" s="25"/>
      <c r="T173" s="5"/>
    </row>
    <row r="174" spans="1:20" ht="15.6" x14ac:dyDescent="0.3">
      <c r="A174" s="24"/>
      <c r="B174" s="25" t="s">
        <v>70</v>
      </c>
      <c r="C174" s="25"/>
      <c r="D174" s="25"/>
      <c r="E174" s="25"/>
      <c r="F174" s="25"/>
      <c r="G174" s="25"/>
      <c r="H174" s="25"/>
      <c r="I174" s="25"/>
      <c r="J174" s="25"/>
      <c r="K174" s="25"/>
      <c r="L174" s="25"/>
      <c r="M174" s="25"/>
      <c r="N174" s="25"/>
      <c r="O174" s="34">
        <v>4078</v>
      </c>
      <c r="P174" s="34">
        <f>-P96-P119</f>
        <v>131</v>
      </c>
      <c r="Q174" s="25"/>
      <c r="R174" s="53">
        <f>O174+P174</f>
        <v>4209</v>
      </c>
      <c r="S174" s="25"/>
      <c r="T174" s="5"/>
    </row>
    <row r="175" spans="1:20" ht="15.6" x14ac:dyDescent="0.3">
      <c r="A175" s="24"/>
      <c r="B175" s="25" t="s">
        <v>71</v>
      </c>
      <c r="C175" s="25"/>
      <c r="D175" s="25"/>
      <c r="E175" s="25"/>
      <c r="F175" s="25"/>
      <c r="G175" s="25"/>
      <c r="H175" s="25"/>
      <c r="I175" s="25"/>
      <c r="J175" s="25"/>
      <c r="K175" s="25"/>
      <c r="L175" s="25"/>
      <c r="M175" s="25"/>
      <c r="N175" s="25"/>
      <c r="O175" s="53">
        <f>O173+O174</f>
        <v>64390</v>
      </c>
      <c r="P175" s="53">
        <f>P174+P173</f>
        <v>7962</v>
      </c>
      <c r="Q175" s="25"/>
      <c r="R175" s="53">
        <f>O175+P175</f>
        <v>72352</v>
      </c>
      <c r="S175" s="25"/>
      <c r="T175" s="5"/>
    </row>
    <row r="176" spans="1:20" ht="15.6" x14ac:dyDescent="0.3">
      <c r="A176" s="24"/>
      <c r="B176" s="25" t="s">
        <v>72</v>
      </c>
      <c r="C176" s="25"/>
      <c r="D176" s="25"/>
      <c r="E176" s="25"/>
      <c r="F176" s="25"/>
      <c r="G176" s="25"/>
      <c r="H176" s="25"/>
      <c r="I176" s="25"/>
      <c r="J176" s="25"/>
      <c r="K176" s="25"/>
      <c r="L176" s="25"/>
      <c r="M176" s="25"/>
      <c r="N176" s="25"/>
      <c r="O176" s="53">
        <f>O172-O175-P175</f>
        <v>87648</v>
      </c>
      <c r="P176" s="40"/>
      <c r="Q176" s="25"/>
      <c r="R176" s="53"/>
      <c r="S176" s="25"/>
      <c r="T176" s="5"/>
    </row>
    <row r="177" spans="1:20" ht="16.2" thickBot="1" x14ac:dyDescent="0.35">
      <c r="A177" s="24"/>
      <c r="B177" s="25"/>
      <c r="C177" s="25"/>
      <c r="D177" s="25"/>
      <c r="E177" s="25"/>
      <c r="F177" s="25"/>
      <c r="G177" s="25"/>
      <c r="H177" s="25"/>
      <c r="I177" s="25"/>
      <c r="J177" s="25"/>
      <c r="K177" s="25"/>
      <c r="L177" s="25"/>
      <c r="M177" s="25"/>
      <c r="N177" s="25"/>
      <c r="O177" s="25"/>
      <c r="P177" s="25"/>
      <c r="Q177" s="25"/>
      <c r="R177" s="61"/>
      <c r="S177" s="25"/>
      <c r="T177" s="5"/>
    </row>
    <row r="178" spans="1:20" ht="15.6" x14ac:dyDescent="0.3">
      <c r="A178" s="2"/>
      <c r="B178" s="4"/>
      <c r="C178" s="4"/>
      <c r="D178" s="4"/>
      <c r="E178" s="4"/>
      <c r="F178" s="4"/>
      <c r="G178" s="4"/>
      <c r="H178" s="4"/>
      <c r="I178" s="4"/>
      <c r="J178" s="4"/>
      <c r="K178" s="4"/>
      <c r="L178" s="4"/>
      <c r="M178" s="4"/>
      <c r="N178" s="4"/>
      <c r="O178" s="4"/>
      <c r="P178" s="4"/>
      <c r="Q178" s="4"/>
      <c r="R178" s="50"/>
      <c r="S178" s="4"/>
      <c r="T178" s="5"/>
    </row>
    <row r="179" spans="1:20" ht="15.6" x14ac:dyDescent="0.3">
      <c r="A179" s="6"/>
      <c r="B179" s="120" t="s">
        <v>73</v>
      </c>
      <c r="C179" s="8"/>
      <c r="D179" s="8"/>
      <c r="E179" s="8"/>
      <c r="F179" s="8"/>
      <c r="G179" s="8"/>
      <c r="H179" s="8"/>
      <c r="I179" s="8"/>
      <c r="J179" s="8"/>
      <c r="K179" s="8"/>
      <c r="L179" s="8"/>
      <c r="M179" s="8"/>
      <c r="N179" s="8"/>
      <c r="O179" s="8"/>
      <c r="P179" s="8"/>
      <c r="Q179" s="8"/>
      <c r="R179" s="65"/>
      <c r="S179" s="8"/>
      <c r="T179" s="5"/>
    </row>
    <row r="180" spans="1:20" ht="15.6" x14ac:dyDescent="0.3">
      <c r="A180" s="24"/>
      <c r="B180" s="25" t="s">
        <v>74</v>
      </c>
      <c r="C180" s="25"/>
      <c r="D180" s="25"/>
      <c r="E180" s="25"/>
      <c r="F180" s="25"/>
      <c r="G180" s="25"/>
      <c r="H180" s="25"/>
      <c r="I180" s="25"/>
      <c r="J180" s="25"/>
      <c r="K180" s="25"/>
      <c r="L180" s="25"/>
      <c r="M180" s="25"/>
      <c r="N180" s="25"/>
      <c r="O180" s="25"/>
      <c r="P180" s="25"/>
      <c r="Q180" s="25"/>
      <c r="R180" s="59">
        <f>(R98+R100+R101+R102+R103+R104)/-(R105+R106+R107+R108)</f>
        <v>1.4581787342308916</v>
      </c>
      <c r="S180" s="25" t="s">
        <v>130</v>
      </c>
      <c r="T180" s="5"/>
    </row>
    <row r="181" spans="1:20" ht="15.6" x14ac:dyDescent="0.3">
      <c r="A181" s="24"/>
      <c r="B181" s="25" t="s">
        <v>75</v>
      </c>
      <c r="C181" s="25"/>
      <c r="D181" s="25"/>
      <c r="E181" s="25"/>
      <c r="F181" s="25"/>
      <c r="G181" s="25"/>
      <c r="H181" s="25"/>
      <c r="I181" s="25"/>
      <c r="J181" s="25"/>
      <c r="K181" s="25"/>
      <c r="L181" s="25"/>
      <c r="M181" s="25"/>
      <c r="N181" s="25"/>
      <c r="O181" s="25"/>
      <c r="P181" s="25"/>
      <c r="Q181" s="25"/>
      <c r="R181" s="59">
        <v>1.4</v>
      </c>
      <c r="S181" s="25" t="s">
        <v>130</v>
      </c>
      <c r="T181" s="5"/>
    </row>
    <row r="182" spans="1:20" ht="15.6" x14ac:dyDescent="0.3">
      <c r="A182" s="24"/>
      <c r="B182" s="25" t="s">
        <v>76</v>
      </c>
      <c r="C182" s="25"/>
      <c r="D182" s="25"/>
      <c r="E182" s="25"/>
      <c r="F182" s="25"/>
      <c r="G182" s="25"/>
      <c r="H182" s="25"/>
      <c r="I182" s="25"/>
      <c r="J182" s="25"/>
      <c r="K182" s="25"/>
      <c r="L182" s="25"/>
      <c r="M182" s="25"/>
      <c r="N182" s="25"/>
      <c r="O182" s="25"/>
      <c r="P182" s="25"/>
      <c r="Q182" s="25"/>
      <c r="R182" s="59">
        <f>(R98+R100+R101+R102+R103+R104+R105+R106+R107+R108)/-(R109+R110)</f>
        <v>2.5989176187612748</v>
      </c>
      <c r="S182" s="25" t="s">
        <v>130</v>
      </c>
      <c r="T182" s="5"/>
    </row>
    <row r="183" spans="1:20" ht="15.6" x14ac:dyDescent="0.3">
      <c r="A183" s="24"/>
      <c r="B183" s="25" t="s">
        <v>77</v>
      </c>
      <c r="C183" s="25"/>
      <c r="D183" s="25"/>
      <c r="E183" s="25"/>
      <c r="F183" s="25"/>
      <c r="G183" s="25"/>
      <c r="H183" s="25"/>
      <c r="I183" s="25"/>
      <c r="J183" s="25"/>
      <c r="K183" s="25"/>
      <c r="L183" s="25"/>
      <c r="M183" s="25"/>
      <c r="N183" s="25"/>
      <c r="O183" s="25"/>
      <c r="P183" s="25"/>
      <c r="Q183" s="25"/>
      <c r="R183" s="67">
        <v>2.76</v>
      </c>
      <c r="S183" s="25" t="s">
        <v>130</v>
      </c>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6"/>
      <c r="B186" s="8"/>
      <c r="C186" s="8"/>
      <c r="D186" s="8"/>
      <c r="E186" s="8"/>
      <c r="F186" s="8"/>
      <c r="G186" s="8"/>
      <c r="H186" s="8"/>
      <c r="I186" s="8"/>
      <c r="J186" s="8"/>
      <c r="K186" s="8"/>
      <c r="L186" s="8"/>
      <c r="M186" s="8"/>
      <c r="N186" s="8"/>
      <c r="O186" s="8"/>
      <c r="P186" s="8"/>
      <c r="Q186" s="8"/>
      <c r="R186" s="8"/>
      <c r="S186" s="8"/>
      <c r="T186" s="5"/>
    </row>
    <row r="187" spans="1:20" ht="18" thickBot="1" x14ac:dyDescent="0.35">
      <c r="A187" s="102"/>
      <c r="B187" s="103" t="str">
        <f>B131</f>
        <v>PM8 INVESTOR REPORT QUARTER ENDING SEPTEMBER 2007</v>
      </c>
      <c r="C187" s="148"/>
      <c r="D187" s="148"/>
      <c r="E187" s="148"/>
      <c r="F187" s="148"/>
      <c r="G187" s="148"/>
      <c r="H187" s="148"/>
      <c r="I187" s="148"/>
      <c r="J187" s="148"/>
      <c r="K187" s="148"/>
      <c r="L187" s="148"/>
      <c r="M187" s="148"/>
      <c r="N187" s="148"/>
      <c r="O187" s="148"/>
      <c r="P187" s="148"/>
      <c r="Q187" s="148"/>
      <c r="R187" s="148"/>
      <c r="S187" s="149"/>
      <c r="T187" s="5"/>
    </row>
    <row r="188" spans="1:20" ht="15.6" x14ac:dyDescent="0.3">
      <c r="A188" s="68"/>
      <c r="B188" s="60" t="s">
        <v>78</v>
      </c>
      <c r="C188" s="69"/>
      <c r="D188" s="69"/>
      <c r="E188" s="69"/>
      <c r="F188" s="69"/>
      <c r="G188" s="70"/>
      <c r="H188" s="70"/>
      <c r="I188" s="70"/>
      <c r="J188" s="70"/>
      <c r="K188" s="70"/>
      <c r="L188" s="70"/>
      <c r="M188" s="70"/>
      <c r="N188" s="70"/>
      <c r="O188" s="70"/>
      <c r="P188" s="71">
        <v>39353</v>
      </c>
      <c r="Q188" s="4"/>
      <c r="R188" s="4"/>
      <c r="S188" s="4"/>
      <c r="T188" s="5"/>
    </row>
    <row r="189" spans="1:20" ht="15.6" x14ac:dyDescent="0.3">
      <c r="A189" s="72"/>
      <c r="B189" s="73"/>
      <c r="C189" s="74"/>
      <c r="D189" s="74"/>
      <c r="E189" s="74"/>
      <c r="F189" s="74"/>
      <c r="G189" s="75"/>
      <c r="H189" s="75"/>
      <c r="I189" s="75"/>
      <c r="J189" s="75"/>
      <c r="K189" s="75"/>
      <c r="L189" s="75"/>
      <c r="M189" s="75"/>
      <c r="N189" s="75"/>
      <c r="O189" s="75"/>
      <c r="P189" s="75"/>
      <c r="Q189" s="8"/>
      <c r="R189" s="8"/>
      <c r="S189" s="8"/>
      <c r="T189" s="5"/>
    </row>
    <row r="190" spans="1:20" ht="15.6" x14ac:dyDescent="0.3">
      <c r="A190" s="76"/>
      <c r="B190" s="77" t="s">
        <v>79</v>
      </c>
      <c r="C190" s="78"/>
      <c r="D190" s="78"/>
      <c r="E190" s="78"/>
      <c r="F190" s="78"/>
      <c r="G190" s="64"/>
      <c r="H190" s="64"/>
      <c r="I190" s="64"/>
      <c r="J190" s="64"/>
      <c r="K190" s="64"/>
      <c r="L190" s="64"/>
      <c r="M190" s="64"/>
      <c r="N190" s="64"/>
      <c r="O190" s="64"/>
      <c r="P190" s="79">
        <v>6.2039999999999998E-2</v>
      </c>
      <c r="Q190" s="25"/>
      <c r="R190" s="25"/>
      <c r="S190" s="25"/>
      <c r="T190" s="5"/>
    </row>
    <row r="191" spans="1:20" ht="15.6" x14ac:dyDescent="0.3">
      <c r="A191" s="76"/>
      <c r="B191" s="77" t="s">
        <v>178</v>
      </c>
      <c r="C191" s="78"/>
      <c r="D191" s="78"/>
      <c r="E191" s="78"/>
      <c r="F191" s="78"/>
      <c r="G191" s="64"/>
      <c r="H191" s="64"/>
      <c r="I191" s="64"/>
      <c r="J191" s="64"/>
      <c r="K191" s="64"/>
      <c r="L191" s="64"/>
      <c r="M191" s="64"/>
      <c r="N191" s="64"/>
      <c r="O191" s="64"/>
      <c r="P191" s="39">
        <v>5.1733455000000005E-2</v>
      </c>
      <c r="Q191" s="25"/>
      <c r="R191" s="25"/>
      <c r="S191" s="25"/>
      <c r="T191" s="5"/>
    </row>
    <row r="192" spans="1:20" ht="15.6" x14ac:dyDescent="0.3">
      <c r="A192" s="76"/>
      <c r="B192" s="77" t="s">
        <v>80</v>
      </c>
      <c r="C192" s="78"/>
      <c r="D192" s="78"/>
      <c r="E192" s="78"/>
      <c r="F192" s="78"/>
      <c r="G192" s="64"/>
      <c r="H192" s="64"/>
      <c r="I192" s="64"/>
      <c r="J192" s="64"/>
      <c r="K192" s="64"/>
      <c r="L192" s="64"/>
      <c r="M192" s="64"/>
      <c r="N192" s="64"/>
      <c r="O192" s="64"/>
      <c r="P192" s="79">
        <f>P190-P191</f>
        <v>1.0306544999999993E-2</v>
      </c>
      <c r="Q192" s="25"/>
      <c r="R192" s="25"/>
      <c r="S192" s="25"/>
      <c r="T192" s="5"/>
    </row>
    <row r="193" spans="1:20" ht="15.6" x14ac:dyDescent="0.3">
      <c r="A193" s="76"/>
      <c r="B193" s="77" t="s">
        <v>81</v>
      </c>
      <c r="C193" s="78"/>
      <c r="D193" s="78"/>
      <c r="E193" s="78"/>
      <c r="F193" s="78"/>
      <c r="G193" s="64"/>
      <c r="H193" s="64"/>
      <c r="I193" s="64"/>
      <c r="J193" s="64"/>
      <c r="K193" s="64"/>
      <c r="L193" s="64"/>
      <c r="M193" s="64"/>
      <c r="N193" s="64"/>
      <c r="O193" s="64"/>
      <c r="P193" s="79">
        <v>6.8239999999999995E-2</v>
      </c>
      <c r="Q193" s="25"/>
      <c r="R193" s="25"/>
      <c r="S193" s="25"/>
      <c r="T193" s="5"/>
    </row>
    <row r="194" spans="1:20" ht="15.6" x14ac:dyDescent="0.3">
      <c r="A194" s="76"/>
      <c r="B194" s="77" t="s">
        <v>261</v>
      </c>
      <c r="C194" s="78"/>
      <c r="D194" s="78"/>
      <c r="E194" s="78"/>
      <c r="F194" s="78"/>
      <c r="G194" s="64"/>
      <c r="H194" s="64"/>
      <c r="I194" s="64"/>
      <c r="J194" s="64"/>
      <c r="K194" s="64"/>
      <c r="L194" s="64"/>
      <c r="M194" s="64"/>
      <c r="N194" s="64"/>
      <c r="O194" s="64"/>
      <c r="P194" s="79">
        <f>+R42</f>
        <v>6.2841753703118522E-2</v>
      </c>
      <c r="Q194" s="25"/>
      <c r="R194" s="25"/>
      <c r="S194" s="25"/>
      <c r="T194" s="5"/>
    </row>
    <row r="195" spans="1:20" ht="15.6" x14ac:dyDescent="0.3">
      <c r="A195" s="76"/>
      <c r="B195" s="77" t="s">
        <v>82</v>
      </c>
      <c r="C195" s="78"/>
      <c r="D195" s="78"/>
      <c r="E195" s="78"/>
      <c r="F195" s="78"/>
      <c r="G195" s="64"/>
      <c r="H195" s="64"/>
      <c r="I195" s="64"/>
      <c r="J195" s="64"/>
      <c r="K195" s="64"/>
      <c r="L195" s="64"/>
      <c r="M195" s="64"/>
      <c r="N195" s="64"/>
      <c r="O195" s="64"/>
      <c r="P195" s="79">
        <f>P193-P194</f>
        <v>5.3982462968814732E-3</v>
      </c>
      <c r="Q195" s="25"/>
      <c r="R195" s="25"/>
      <c r="S195" s="25"/>
      <c r="T195" s="5"/>
    </row>
    <row r="196" spans="1:20" ht="15.6" x14ac:dyDescent="0.3">
      <c r="A196" s="76"/>
      <c r="B196" s="77" t="s">
        <v>267</v>
      </c>
      <c r="C196" s="78"/>
      <c r="D196" s="78"/>
      <c r="E196" s="78"/>
      <c r="F196" s="78"/>
      <c r="G196" s="64"/>
      <c r="H196" s="64"/>
      <c r="I196" s="64"/>
      <c r="J196" s="64"/>
      <c r="K196" s="64"/>
      <c r="L196" s="64"/>
      <c r="M196" s="64"/>
      <c r="N196" s="64"/>
      <c r="O196" s="64"/>
      <c r="P196" s="79">
        <f>+R98/J70</f>
        <v>1.9759218497847595E-2</v>
      </c>
      <c r="Q196" s="25"/>
      <c r="R196" s="25"/>
      <c r="S196" s="25"/>
      <c r="T196" s="5"/>
    </row>
    <row r="197" spans="1:20" ht="15.6" x14ac:dyDescent="0.3">
      <c r="A197" s="76"/>
      <c r="B197" s="77" t="s">
        <v>208</v>
      </c>
      <c r="C197" s="78"/>
      <c r="D197" s="78"/>
      <c r="E197" s="78"/>
      <c r="F197" s="78"/>
      <c r="G197" s="64"/>
      <c r="H197" s="64"/>
      <c r="I197" s="64"/>
      <c r="J197" s="64"/>
      <c r="K197" s="64"/>
      <c r="L197" s="64"/>
      <c r="M197" s="64"/>
      <c r="N197" s="64"/>
      <c r="O197" s="64"/>
      <c r="P197" s="132">
        <v>12875</v>
      </c>
      <c r="Q197" s="25"/>
      <c r="R197" s="25"/>
      <c r="S197" s="25"/>
      <c r="T197" s="5"/>
    </row>
    <row r="198" spans="1:20" ht="15.6" x14ac:dyDescent="0.3">
      <c r="A198" s="76"/>
      <c r="B198" s="77" t="s">
        <v>209</v>
      </c>
      <c r="C198" s="78"/>
      <c r="D198" s="78"/>
      <c r="E198" s="78"/>
      <c r="F198" s="78"/>
      <c r="G198" s="64"/>
      <c r="H198" s="64"/>
      <c r="I198" s="64"/>
      <c r="J198" s="64"/>
      <c r="K198" s="64"/>
      <c r="L198" s="64"/>
      <c r="M198" s="64"/>
      <c r="N198" s="64"/>
      <c r="O198" s="64"/>
      <c r="P198" s="132">
        <v>16163</v>
      </c>
      <c r="Q198" s="25"/>
      <c r="R198" s="25"/>
      <c r="S198" s="25"/>
      <c r="T198" s="5"/>
    </row>
    <row r="199" spans="1:20" ht="15.6" x14ac:dyDescent="0.3">
      <c r="A199" s="76"/>
      <c r="B199" s="77" t="s">
        <v>83</v>
      </c>
      <c r="C199" s="78"/>
      <c r="D199" s="78"/>
      <c r="E199" s="78"/>
      <c r="F199" s="78"/>
      <c r="G199" s="64"/>
      <c r="H199" s="64"/>
      <c r="I199" s="64"/>
      <c r="J199" s="64"/>
      <c r="K199" s="64"/>
      <c r="L199" s="64"/>
      <c r="M199" s="64"/>
      <c r="N199" s="64"/>
      <c r="O199" s="64"/>
      <c r="P199" s="136">
        <v>19.739999999999998</v>
      </c>
      <c r="Q199" s="25" t="s">
        <v>125</v>
      </c>
      <c r="R199" s="25"/>
      <c r="S199" s="25"/>
      <c r="T199" s="5"/>
    </row>
    <row r="200" spans="1:20" ht="15.6" x14ac:dyDescent="0.3">
      <c r="A200" s="76"/>
      <c r="B200" s="77" t="s">
        <v>84</v>
      </c>
      <c r="C200" s="78"/>
      <c r="D200" s="78"/>
      <c r="E200" s="78"/>
      <c r="F200" s="78"/>
      <c r="G200" s="64"/>
      <c r="H200" s="64"/>
      <c r="I200" s="64"/>
      <c r="J200" s="64"/>
      <c r="K200" s="64"/>
      <c r="L200" s="64"/>
      <c r="M200" s="64"/>
      <c r="N200" s="64"/>
      <c r="O200" s="64"/>
      <c r="P200" s="136">
        <v>18.2</v>
      </c>
      <c r="Q200" s="25" t="s">
        <v>125</v>
      </c>
      <c r="R200" s="25"/>
      <c r="S200" s="25"/>
      <c r="T200" s="5"/>
    </row>
    <row r="201" spans="1:20" ht="15.6" x14ac:dyDescent="0.3">
      <c r="A201" s="76"/>
      <c r="B201" s="77" t="s">
        <v>85</v>
      </c>
      <c r="C201" s="78"/>
      <c r="D201" s="78"/>
      <c r="E201" s="78"/>
      <c r="F201" s="78"/>
      <c r="G201" s="64"/>
      <c r="H201" s="64"/>
      <c r="I201" s="64"/>
      <c r="J201" s="64"/>
      <c r="K201" s="64"/>
      <c r="L201" s="64"/>
      <c r="M201" s="64"/>
      <c r="N201" s="64"/>
      <c r="O201" s="64"/>
      <c r="P201" s="79">
        <f>+L67/J67</f>
        <v>8.8671522582266543E-2</v>
      </c>
      <c r="Q201" s="25"/>
      <c r="R201" s="25"/>
      <c r="S201" s="25"/>
      <c r="T201" s="5"/>
    </row>
    <row r="202" spans="1:20" ht="15.6" x14ac:dyDescent="0.3">
      <c r="A202" s="76"/>
      <c r="B202" s="77" t="s">
        <v>86</v>
      </c>
      <c r="C202" s="78"/>
      <c r="D202" s="78"/>
      <c r="E202" s="78"/>
      <c r="F202" s="78"/>
      <c r="G202" s="64"/>
      <c r="H202" s="64"/>
      <c r="I202" s="64"/>
      <c r="J202" s="64"/>
      <c r="K202" s="64"/>
      <c r="L202" s="64"/>
      <c r="M202" s="64"/>
      <c r="N202" s="64"/>
      <c r="O202" s="64"/>
      <c r="P202" s="79">
        <v>0.1648</v>
      </c>
      <c r="Q202" s="25"/>
      <c r="R202" s="25"/>
      <c r="S202" s="25"/>
      <c r="T202" s="5"/>
    </row>
    <row r="203" spans="1:20" ht="15.6" x14ac:dyDescent="0.3">
      <c r="A203" s="76"/>
      <c r="B203" s="77"/>
      <c r="C203" s="77"/>
      <c r="D203" s="77"/>
      <c r="E203" s="77"/>
      <c r="F203" s="77"/>
      <c r="G203" s="25"/>
      <c r="H203" s="25"/>
      <c r="I203" s="25"/>
      <c r="J203" s="25"/>
      <c r="K203" s="25"/>
      <c r="L203" s="25"/>
      <c r="M203" s="25"/>
      <c r="N203" s="25"/>
      <c r="O203" s="25"/>
      <c r="P203" s="61"/>
      <c r="Q203" s="25"/>
      <c r="R203" s="80"/>
      <c r="S203" s="25"/>
      <c r="T203" s="5"/>
    </row>
    <row r="204" spans="1:20" ht="15.6" x14ac:dyDescent="0.3">
      <c r="A204" s="81"/>
      <c r="B204" s="14" t="s">
        <v>87</v>
      </c>
      <c r="C204" s="82"/>
      <c r="D204" s="82"/>
      <c r="E204" s="82"/>
      <c r="F204" s="83"/>
      <c r="G204" s="82"/>
      <c r="H204" s="17"/>
      <c r="I204" s="17"/>
      <c r="J204" s="17"/>
      <c r="K204" s="17"/>
      <c r="L204" s="17"/>
      <c r="M204" s="17"/>
      <c r="N204" s="17"/>
      <c r="O204" s="17" t="s">
        <v>113</v>
      </c>
      <c r="P204" s="84" t="s">
        <v>121</v>
      </c>
      <c r="Q204" s="8"/>
      <c r="R204" s="8"/>
      <c r="S204" s="8"/>
      <c r="T204" s="5"/>
    </row>
    <row r="205" spans="1:20" ht="15.6" x14ac:dyDescent="0.3">
      <c r="A205" s="85"/>
      <c r="B205" s="77" t="s">
        <v>88</v>
      </c>
      <c r="C205" s="54"/>
      <c r="D205" s="54"/>
      <c r="E205" s="54"/>
      <c r="F205" s="25"/>
      <c r="G205" s="25"/>
      <c r="H205" s="30"/>
      <c r="I205" s="30"/>
      <c r="J205" s="30"/>
      <c r="K205" s="30"/>
      <c r="L205" s="30"/>
      <c r="M205" s="30"/>
      <c r="N205" s="30"/>
      <c r="O205" s="30">
        <v>4</v>
      </c>
      <c r="P205" s="86">
        <v>138</v>
      </c>
      <c r="Q205" s="25"/>
      <c r="R205" s="80"/>
      <c r="S205" s="87"/>
      <c r="T205" s="5"/>
    </row>
    <row r="206" spans="1:20" ht="15.6" x14ac:dyDescent="0.3">
      <c r="A206" s="85"/>
      <c r="B206" s="77" t="s">
        <v>169</v>
      </c>
      <c r="C206" s="54"/>
      <c r="D206" s="54"/>
      <c r="E206" s="54"/>
      <c r="F206" s="25"/>
      <c r="G206" s="25"/>
      <c r="H206" s="30"/>
      <c r="I206" s="30"/>
      <c r="J206" s="30"/>
      <c r="K206" s="30"/>
      <c r="L206" s="30"/>
      <c r="M206" s="30"/>
      <c r="N206" s="30"/>
      <c r="O206" s="163">
        <f>+N244</f>
        <v>34</v>
      </c>
      <c r="P206" s="86">
        <f>+P244</f>
        <v>5035</v>
      </c>
      <c r="Q206" s="25"/>
      <c r="R206" s="80"/>
      <c r="S206" s="87"/>
      <c r="T206" s="5"/>
    </row>
    <row r="207" spans="1:20" ht="15.6" x14ac:dyDescent="0.3">
      <c r="A207" s="85"/>
      <c r="B207" s="77" t="s">
        <v>89</v>
      </c>
      <c r="C207" s="54"/>
      <c r="D207" s="54"/>
      <c r="E207" s="54"/>
      <c r="F207" s="25"/>
      <c r="G207" s="25"/>
      <c r="H207" s="30"/>
      <c r="I207" s="30"/>
      <c r="J207" s="30"/>
      <c r="K207" s="30"/>
      <c r="L207" s="30"/>
      <c r="M207" s="30"/>
      <c r="N207" s="30"/>
      <c r="O207" s="163">
        <f>+N256</f>
        <v>0</v>
      </c>
      <c r="P207" s="86">
        <f>+P256</f>
        <v>0</v>
      </c>
      <c r="Q207" s="25"/>
      <c r="R207" s="80"/>
      <c r="S207" s="87"/>
      <c r="T207" s="5"/>
    </row>
    <row r="208" spans="1:20" ht="15.6" x14ac:dyDescent="0.3">
      <c r="A208" s="85"/>
      <c r="B208" s="123" t="s">
        <v>90</v>
      </c>
      <c r="C208" s="54"/>
      <c r="D208" s="54"/>
      <c r="E208" s="54"/>
      <c r="F208" s="25"/>
      <c r="G208" s="25"/>
      <c r="H208" s="25"/>
      <c r="I208" s="25"/>
      <c r="J208" s="25"/>
      <c r="K208" s="25"/>
      <c r="L208" s="25"/>
      <c r="M208" s="25"/>
      <c r="N208" s="25"/>
      <c r="O208" s="25"/>
      <c r="P208" s="86">
        <v>0</v>
      </c>
      <c r="Q208" s="25"/>
      <c r="R208" s="80"/>
      <c r="S208" s="87"/>
      <c r="T208" s="5"/>
    </row>
    <row r="209" spans="1:21" ht="15.6" x14ac:dyDescent="0.3">
      <c r="A209" s="85"/>
      <c r="B209" s="123" t="s">
        <v>91</v>
      </c>
      <c r="C209" s="54"/>
      <c r="D209" s="54"/>
      <c r="E209" s="54"/>
      <c r="F209" s="25"/>
      <c r="G209" s="25"/>
      <c r="H209" s="25"/>
      <c r="I209" s="25"/>
      <c r="J209" s="25"/>
      <c r="K209" s="25"/>
      <c r="L209" s="25"/>
      <c r="M209" s="25"/>
      <c r="N209" s="25"/>
      <c r="O209" s="25"/>
      <c r="P209" s="62" t="s">
        <v>122</v>
      </c>
      <c r="Q209" s="25"/>
      <c r="R209" s="80"/>
      <c r="S209" s="87"/>
      <c r="T209" s="5"/>
    </row>
    <row r="210" spans="1:21" ht="15.6" x14ac:dyDescent="0.3">
      <c r="A210" s="88"/>
      <c r="B210" s="123" t="s">
        <v>92</v>
      </c>
      <c r="C210" s="77"/>
      <c r="D210" s="77"/>
      <c r="E210" s="77"/>
      <c r="F210" s="77"/>
      <c r="G210" s="25"/>
      <c r="H210" s="25"/>
      <c r="I210" s="25"/>
      <c r="J210" s="25"/>
      <c r="K210" s="25"/>
      <c r="L210" s="25"/>
      <c r="M210" s="25"/>
      <c r="N210" s="25"/>
      <c r="O210" s="25"/>
      <c r="P210" s="86"/>
      <c r="Q210" s="25"/>
      <c r="R210" s="80"/>
      <c r="S210" s="89"/>
      <c r="T210" s="5"/>
    </row>
    <row r="211" spans="1:21" ht="15.6" x14ac:dyDescent="0.3">
      <c r="A211" s="88"/>
      <c r="B211" s="134" t="s">
        <v>93</v>
      </c>
      <c r="C211" s="77"/>
      <c r="D211" s="77"/>
      <c r="E211" s="77"/>
      <c r="F211" s="77"/>
      <c r="G211" s="25"/>
      <c r="H211" s="25"/>
      <c r="I211" s="25"/>
      <c r="J211" s="25"/>
      <c r="K211" s="25"/>
      <c r="L211" s="25"/>
      <c r="M211" s="25"/>
      <c r="N211" s="25"/>
      <c r="O211" s="30"/>
      <c r="P211" s="86">
        <f>R159</f>
        <v>31</v>
      </c>
      <c r="Q211" s="25"/>
      <c r="R211" s="80"/>
      <c r="S211" s="89"/>
      <c r="T211" s="5"/>
    </row>
    <row r="212" spans="1:21" ht="15.6" x14ac:dyDescent="0.3">
      <c r="A212" s="85"/>
      <c r="B212" s="77" t="s">
        <v>94</v>
      </c>
      <c r="C212" s="54"/>
      <c r="D212" s="54"/>
      <c r="E212" s="54"/>
      <c r="F212" s="54"/>
      <c r="G212" s="25"/>
      <c r="H212" s="25"/>
      <c r="I212" s="25"/>
      <c r="J212" s="25"/>
      <c r="K212" s="25"/>
      <c r="L212" s="25"/>
      <c r="M212" s="25"/>
      <c r="N212" s="25"/>
      <c r="O212" s="30"/>
      <c r="P212" s="86">
        <f>+'June 07'!P212+P211</f>
        <v>272</v>
      </c>
      <c r="Q212" s="25"/>
      <c r="R212" s="80"/>
      <c r="S212" s="89"/>
      <c r="T212" s="5"/>
    </row>
    <row r="213" spans="1:21" ht="15.6" x14ac:dyDescent="0.3">
      <c r="A213" s="88" t="s">
        <v>255</v>
      </c>
      <c r="B213" s="123" t="s">
        <v>256</v>
      </c>
      <c r="C213" s="77"/>
      <c r="D213" s="77"/>
      <c r="E213" s="77"/>
      <c r="F213" s="77"/>
      <c r="G213" s="25"/>
      <c r="H213" s="25"/>
      <c r="I213" s="25"/>
      <c r="J213" s="25"/>
      <c r="K213" s="25"/>
      <c r="L213" s="25"/>
      <c r="M213" s="25"/>
      <c r="N213" s="25"/>
      <c r="O213" s="25"/>
      <c r="P213" s="86"/>
      <c r="Q213" s="25"/>
      <c r="R213" s="80"/>
      <c r="S213" s="89"/>
      <c r="T213" s="5"/>
    </row>
    <row r="214" spans="1:21" ht="15.6" x14ac:dyDescent="0.3">
      <c r="A214" s="88"/>
      <c r="B214" s="77" t="s">
        <v>283</v>
      </c>
      <c r="C214" s="77"/>
      <c r="D214" s="77"/>
      <c r="E214" s="77"/>
      <c r="F214" s="77"/>
      <c r="G214" s="25"/>
      <c r="H214" s="25"/>
      <c r="I214" s="25"/>
      <c r="J214" s="25"/>
      <c r="K214" s="25"/>
      <c r="L214" s="25"/>
      <c r="M214" s="25"/>
      <c r="N214" s="25"/>
      <c r="O214" s="30">
        <v>1</v>
      </c>
      <c r="P214" s="86">
        <v>36</v>
      </c>
      <c r="Q214" s="25"/>
      <c r="R214" s="80"/>
      <c r="S214" s="89"/>
      <c r="T214" s="5"/>
    </row>
    <row r="215" spans="1:21" ht="15.6" x14ac:dyDescent="0.3">
      <c r="A215" s="85"/>
      <c r="B215" s="77" t="s">
        <v>97</v>
      </c>
      <c r="C215" s="90"/>
      <c r="D215" s="90"/>
      <c r="E215" s="90"/>
      <c r="F215" s="91"/>
      <c r="G215" s="25"/>
      <c r="H215" s="25"/>
      <c r="I215" s="25"/>
      <c r="J215" s="25"/>
      <c r="K215" s="25"/>
      <c r="L215" s="25"/>
      <c r="M215" s="25"/>
      <c r="N215" s="25"/>
      <c r="O215" s="30"/>
      <c r="P215" s="62">
        <v>18.37</v>
      </c>
      <c r="Q215" s="25"/>
      <c r="R215" s="80"/>
      <c r="S215" s="89"/>
      <c r="T215" s="5"/>
    </row>
    <row r="216" spans="1:21" ht="15.6" x14ac:dyDescent="0.3">
      <c r="A216" s="85"/>
      <c r="B216" s="77" t="s">
        <v>98</v>
      </c>
      <c r="C216" s="90"/>
      <c r="D216" s="90"/>
      <c r="E216" s="90"/>
      <c r="F216" s="91"/>
      <c r="G216" s="25"/>
      <c r="H216" s="25"/>
      <c r="I216" s="25"/>
      <c r="J216" s="25"/>
      <c r="K216" s="25"/>
      <c r="L216" s="25"/>
      <c r="M216" s="25"/>
      <c r="N216" s="25"/>
      <c r="O216" s="30"/>
      <c r="P216" s="62">
        <v>5.59</v>
      </c>
      <c r="Q216" s="25"/>
      <c r="R216" s="80"/>
      <c r="S216" s="89"/>
      <c r="T216" s="5"/>
    </row>
    <row r="217" spans="1:21" ht="15.6" x14ac:dyDescent="0.3">
      <c r="A217" s="85"/>
      <c r="B217" s="123" t="s">
        <v>257</v>
      </c>
      <c r="C217" s="90"/>
      <c r="D217" s="90"/>
      <c r="E217" s="90"/>
      <c r="F217" s="91"/>
      <c r="G217" s="25"/>
      <c r="H217" s="25"/>
      <c r="I217" s="25"/>
      <c r="J217" s="25"/>
      <c r="K217" s="25"/>
      <c r="L217" s="25"/>
      <c r="M217" s="25"/>
      <c r="N217" s="25"/>
      <c r="O217" s="30"/>
      <c r="P217" s="92"/>
      <c r="Q217" s="25"/>
      <c r="R217" s="80"/>
      <c r="S217" s="89"/>
      <c r="T217" s="5"/>
    </row>
    <row r="218" spans="1:21" ht="15.6" x14ac:dyDescent="0.3">
      <c r="A218" s="85"/>
      <c r="B218" s="77" t="s">
        <v>283</v>
      </c>
      <c r="C218" s="90"/>
      <c r="D218" s="90"/>
      <c r="E218" s="90"/>
      <c r="F218" s="91"/>
      <c r="G218" s="25"/>
      <c r="H218" s="25"/>
      <c r="I218" s="25"/>
      <c r="J218" s="25"/>
      <c r="K218" s="25"/>
      <c r="L218" s="25"/>
      <c r="M218" s="25"/>
      <c r="N218" s="25"/>
      <c r="O218" s="30">
        <v>16</v>
      </c>
      <c r="P218" s="86">
        <v>2823</v>
      </c>
      <c r="Q218" s="25"/>
      <c r="R218" s="80"/>
      <c r="S218" s="89"/>
      <c r="T218" s="5"/>
    </row>
    <row r="219" spans="1:21" ht="15.6" x14ac:dyDescent="0.3">
      <c r="A219" s="85"/>
      <c r="B219" s="77" t="s">
        <v>258</v>
      </c>
      <c r="C219" s="90"/>
      <c r="D219" s="90"/>
      <c r="E219" s="90"/>
      <c r="F219" s="91"/>
      <c r="G219" s="25"/>
      <c r="H219" s="25"/>
      <c r="I219" s="25"/>
      <c r="J219" s="25"/>
      <c r="K219" s="25"/>
      <c r="L219" s="25"/>
      <c r="M219" s="25"/>
      <c r="N219" s="25"/>
      <c r="O219" s="25"/>
      <c r="P219" s="171">
        <v>2.73</v>
      </c>
      <c r="Q219" s="25"/>
      <c r="R219" s="80"/>
      <c r="S219" s="89"/>
      <c r="T219" s="5"/>
    </row>
    <row r="220" spans="1:21" ht="17.399999999999999" x14ac:dyDescent="0.3">
      <c r="A220" s="85"/>
      <c r="B220" s="166" t="s">
        <v>247</v>
      </c>
      <c r="C220" s="90"/>
      <c r="D220" s="90"/>
      <c r="E220" s="90"/>
      <c r="F220" s="91"/>
      <c r="G220" s="25"/>
      <c r="H220" s="25"/>
      <c r="I220" s="25"/>
      <c r="J220" s="168" t="s">
        <v>246</v>
      </c>
      <c r="K220" s="25"/>
      <c r="L220" s="25"/>
      <c r="M220" s="25"/>
      <c r="N220" s="25"/>
      <c r="O220" s="25"/>
      <c r="P220" s="92"/>
      <c r="Q220" s="25"/>
      <c r="R220" s="80"/>
      <c r="S220" s="89"/>
      <c r="T220" s="5"/>
    </row>
    <row r="221" spans="1:21" ht="15.6" x14ac:dyDescent="0.3">
      <c r="A221" s="85"/>
      <c r="B221" s="77"/>
      <c r="C221" s="90"/>
      <c r="D221" s="90"/>
      <c r="E221" s="90"/>
      <c r="F221" s="91"/>
      <c r="G221" s="25"/>
      <c r="H221" s="25"/>
      <c r="I221" s="25"/>
      <c r="J221" s="25"/>
      <c r="K221" s="25"/>
      <c r="L221" s="25"/>
      <c r="M221" s="25"/>
      <c r="N221" s="25"/>
      <c r="O221" s="25"/>
      <c r="P221" s="92"/>
      <c r="Q221" s="25"/>
      <c r="R221" s="80"/>
      <c r="S221" s="89"/>
      <c r="T221" s="5"/>
    </row>
    <row r="222" spans="1:21" ht="15.6" x14ac:dyDescent="0.3">
      <c r="A222" s="6"/>
      <c r="B222" s="14" t="s">
        <v>236</v>
      </c>
      <c r="C222" s="82"/>
      <c r="D222" s="82"/>
      <c r="E222" s="82"/>
      <c r="F222" s="83"/>
      <c r="G222" s="82"/>
      <c r="H222" s="17"/>
      <c r="I222" s="17"/>
      <c r="J222" s="17"/>
      <c r="K222" s="17"/>
      <c r="L222" s="17"/>
      <c r="M222" s="17"/>
      <c r="N222" s="84" t="s">
        <v>113</v>
      </c>
      <c r="O222" s="17" t="s">
        <v>114</v>
      </c>
      <c r="P222" s="84" t="s">
        <v>123</v>
      </c>
      <c r="Q222" s="17" t="s">
        <v>114</v>
      </c>
      <c r="R222" s="8"/>
      <c r="S222" s="93"/>
      <c r="T222" s="5"/>
    </row>
    <row r="223" spans="1:21" ht="15.6" x14ac:dyDescent="0.3">
      <c r="A223" s="24"/>
      <c r="B223" s="54" t="s">
        <v>99</v>
      </c>
      <c r="C223" s="94"/>
      <c r="D223" s="94"/>
      <c r="E223" s="94"/>
      <c r="F223" s="25"/>
      <c r="G223" s="94"/>
      <c r="H223" s="94"/>
      <c r="I223" s="94"/>
      <c r="J223" s="94"/>
      <c r="K223" s="94"/>
      <c r="L223" s="94"/>
      <c r="M223" s="94"/>
      <c r="N223" s="54">
        <v>5790</v>
      </c>
      <c r="O223" s="95">
        <f t="shared" ref="O223:O230" si="1">N223/$N$232</f>
        <v>0.9877175025588536</v>
      </c>
      <c r="P223" s="53">
        <v>636572</v>
      </c>
      <c r="Q223" s="135">
        <f t="shared" ref="Q223:Q230" si="2">P223/$P$232</f>
        <v>0.9874737647115398</v>
      </c>
      <c r="R223" s="80"/>
      <c r="S223" s="89"/>
      <c r="T223" s="5"/>
    </row>
    <row r="224" spans="1:21" ht="15.6" x14ac:dyDescent="0.3">
      <c r="A224" s="24"/>
      <c r="B224" s="54" t="s">
        <v>100</v>
      </c>
      <c r="C224" s="94"/>
      <c r="D224" s="94"/>
      <c r="E224" s="94"/>
      <c r="F224" s="25"/>
      <c r="G224" s="95"/>
      <c r="H224" s="94"/>
      <c r="I224" s="94"/>
      <c r="J224" s="94"/>
      <c r="K224" s="94"/>
      <c r="L224" s="94"/>
      <c r="M224" s="94"/>
      <c r="N224" s="54">
        <v>56</v>
      </c>
      <c r="O224" s="95">
        <f t="shared" si="1"/>
        <v>9.5530535653360633E-3</v>
      </c>
      <c r="P224" s="53">
        <v>6687</v>
      </c>
      <c r="Q224" s="135">
        <f t="shared" si="2"/>
        <v>1.037311893175645E-2</v>
      </c>
      <c r="R224" s="80"/>
      <c r="S224" s="89"/>
      <c r="T224" s="5"/>
      <c r="U224" s="110"/>
    </row>
    <row r="225" spans="1:21" ht="15.6" x14ac:dyDescent="0.3">
      <c r="A225" s="24"/>
      <c r="B225" s="54" t="s">
        <v>101</v>
      </c>
      <c r="C225" s="94"/>
      <c r="D225" s="94"/>
      <c r="E225" s="94"/>
      <c r="F225" s="25"/>
      <c r="G225" s="95"/>
      <c r="H225" s="94"/>
      <c r="I225" s="94"/>
      <c r="J225" s="94"/>
      <c r="K225" s="94"/>
      <c r="L225" s="94"/>
      <c r="M225" s="94"/>
      <c r="N225" s="54">
        <v>9</v>
      </c>
      <c r="O225" s="95">
        <f t="shared" si="1"/>
        <v>1.5353121801432957E-3</v>
      </c>
      <c r="P225" s="53">
        <v>1107</v>
      </c>
      <c r="Q225" s="135">
        <f t="shared" si="2"/>
        <v>1.7172188810310139E-3</v>
      </c>
      <c r="R225" s="80"/>
      <c r="S225" s="89"/>
      <c r="T225" s="5"/>
    </row>
    <row r="226" spans="1:21" ht="15.6" x14ac:dyDescent="0.3">
      <c r="A226" s="24"/>
      <c r="B226" s="54" t="s">
        <v>210</v>
      </c>
      <c r="C226" s="94"/>
      <c r="D226" s="94"/>
      <c r="E226" s="94"/>
      <c r="F226" s="25"/>
      <c r="G226" s="95"/>
      <c r="H226" s="94"/>
      <c r="I226" s="94"/>
      <c r="J226" s="94"/>
      <c r="K226" s="94"/>
      <c r="L226" s="94"/>
      <c r="M226" s="94"/>
      <c r="N226" s="54">
        <v>1</v>
      </c>
      <c r="O226" s="95">
        <f t="shared" si="1"/>
        <v>1.7059024223814399E-4</v>
      </c>
      <c r="P226" s="53">
        <v>55</v>
      </c>
      <c r="Q226" s="135">
        <f t="shared" si="2"/>
        <v>8.5318011252670073E-5</v>
      </c>
      <c r="R226" s="80"/>
      <c r="S226" s="89"/>
      <c r="T226" s="5"/>
      <c r="U226" s="110"/>
    </row>
    <row r="227" spans="1:21" ht="15.6" x14ac:dyDescent="0.3">
      <c r="A227" s="24"/>
      <c r="B227" s="54" t="s">
        <v>211</v>
      </c>
      <c r="C227" s="94"/>
      <c r="D227" s="94"/>
      <c r="E227" s="94"/>
      <c r="F227" s="25"/>
      <c r="G227" s="95"/>
      <c r="H227" s="94"/>
      <c r="I227" s="94"/>
      <c r="J227" s="94"/>
      <c r="K227" s="94"/>
      <c r="L227" s="94"/>
      <c r="M227" s="94"/>
      <c r="N227" s="54">
        <v>0</v>
      </c>
      <c r="O227" s="95">
        <f t="shared" si="1"/>
        <v>0</v>
      </c>
      <c r="P227" s="53">
        <v>0</v>
      </c>
      <c r="Q227" s="135">
        <f t="shared" si="2"/>
        <v>0</v>
      </c>
      <c r="R227" s="80"/>
      <c r="S227" s="89"/>
      <c r="T227" s="5"/>
    </row>
    <row r="228" spans="1:21" ht="15.6" x14ac:dyDescent="0.3">
      <c r="A228" s="24"/>
      <c r="B228" s="54" t="s">
        <v>212</v>
      </c>
      <c r="C228" s="94"/>
      <c r="D228" s="94"/>
      <c r="E228" s="94"/>
      <c r="F228" s="25"/>
      <c r="G228" s="95"/>
      <c r="H228" s="94"/>
      <c r="I228" s="94"/>
      <c r="J228" s="94"/>
      <c r="K228" s="94"/>
      <c r="L228" s="94"/>
      <c r="M228" s="94"/>
      <c r="N228" s="54">
        <v>2</v>
      </c>
      <c r="O228" s="95">
        <f t="shared" si="1"/>
        <v>3.4118048447628798E-4</v>
      </c>
      <c r="P228" s="53">
        <v>68</v>
      </c>
      <c r="Q228" s="135">
        <f t="shared" si="2"/>
        <v>1.0548408663966481E-4</v>
      </c>
      <c r="R228" s="80"/>
      <c r="S228" s="89"/>
      <c r="T228" s="5"/>
      <c r="U228" s="110"/>
    </row>
    <row r="229" spans="1:21" ht="15.6" x14ac:dyDescent="0.3">
      <c r="A229" s="24"/>
      <c r="B229" s="54" t="s">
        <v>213</v>
      </c>
      <c r="C229" s="94"/>
      <c r="D229" s="94"/>
      <c r="E229" s="94"/>
      <c r="F229" s="25"/>
      <c r="G229" s="95"/>
      <c r="H229" s="94"/>
      <c r="I229" s="94"/>
      <c r="J229" s="94"/>
      <c r="K229" s="94"/>
      <c r="L229" s="94"/>
      <c r="M229" s="94"/>
      <c r="N229" s="54">
        <v>1</v>
      </c>
      <c r="O229" s="95">
        <f t="shared" si="1"/>
        <v>1.7059024223814399E-4</v>
      </c>
      <c r="P229" s="53">
        <v>25</v>
      </c>
      <c r="Q229" s="135">
        <f t="shared" si="2"/>
        <v>3.8780914205759121E-5</v>
      </c>
      <c r="R229" s="80"/>
      <c r="S229" s="89"/>
      <c r="T229" s="5"/>
    </row>
    <row r="230" spans="1:21" ht="15.6" x14ac:dyDescent="0.3">
      <c r="A230" s="24"/>
      <c r="B230" s="54" t="s">
        <v>214</v>
      </c>
      <c r="C230" s="94"/>
      <c r="D230" s="94"/>
      <c r="E230" s="94"/>
      <c r="F230" s="25"/>
      <c r="G230" s="95"/>
      <c r="H230" s="94"/>
      <c r="I230" s="94"/>
      <c r="J230" s="94"/>
      <c r="K230" s="94"/>
      <c r="L230" s="94"/>
      <c r="M230" s="94"/>
      <c r="N230" s="54">
        <v>3</v>
      </c>
      <c r="O230" s="95">
        <f t="shared" si="1"/>
        <v>5.1177072671443195E-4</v>
      </c>
      <c r="P230" s="53">
        <v>133</v>
      </c>
      <c r="Q230" s="135">
        <f t="shared" si="2"/>
        <v>2.0631446357463853E-4</v>
      </c>
      <c r="R230" s="80"/>
      <c r="S230" s="89"/>
      <c r="T230" s="5"/>
      <c r="U230" s="110"/>
    </row>
    <row r="231" spans="1:21" ht="15.6" x14ac:dyDescent="0.3">
      <c r="A231" s="24"/>
      <c r="B231" s="25"/>
      <c r="C231" s="94"/>
      <c r="D231" s="94"/>
      <c r="E231" s="94"/>
      <c r="F231" s="25"/>
      <c r="G231" s="95"/>
      <c r="H231" s="94"/>
      <c r="I231" s="94"/>
      <c r="J231" s="94"/>
      <c r="K231" s="94"/>
      <c r="L231" s="94"/>
      <c r="M231" s="94"/>
      <c r="N231" s="54"/>
      <c r="O231" s="95"/>
      <c r="P231" s="53"/>
      <c r="Q231" s="135"/>
      <c r="R231" s="80"/>
      <c r="S231" s="89"/>
      <c r="T231" s="5"/>
    </row>
    <row r="232" spans="1:21" ht="15.6" x14ac:dyDescent="0.3">
      <c r="A232" s="24"/>
      <c r="B232" s="25" t="s">
        <v>129</v>
      </c>
      <c r="C232" s="25"/>
      <c r="D232" s="25"/>
      <c r="E232" s="25"/>
      <c r="F232" s="25"/>
      <c r="G232" s="25"/>
      <c r="H232" s="96"/>
      <c r="I232" s="96"/>
      <c r="J232" s="96"/>
      <c r="K232" s="96"/>
      <c r="L232" s="96"/>
      <c r="M232" s="96"/>
      <c r="N232" s="34">
        <f>SUM(N223:N231)</f>
        <v>5862</v>
      </c>
      <c r="O232" s="135">
        <f>SUM(O223:O231)</f>
        <v>0.99999999999999978</v>
      </c>
      <c r="P232" s="53">
        <f>SUM(P223:P231)</f>
        <v>644647</v>
      </c>
      <c r="Q232" s="135">
        <f>SUM(Q223:Q231)</f>
        <v>1</v>
      </c>
      <c r="R232" s="25"/>
      <c r="S232" s="25"/>
      <c r="T232" s="5"/>
    </row>
    <row r="233" spans="1:21" ht="15.6" x14ac:dyDescent="0.3">
      <c r="A233" s="24"/>
      <c r="B233" s="25"/>
      <c r="C233" s="25"/>
      <c r="D233" s="25"/>
      <c r="E233" s="25"/>
      <c r="F233" s="25"/>
      <c r="G233" s="25"/>
      <c r="H233" s="96"/>
      <c r="I233" s="96"/>
      <c r="J233" s="96"/>
      <c r="K233" s="96"/>
      <c r="L233" s="96"/>
      <c r="M233" s="96"/>
      <c r="N233" s="34"/>
      <c r="O233" s="135"/>
      <c r="P233" s="53"/>
      <c r="Q233" s="135"/>
      <c r="R233" s="25"/>
      <c r="S233" s="25"/>
      <c r="T233" s="5"/>
    </row>
    <row r="234" spans="1:21" ht="15.6" x14ac:dyDescent="0.3">
      <c r="A234" s="144"/>
      <c r="B234" s="14" t="s">
        <v>241</v>
      </c>
      <c r="C234" s="82"/>
      <c r="D234" s="82"/>
      <c r="E234" s="82"/>
      <c r="F234" s="83"/>
      <c r="G234" s="82"/>
      <c r="H234" s="17"/>
      <c r="I234" s="17"/>
      <c r="J234" s="17"/>
      <c r="K234" s="17"/>
      <c r="L234" s="17"/>
      <c r="M234" s="17"/>
      <c r="N234" s="84" t="s">
        <v>113</v>
      </c>
      <c r="O234" s="17" t="s">
        <v>114</v>
      </c>
      <c r="P234" s="84" t="s">
        <v>123</v>
      </c>
      <c r="Q234" s="17" t="s">
        <v>114</v>
      </c>
      <c r="R234" s="142"/>
      <c r="S234" s="143"/>
      <c r="T234" s="5"/>
    </row>
    <row r="235" spans="1:21" ht="15.6" x14ac:dyDescent="0.3">
      <c r="A235" s="24"/>
      <c r="B235" s="54" t="s">
        <v>99</v>
      </c>
      <c r="C235" s="94"/>
      <c r="D235" s="94"/>
      <c r="E235" s="94"/>
      <c r="F235" s="25"/>
      <c r="G235" s="94"/>
      <c r="H235" s="94"/>
      <c r="I235" s="94"/>
      <c r="J235" s="94"/>
      <c r="K235" s="94"/>
      <c r="L235" s="94"/>
      <c r="M235" s="94"/>
      <c r="N235" s="54">
        <v>19</v>
      </c>
      <c r="O235" s="95">
        <f t="shared" ref="O235:O242" si="3">N235/$N$244</f>
        <v>0.55882352941176472</v>
      </c>
      <c r="P235" s="53">
        <v>1392</v>
      </c>
      <c r="Q235" s="135">
        <f t="shared" ref="Q235:Q242" si="4">P235/$P$244</f>
        <v>0.27646474677259186</v>
      </c>
      <c r="R235" s="25"/>
      <c r="S235" s="25"/>
      <c r="T235" s="5"/>
    </row>
    <row r="236" spans="1:21" ht="15.6" x14ac:dyDescent="0.3">
      <c r="A236" s="24"/>
      <c r="B236" s="54" t="s">
        <v>100</v>
      </c>
      <c r="C236" s="94"/>
      <c r="D236" s="94"/>
      <c r="E236" s="94"/>
      <c r="F236" s="25"/>
      <c r="G236" s="95"/>
      <c r="H236" s="94"/>
      <c r="I236" s="94"/>
      <c r="J236" s="94"/>
      <c r="K236" s="94"/>
      <c r="L236" s="94"/>
      <c r="M236" s="94"/>
      <c r="N236" s="54">
        <v>0</v>
      </c>
      <c r="O236" s="95">
        <f t="shared" si="3"/>
        <v>0</v>
      </c>
      <c r="P236" s="53">
        <v>0</v>
      </c>
      <c r="Q236" s="135">
        <f t="shared" si="4"/>
        <v>0</v>
      </c>
      <c r="R236" s="25"/>
      <c r="S236" s="25"/>
      <c r="T236" s="5"/>
    </row>
    <row r="237" spans="1:21" ht="15.6" x14ac:dyDescent="0.3">
      <c r="A237" s="24"/>
      <c r="B237" s="54" t="s">
        <v>101</v>
      </c>
      <c r="C237" s="94"/>
      <c r="D237" s="94"/>
      <c r="E237" s="94"/>
      <c r="F237" s="25"/>
      <c r="G237" s="95"/>
      <c r="H237" s="94"/>
      <c r="I237" s="94"/>
      <c r="J237" s="94"/>
      <c r="K237" s="94"/>
      <c r="L237" s="94"/>
      <c r="M237" s="94"/>
      <c r="N237" s="54">
        <v>2</v>
      </c>
      <c r="O237" s="95">
        <f t="shared" si="3"/>
        <v>5.8823529411764705E-2</v>
      </c>
      <c r="P237" s="53">
        <v>382</v>
      </c>
      <c r="Q237" s="135">
        <f t="shared" si="4"/>
        <v>7.5868917576961264E-2</v>
      </c>
      <c r="R237" s="25"/>
      <c r="S237" s="25"/>
      <c r="T237" s="5"/>
    </row>
    <row r="238" spans="1:21" ht="15.6" x14ac:dyDescent="0.3">
      <c r="A238" s="24"/>
      <c r="B238" s="54" t="s">
        <v>210</v>
      </c>
      <c r="C238" s="94"/>
      <c r="D238" s="94"/>
      <c r="E238" s="94"/>
      <c r="F238" s="25"/>
      <c r="G238" s="95"/>
      <c r="H238" s="94"/>
      <c r="I238" s="94"/>
      <c r="J238" s="94"/>
      <c r="K238" s="94"/>
      <c r="L238" s="94"/>
      <c r="M238" s="94"/>
      <c r="N238" s="54">
        <v>4</v>
      </c>
      <c r="O238" s="95">
        <f t="shared" si="3"/>
        <v>0.11764705882352941</v>
      </c>
      <c r="P238" s="53">
        <v>865</v>
      </c>
      <c r="Q238" s="135">
        <f t="shared" si="4"/>
        <v>0.17179741807348561</v>
      </c>
      <c r="R238" s="25"/>
      <c r="S238" s="25"/>
      <c r="T238" s="5"/>
    </row>
    <row r="239" spans="1:21" ht="15.6" x14ac:dyDescent="0.3">
      <c r="A239" s="24"/>
      <c r="B239" s="54" t="s">
        <v>211</v>
      </c>
      <c r="C239" s="94"/>
      <c r="D239" s="94"/>
      <c r="E239" s="94"/>
      <c r="F239" s="25"/>
      <c r="G239" s="95"/>
      <c r="H239" s="94"/>
      <c r="I239" s="94"/>
      <c r="J239" s="94"/>
      <c r="K239" s="94"/>
      <c r="L239" s="94"/>
      <c r="M239" s="94"/>
      <c r="N239" s="54">
        <v>0</v>
      </c>
      <c r="O239" s="95">
        <f t="shared" si="3"/>
        <v>0</v>
      </c>
      <c r="P239" s="53">
        <v>0</v>
      </c>
      <c r="Q239" s="135">
        <f t="shared" si="4"/>
        <v>0</v>
      </c>
      <c r="R239" s="25"/>
      <c r="S239" s="25"/>
      <c r="T239" s="5"/>
    </row>
    <row r="240" spans="1:21" ht="15.6" x14ac:dyDescent="0.3">
      <c r="A240" s="24"/>
      <c r="B240" s="54" t="s">
        <v>212</v>
      </c>
      <c r="C240" s="94"/>
      <c r="D240" s="94"/>
      <c r="E240" s="94"/>
      <c r="F240" s="25"/>
      <c r="G240" s="95"/>
      <c r="H240" s="94"/>
      <c r="I240" s="94"/>
      <c r="J240" s="94"/>
      <c r="K240" s="94"/>
      <c r="L240" s="94"/>
      <c r="M240" s="94"/>
      <c r="N240" s="54">
        <v>1</v>
      </c>
      <c r="O240" s="95">
        <f t="shared" si="3"/>
        <v>2.9411764705882353E-2</v>
      </c>
      <c r="P240" s="53">
        <v>214</v>
      </c>
      <c r="Q240" s="135">
        <f t="shared" si="4"/>
        <v>4.2502482621648463E-2</v>
      </c>
      <c r="R240" s="25"/>
      <c r="S240" s="25"/>
      <c r="T240" s="5"/>
    </row>
    <row r="241" spans="1:20" ht="15.6" x14ac:dyDescent="0.3">
      <c r="A241" s="24"/>
      <c r="B241" s="54" t="s">
        <v>213</v>
      </c>
      <c r="C241" s="94"/>
      <c r="D241" s="94"/>
      <c r="E241" s="94"/>
      <c r="F241" s="25"/>
      <c r="G241" s="95"/>
      <c r="H241" s="94"/>
      <c r="I241" s="94"/>
      <c r="J241" s="94"/>
      <c r="K241" s="94"/>
      <c r="L241" s="94"/>
      <c r="M241" s="94"/>
      <c r="N241" s="54">
        <v>7</v>
      </c>
      <c r="O241" s="95">
        <f t="shared" si="3"/>
        <v>0.20588235294117646</v>
      </c>
      <c r="P241" s="53">
        <v>1583</v>
      </c>
      <c r="Q241" s="135">
        <f t="shared" si="4"/>
        <v>0.31439920556107248</v>
      </c>
      <c r="R241" s="25"/>
      <c r="S241" s="25"/>
      <c r="T241" s="5"/>
    </row>
    <row r="242" spans="1:20" ht="15.6" x14ac:dyDescent="0.3">
      <c r="A242" s="24"/>
      <c r="B242" s="54" t="s">
        <v>214</v>
      </c>
      <c r="C242" s="94"/>
      <c r="D242" s="94"/>
      <c r="E242" s="94"/>
      <c r="F242" s="25"/>
      <c r="G242" s="95"/>
      <c r="H242" s="94"/>
      <c r="I242" s="94"/>
      <c r="J242" s="94"/>
      <c r="K242" s="94"/>
      <c r="L242" s="94"/>
      <c r="M242" s="94"/>
      <c r="N242" s="54">
        <v>1</v>
      </c>
      <c r="O242" s="95">
        <f t="shared" si="3"/>
        <v>2.9411764705882353E-2</v>
      </c>
      <c r="P242" s="53">
        <v>599</v>
      </c>
      <c r="Q242" s="135">
        <f t="shared" si="4"/>
        <v>0.11896722939424031</v>
      </c>
      <c r="R242" s="25"/>
      <c r="S242" s="25"/>
      <c r="T242" s="5"/>
    </row>
    <row r="243" spans="1:20" ht="15.6" x14ac:dyDescent="0.3">
      <c r="A243" s="24"/>
      <c r="B243" s="25"/>
      <c r="C243" s="94"/>
      <c r="D243" s="94"/>
      <c r="E243" s="94"/>
      <c r="F243" s="25"/>
      <c r="G243" s="95"/>
      <c r="H243" s="94"/>
      <c r="I243" s="94"/>
      <c r="J243" s="94"/>
      <c r="K243" s="94"/>
      <c r="L243" s="94"/>
      <c r="M243" s="94"/>
      <c r="N243" s="54"/>
      <c r="O243" s="95"/>
      <c r="P243" s="53"/>
      <c r="Q243" s="135"/>
      <c r="R243" s="25"/>
      <c r="S243" s="25"/>
      <c r="T243" s="5"/>
    </row>
    <row r="244" spans="1:20" ht="15.6" x14ac:dyDescent="0.3">
      <c r="A244" s="24"/>
      <c r="B244" s="25" t="s">
        <v>129</v>
      </c>
      <c r="C244" s="25"/>
      <c r="D244" s="25"/>
      <c r="E244" s="25"/>
      <c r="F244" s="25"/>
      <c r="G244" s="25"/>
      <c r="H244" s="96"/>
      <c r="I244" s="96"/>
      <c r="J244" s="96"/>
      <c r="K244" s="96"/>
      <c r="L244" s="96"/>
      <c r="M244" s="96"/>
      <c r="N244" s="34">
        <f>SUM(N235:N243)</f>
        <v>34</v>
      </c>
      <c r="O244" s="135">
        <f>SUM(O235:O243)</f>
        <v>1</v>
      </c>
      <c r="P244" s="53">
        <f>SUM(P235:P243)</f>
        <v>5035</v>
      </c>
      <c r="Q244" s="135">
        <f>SUM(Q235:Q243)</f>
        <v>1</v>
      </c>
      <c r="R244" s="25"/>
      <c r="S244" s="25"/>
      <c r="T244" s="5"/>
    </row>
    <row r="245" spans="1:20" ht="15.6" x14ac:dyDescent="0.3">
      <c r="A245" s="24"/>
      <c r="B245" s="25"/>
      <c r="C245" s="25"/>
      <c r="D245" s="25"/>
      <c r="E245" s="25"/>
      <c r="F245" s="25"/>
      <c r="G245" s="25"/>
      <c r="H245" s="96"/>
      <c r="I245" s="96"/>
      <c r="J245" s="96"/>
      <c r="K245" s="96"/>
      <c r="L245" s="96"/>
      <c r="M245" s="96"/>
      <c r="N245" s="34"/>
      <c r="O245" s="135"/>
      <c r="P245" s="53"/>
      <c r="Q245" s="135"/>
      <c r="R245" s="25"/>
      <c r="S245" s="25"/>
      <c r="T245" s="5"/>
    </row>
    <row r="246" spans="1:20" s="153" customFormat="1" ht="15.6" x14ac:dyDescent="0.3">
      <c r="A246" s="144"/>
      <c r="B246" s="14" t="s">
        <v>239</v>
      </c>
      <c r="C246" s="151"/>
      <c r="D246" s="151"/>
      <c r="E246" s="151"/>
      <c r="F246" s="151"/>
      <c r="G246" s="151"/>
      <c r="H246" s="152"/>
      <c r="I246" s="152"/>
      <c r="J246" s="152"/>
      <c r="K246" s="152"/>
      <c r="L246" s="152"/>
      <c r="M246" s="152"/>
      <c r="N246" s="84" t="s">
        <v>113</v>
      </c>
      <c r="O246" s="17" t="s">
        <v>114</v>
      </c>
      <c r="P246" s="84" t="s">
        <v>123</v>
      </c>
      <c r="Q246" s="17" t="s">
        <v>114</v>
      </c>
      <c r="R246" s="151"/>
      <c r="S246" s="151"/>
      <c r="T246" s="5"/>
    </row>
    <row r="247" spans="1:20" s="153" customFormat="1" ht="15.6" x14ac:dyDescent="0.3">
      <c r="A247" s="24"/>
      <c r="B247" s="54" t="s">
        <v>99</v>
      </c>
      <c r="C247" s="161"/>
      <c r="D247" s="161"/>
      <c r="E247" s="161"/>
      <c r="F247" s="161"/>
      <c r="G247" s="161"/>
      <c r="H247" s="162"/>
      <c r="I247" s="162"/>
      <c r="J247" s="162"/>
      <c r="K247" s="162"/>
      <c r="L247" s="162"/>
      <c r="M247" s="162"/>
      <c r="N247" s="54">
        <v>0</v>
      </c>
      <c r="O247" s="95">
        <v>0</v>
      </c>
      <c r="P247" s="53">
        <v>0</v>
      </c>
      <c r="Q247" s="135">
        <v>0</v>
      </c>
      <c r="R247" s="155"/>
      <c r="S247" s="160"/>
      <c r="T247" s="5"/>
    </row>
    <row r="248" spans="1:20" s="153" customFormat="1" ht="15.6" x14ac:dyDescent="0.3">
      <c r="A248" s="24"/>
      <c r="B248" s="54" t="s">
        <v>100</v>
      </c>
      <c r="C248" s="161"/>
      <c r="D248" s="161"/>
      <c r="E248" s="161"/>
      <c r="F248" s="161"/>
      <c r="G248" s="161"/>
      <c r="H248" s="162"/>
      <c r="I248" s="162"/>
      <c r="J248" s="162"/>
      <c r="K248" s="162"/>
      <c r="L248" s="162"/>
      <c r="M248" s="162"/>
      <c r="N248" s="54">
        <v>0</v>
      </c>
      <c r="O248" s="95">
        <v>0</v>
      </c>
      <c r="P248" s="53">
        <v>0</v>
      </c>
      <c r="Q248" s="135">
        <v>0</v>
      </c>
      <c r="R248" s="135"/>
      <c r="S248" s="160"/>
      <c r="T248" s="5"/>
    </row>
    <row r="249" spans="1:20" s="153" customFormat="1" ht="15.6" x14ac:dyDescent="0.3">
      <c r="A249" s="24"/>
      <c r="B249" s="54" t="s">
        <v>101</v>
      </c>
      <c r="C249" s="161"/>
      <c r="D249" s="161"/>
      <c r="E249" s="161"/>
      <c r="F249" s="161"/>
      <c r="G249" s="161"/>
      <c r="H249" s="162"/>
      <c r="I249" s="162"/>
      <c r="J249" s="162"/>
      <c r="K249" s="162"/>
      <c r="L249" s="162"/>
      <c r="M249" s="162"/>
      <c r="N249" s="54">
        <v>0</v>
      </c>
      <c r="O249" s="95">
        <v>0</v>
      </c>
      <c r="P249" s="53">
        <v>0</v>
      </c>
      <c r="Q249" s="135">
        <v>0</v>
      </c>
      <c r="R249" s="155"/>
      <c r="S249" s="160"/>
      <c r="T249" s="5"/>
    </row>
    <row r="250" spans="1:20" s="153" customFormat="1" ht="15.6" x14ac:dyDescent="0.3">
      <c r="A250" s="24"/>
      <c r="B250" s="54" t="s">
        <v>210</v>
      </c>
      <c r="C250" s="161"/>
      <c r="D250" s="161"/>
      <c r="E250" s="161"/>
      <c r="F250" s="161"/>
      <c r="G250" s="161"/>
      <c r="H250" s="162"/>
      <c r="I250" s="162"/>
      <c r="J250" s="162"/>
      <c r="K250" s="162"/>
      <c r="L250" s="162"/>
      <c r="M250" s="162"/>
      <c r="N250" s="54">
        <v>0</v>
      </c>
      <c r="O250" s="95">
        <v>0</v>
      </c>
      <c r="P250" s="53">
        <v>0</v>
      </c>
      <c r="Q250" s="135">
        <v>0</v>
      </c>
      <c r="R250" s="155"/>
      <c r="S250" s="160"/>
      <c r="T250" s="5"/>
    </row>
    <row r="251" spans="1:20" s="153" customFormat="1" ht="15.6" x14ac:dyDescent="0.3">
      <c r="A251" s="24"/>
      <c r="B251" s="54" t="s">
        <v>211</v>
      </c>
      <c r="C251" s="161"/>
      <c r="D251" s="161"/>
      <c r="E251" s="161"/>
      <c r="F251" s="161"/>
      <c r="G251" s="161"/>
      <c r="H251" s="162"/>
      <c r="I251" s="162"/>
      <c r="J251" s="162"/>
      <c r="K251" s="162"/>
      <c r="L251" s="162"/>
      <c r="M251" s="162"/>
      <c r="N251" s="54">
        <v>0</v>
      </c>
      <c r="O251" s="95">
        <v>0</v>
      </c>
      <c r="P251" s="53">
        <v>0</v>
      </c>
      <c r="Q251" s="135">
        <v>0</v>
      </c>
      <c r="R251" s="155"/>
      <c r="S251" s="160"/>
      <c r="T251" s="5"/>
    </row>
    <row r="252" spans="1:20" s="153" customFormat="1" ht="15.6" x14ac:dyDescent="0.3">
      <c r="A252" s="24"/>
      <c r="B252" s="54" t="s">
        <v>212</v>
      </c>
      <c r="C252" s="161"/>
      <c r="D252" s="161"/>
      <c r="E252" s="161"/>
      <c r="F252" s="161"/>
      <c r="G252" s="161"/>
      <c r="H252" s="162"/>
      <c r="I252" s="162"/>
      <c r="J252" s="162"/>
      <c r="K252" s="162"/>
      <c r="L252" s="162"/>
      <c r="M252" s="162"/>
      <c r="N252" s="54">
        <v>0</v>
      </c>
      <c r="O252" s="95">
        <v>0</v>
      </c>
      <c r="P252" s="53">
        <v>0</v>
      </c>
      <c r="Q252" s="135">
        <v>0</v>
      </c>
      <c r="R252" s="155"/>
      <c r="S252" s="160"/>
      <c r="T252" s="5"/>
    </row>
    <row r="253" spans="1:20" s="153" customFormat="1" ht="15.6" x14ac:dyDescent="0.3">
      <c r="A253" s="24"/>
      <c r="B253" s="54" t="s">
        <v>213</v>
      </c>
      <c r="C253" s="161"/>
      <c r="D253" s="161"/>
      <c r="E253" s="161"/>
      <c r="F253" s="161"/>
      <c r="G253" s="161"/>
      <c r="H253" s="162"/>
      <c r="I253" s="162"/>
      <c r="J253" s="162"/>
      <c r="K253" s="162"/>
      <c r="L253" s="162"/>
      <c r="M253" s="162"/>
      <c r="N253" s="54">
        <v>0</v>
      </c>
      <c r="O253" s="95">
        <v>0</v>
      </c>
      <c r="P253" s="53">
        <v>0</v>
      </c>
      <c r="Q253" s="135">
        <v>0</v>
      </c>
      <c r="R253" s="155"/>
      <c r="S253" s="160"/>
      <c r="T253" s="5"/>
    </row>
    <row r="254" spans="1:20" s="153" customFormat="1" ht="15.6" x14ac:dyDescent="0.3">
      <c r="A254" s="24"/>
      <c r="B254" s="54" t="s">
        <v>214</v>
      </c>
      <c r="C254" s="161"/>
      <c r="D254" s="161"/>
      <c r="E254" s="161"/>
      <c r="F254" s="161"/>
      <c r="G254" s="161"/>
      <c r="H254" s="162"/>
      <c r="I254" s="162"/>
      <c r="J254" s="162"/>
      <c r="K254" s="162"/>
      <c r="L254" s="162"/>
      <c r="M254" s="162"/>
      <c r="N254" s="54">
        <v>0</v>
      </c>
      <c r="O254" s="95">
        <v>0</v>
      </c>
      <c r="P254" s="53">
        <v>0</v>
      </c>
      <c r="Q254" s="135">
        <v>0</v>
      </c>
      <c r="R254" s="155"/>
      <c r="S254" s="160"/>
      <c r="T254" s="5"/>
    </row>
    <row r="255" spans="1:20" s="153" customFormat="1" ht="15.6" x14ac:dyDescent="0.3">
      <c r="A255" s="24"/>
      <c r="B255" s="54"/>
      <c r="C255" s="161"/>
      <c r="D255" s="161"/>
      <c r="E255" s="161"/>
      <c r="F255" s="161"/>
      <c r="G255" s="161"/>
      <c r="H255" s="162"/>
      <c r="I255" s="162"/>
      <c r="J255" s="162"/>
      <c r="K255" s="162"/>
      <c r="L255" s="162"/>
      <c r="M255" s="162"/>
      <c r="N255" s="54"/>
      <c r="O255" s="95"/>
      <c r="P255" s="53"/>
      <c r="Q255" s="135"/>
      <c r="R255" s="155"/>
      <c r="S255" s="160"/>
      <c r="T255" s="5"/>
    </row>
    <row r="256" spans="1:20" ht="15.6" x14ac:dyDescent="0.3">
      <c r="A256" s="24"/>
      <c r="B256" s="25" t="s">
        <v>129</v>
      </c>
      <c r="C256" s="161"/>
      <c r="D256" s="161"/>
      <c r="E256" s="161"/>
      <c r="F256" s="161"/>
      <c r="G256" s="161"/>
      <c r="H256" s="162"/>
      <c r="I256" s="162"/>
      <c r="J256" s="162"/>
      <c r="K256" s="162"/>
      <c r="L256" s="162"/>
      <c r="M256" s="162"/>
      <c r="N256" s="34">
        <f>SUM(N247:N254)</f>
        <v>0</v>
      </c>
      <c r="O256" s="95">
        <f>SUM(O247:O254)</f>
        <v>0</v>
      </c>
      <c r="P256" s="53">
        <f>SUM(P247:P254)</f>
        <v>0</v>
      </c>
      <c r="Q256" s="135">
        <f>SUM(Q247:Q254)</f>
        <v>0</v>
      </c>
      <c r="R256" s="155"/>
      <c r="S256" s="160"/>
      <c r="T256" s="5"/>
    </row>
    <row r="257" spans="1:20" ht="15.6" x14ac:dyDescent="0.3">
      <c r="A257" s="24"/>
      <c r="B257" s="25"/>
      <c r="C257" s="151"/>
      <c r="D257" s="151"/>
      <c r="E257" s="151"/>
      <c r="F257" s="151"/>
      <c r="G257" s="151"/>
      <c r="H257" s="152"/>
      <c r="I257" s="152"/>
      <c r="J257" s="152"/>
      <c r="K257" s="152"/>
      <c r="L257" s="152"/>
      <c r="M257" s="152"/>
      <c r="N257" s="34"/>
      <c r="O257" s="135"/>
      <c r="P257" s="53"/>
      <c r="Q257" s="135"/>
      <c r="R257" s="151"/>
      <c r="S257" s="151"/>
      <c r="T257" s="5"/>
    </row>
    <row r="258" spans="1:20" ht="15.6" x14ac:dyDescent="0.3">
      <c r="A258" s="24"/>
      <c r="B258" s="154" t="s">
        <v>240</v>
      </c>
      <c r="C258" s="155"/>
      <c r="D258" s="155"/>
      <c r="E258" s="155"/>
      <c r="F258" s="155"/>
      <c r="G258" s="155"/>
      <c r="H258" s="156"/>
      <c r="I258" s="156"/>
      <c r="J258" s="156"/>
      <c r="K258" s="156"/>
      <c r="L258" s="156"/>
      <c r="M258" s="156"/>
      <c r="N258" s="173">
        <f>+N232+N244+N256</f>
        <v>5896</v>
      </c>
      <c r="O258" s="158"/>
      <c r="P258" s="159">
        <f>+P256+P244+P232</f>
        <v>649682</v>
      </c>
      <c r="Q258" s="158"/>
      <c r="R258" s="155"/>
      <c r="S258" s="160"/>
      <c r="T258" s="5"/>
    </row>
    <row r="259" spans="1:20" ht="15.6" x14ac:dyDescent="0.3">
      <c r="A259" s="24"/>
      <c r="B259" s="154"/>
      <c r="C259" s="8"/>
      <c r="D259" s="8"/>
      <c r="E259" s="8"/>
      <c r="F259" s="8"/>
      <c r="G259" s="8"/>
      <c r="H259" s="97"/>
      <c r="I259" s="97"/>
      <c r="J259" s="97"/>
      <c r="K259" s="97"/>
      <c r="L259" s="97"/>
      <c r="M259" s="97"/>
      <c r="N259" s="97"/>
      <c r="O259" s="97"/>
      <c r="P259" s="98"/>
      <c r="Q259" s="97"/>
      <c r="R259" s="8"/>
      <c r="S259" s="8"/>
      <c r="T259" s="5"/>
    </row>
    <row r="260" spans="1:20" ht="15.6" x14ac:dyDescent="0.3">
      <c r="A260" s="150"/>
      <c r="B260" s="14" t="s">
        <v>102</v>
      </c>
      <c r="C260" s="15"/>
      <c r="D260" s="15"/>
      <c r="E260" s="15"/>
      <c r="F260" s="17" t="s">
        <v>108</v>
      </c>
      <c r="G260" s="15"/>
      <c r="H260" s="14" t="s">
        <v>110</v>
      </c>
      <c r="I260" s="145"/>
      <c r="J260" s="145"/>
      <c r="K260" s="145"/>
      <c r="L260" s="145"/>
      <c r="M260" s="145"/>
      <c r="N260" s="145"/>
      <c r="O260" s="145"/>
      <c r="P260" s="145"/>
      <c r="Q260" s="145"/>
      <c r="R260" s="145"/>
      <c r="S260" s="145"/>
      <c r="T260" s="5"/>
    </row>
    <row r="261" spans="1:20" ht="15.6" x14ac:dyDescent="0.3">
      <c r="A261" s="150"/>
      <c r="B261" s="145"/>
      <c r="C261" s="8"/>
      <c r="D261" s="8"/>
      <c r="E261" s="8"/>
      <c r="F261" s="8"/>
      <c r="G261" s="8"/>
      <c r="H261" s="8"/>
      <c r="I261" s="145"/>
      <c r="J261" s="145"/>
      <c r="K261" s="145"/>
      <c r="L261" s="145"/>
      <c r="M261" s="145"/>
      <c r="N261" s="145"/>
      <c r="O261" s="145"/>
      <c r="P261" s="145"/>
      <c r="Q261" s="145"/>
      <c r="R261" s="145"/>
      <c r="S261" s="145"/>
      <c r="T261" s="5"/>
    </row>
    <row r="262" spans="1:20" ht="15.6" x14ac:dyDescent="0.3">
      <c r="A262" s="150"/>
      <c r="B262" s="13" t="s">
        <v>103</v>
      </c>
      <c r="C262" s="13"/>
      <c r="D262" s="13"/>
      <c r="E262" s="13"/>
      <c r="F262" s="133" t="s">
        <v>172</v>
      </c>
      <c r="G262" s="13"/>
      <c r="H262" s="13" t="s">
        <v>200</v>
      </c>
      <c r="I262" s="145"/>
      <c r="J262" s="145"/>
      <c r="K262" s="145"/>
      <c r="L262" s="145"/>
      <c r="M262" s="145"/>
      <c r="N262" s="145"/>
      <c r="O262" s="145"/>
      <c r="P262" s="145"/>
      <c r="Q262" s="145"/>
      <c r="R262" s="145"/>
      <c r="S262" s="145"/>
      <c r="T262" s="5"/>
    </row>
    <row r="263" spans="1:20" ht="15.6" x14ac:dyDescent="0.3">
      <c r="A263" s="150"/>
      <c r="B263" s="13" t="s">
        <v>271</v>
      </c>
      <c r="C263" s="13"/>
      <c r="D263" s="13"/>
      <c r="E263" s="13"/>
      <c r="F263" s="133" t="s">
        <v>272</v>
      </c>
      <c r="G263" s="13"/>
      <c r="H263" s="13" t="s">
        <v>273</v>
      </c>
      <c r="I263" s="145"/>
      <c r="J263" s="145"/>
      <c r="K263" s="145"/>
      <c r="L263" s="145"/>
      <c r="M263" s="145"/>
      <c r="N263" s="145"/>
      <c r="O263" s="145"/>
      <c r="P263" s="145"/>
      <c r="Q263" s="145"/>
      <c r="R263" s="145"/>
      <c r="S263" s="145"/>
      <c r="T263" s="5"/>
    </row>
    <row r="264" spans="1:20" ht="15.6" x14ac:dyDescent="0.3">
      <c r="A264" s="150"/>
      <c r="B264" s="13" t="s">
        <v>104</v>
      </c>
      <c r="C264" s="13"/>
      <c r="D264" s="13"/>
      <c r="E264" s="13"/>
      <c r="F264" s="133" t="s">
        <v>171</v>
      </c>
      <c r="G264" s="13"/>
      <c r="H264" s="13" t="s">
        <v>201</v>
      </c>
      <c r="I264" s="145"/>
      <c r="J264" s="145"/>
      <c r="K264" s="145"/>
      <c r="L264" s="145"/>
      <c r="M264" s="145"/>
      <c r="N264" s="145"/>
      <c r="O264" s="145"/>
      <c r="P264" s="145"/>
      <c r="Q264" s="145"/>
      <c r="R264" s="145"/>
      <c r="S264" s="145"/>
      <c r="T264" s="5"/>
    </row>
    <row r="265" spans="1:20" ht="15.6" x14ac:dyDescent="0.3">
      <c r="A265" s="150"/>
      <c r="B265" s="13"/>
      <c r="C265" s="13"/>
      <c r="D265" s="13"/>
      <c r="E265" s="13"/>
      <c r="F265" s="13"/>
      <c r="G265" s="100"/>
      <c r="H265" s="145"/>
      <c r="I265" s="145"/>
      <c r="J265" s="145"/>
      <c r="K265" s="145"/>
      <c r="L265" s="145"/>
      <c r="M265" s="145"/>
      <c r="N265" s="145"/>
      <c r="O265" s="145"/>
      <c r="P265" s="145"/>
      <c r="Q265" s="145"/>
      <c r="R265" s="145"/>
      <c r="S265" s="145"/>
      <c r="T265" s="5"/>
    </row>
    <row r="266" spans="1:20" ht="18" thickBot="1" x14ac:dyDescent="0.35">
      <c r="A266" s="150"/>
      <c r="B266" s="49" t="str">
        <f>B187</f>
        <v>PM8 INVESTOR REPORT QUARTER ENDING SEPTEMBER 2007</v>
      </c>
      <c r="C266" s="13"/>
      <c r="D266" s="13"/>
      <c r="E266" s="13"/>
      <c r="F266" s="13"/>
      <c r="G266" s="100"/>
      <c r="H266" s="145"/>
      <c r="I266" s="145"/>
      <c r="J266" s="145"/>
      <c r="K266" s="145"/>
      <c r="L266" s="145"/>
      <c r="M266" s="145"/>
      <c r="N266" s="145"/>
      <c r="O266" s="145"/>
      <c r="P266" s="145"/>
      <c r="Q266" s="145"/>
      <c r="R266" s="145"/>
      <c r="S266" s="145"/>
      <c r="T266" s="5"/>
    </row>
    <row r="267" spans="1:20" x14ac:dyDescent="0.25">
      <c r="A267" s="101"/>
      <c r="B267" s="101"/>
      <c r="C267" s="101"/>
      <c r="D267" s="101"/>
      <c r="E267" s="101"/>
      <c r="F267" s="101"/>
      <c r="G267" s="101"/>
      <c r="H267" s="101"/>
      <c r="I267" s="101"/>
      <c r="J267" s="101"/>
      <c r="K267" s="101"/>
      <c r="L267" s="101"/>
      <c r="M267" s="101"/>
      <c r="N267" s="101"/>
      <c r="O267" s="101"/>
      <c r="P267" s="101"/>
      <c r="Q267" s="101"/>
      <c r="R267" s="101"/>
      <c r="S267" s="101"/>
    </row>
  </sheetData>
  <phoneticPr fontId="0" type="noConversion"/>
  <hyperlinks>
    <hyperlink ref="J220"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1" max="14" man="1"/>
    <brk id="187"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0.86950000000000005</v>
      </c>
      <c r="P16" s="17" t="s">
        <v>161</v>
      </c>
      <c r="Q16" s="140">
        <v>0.1305</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39469</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270408.05900000001</v>
      </c>
      <c r="I31" s="31"/>
      <c r="J31" s="125">
        <f>J30*J37</f>
        <v>401622.46140000003</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246466.291</v>
      </c>
      <c r="I32" s="36"/>
      <c r="J32" s="126">
        <f>J36*J30</f>
        <v>366063.04859999998</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270408.05900000001</v>
      </c>
      <c r="I34" s="31"/>
      <c r="J34" s="31">
        <f>J33*J37</f>
        <v>279273.897</v>
      </c>
      <c r="K34" s="31"/>
      <c r="L34" s="31">
        <v>65000</v>
      </c>
      <c r="M34" s="31"/>
      <c r="N34" s="31">
        <v>35000</v>
      </c>
      <c r="O34" s="31"/>
      <c r="P34" s="31"/>
      <c r="Q34" s="147"/>
      <c r="R34" s="31">
        <f>SUM(C34:N34)</f>
        <v>649681.95600000001</v>
      </c>
      <c r="S34" s="34"/>
      <c r="T34" s="5"/>
    </row>
    <row r="35" spans="1:20" ht="15.6" x14ac:dyDescent="0.3">
      <c r="A35" s="28"/>
      <c r="B35" s="29" t="s">
        <v>287</v>
      </c>
      <c r="C35" s="36"/>
      <c r="D35" s="35">
        <f>D36*D33</f>
        <v>0</v>
      </c>
      <c r="E35" s="36"/>
      <c r="F35" s="35">
        <f>F36*F33</f>
        <v>0</v>
      </c>
      <c r="G35" s="35"/>
      <c r="H35" s="35">
        <f>H36*H33</f>
        <v>246466.291</v>
      </c>
      <c r="I35" s="36"/>
      <c r="J35" s="35">
        <f>J36*J33</f>
        <v>254547.15299999999</v>
      </c>
      <c r="K35" s="35"/>
      <c r="L35" s="35">
        <v>65000</v>
      </c>
      <c r="M35" s="35"/>
      <c r="N35" s="35">
        <v>35000</v>
      </c>
      <c r="O35" s="35"/>
      <c r="P35" s="35"/>
      <c r="Q35" s="37"/>
      <c r="R35" s="35">
        <f>SUM(C35:N35)</f>
        <v>601013.44400000002</v>
      </c>
      <c r="S35" s="34"/>
      <c r="T35" s="5"/>
    </row>
    <row r="36" spans="1:20" ht="15.6" x14ac:dyDescent="0.3">
      <c r="A36" s="28"/>
      <c r="B36" s="123" t="s">
        <v>149</v>
      </c>
      <c r="C36" s="127"/>
      <c r="D36" s="172">
        <v>0</v>
      </c>
      <c r="E36" s="139"/>
      <c r="F36" s="172">
        <v>0</v>
      </c>
      <c r="G36" s="138"/>
      <c r="H36" s="172">
        <v>0.80808619999999998</v>
      </c>
      <c r="I36" s="138"/>
      <c r="J36" s="172">
        <v>0.80808619999999998</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0.88658380000000003</v>
      </c>
      <c r="I37" s="138"/>
      <c r="J37" s="172">
        <v>0.88658380000000003</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6.4831299999999994E-2</v>
      </c>
      <c r="I39" s="39"/>
      <c r="J39" s="38">
        <v>4.9119999999999997E-2</v>
      </c>
      <c r="K39" s="39"/>
      <c r="L39" s="38">
        <v>6.9431300000000001E-2</v>
      </c>
      <c r="M39" s="39"/>
      <c r="N39" s="38">
        <v>5.3319999999999999E-2</v>
      </c>
      <c r="O39" s="39"/>
      <c r="P39" s="38"/>
      <c r="Q39" s="146"/>
      <c r="R39" s="39"/>
      <c r="S39" s="25"/>
      <c r="T39" s="5"/>
    </row>
    <row r="40" spans="1:20" ht="15.6" x14ac:dyDescent="0.3">
      <c r="A40" s="24"/>
      <c r="B40" s="25" t="s">
        <v>14</v>
      </c>
      <c r="C40" s="25"/>
      <c r="D40" s="38">
        <v>0</v>
      </c>
      <c r="E40" s="25"/>
      <c r="F40" s="38">
        <v>0</v>
      </c>
      <c r="G40" s="39"/>
      <c r="H40" s="38">
        <v>6.2E-2</v>
      </c>
      <c r="I40" s="39"/>
      <c r="J40" s="38">
        <v>4.3889999999999998E-2</v>
      </c>
      <c r="K40" s="39"/>
      <c r="L40" s="38">
        <v>6.6600000000000006E-2</v>
      </c>
      <c r="M40" s="39"/>
      <c r="N40" s="38">
        <v>4.8090000000000001E-2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6.4831299999999994E-2</v>
      </c>
      <c r="I42" s="39"/>
      <c r="J42" s="38">
        <v>6.5229300000000004E-2</v>
      </c>
      <c r="K42" s="39"/>
      <c r="L42" s="38">
        <f>+L39</f>
        <v>6.9431300000000001E-2</v>
      </c>
      <c r="M42" s="39"/>
      <c r="N42" s="38">
        <v>6.9808300000000004E-2</v>
      </c>
      <c r="O42" s="39"/>
      <c r="P42" s="38"/>
      <c r="Q42" s="146"/>
      <c r="R42" s="39">
        <f>SUMPRODUCT(D42:N42,D34:N34)/R34</f>
        <v>6.573073395473647E-2</v>
      </c>
      <c r="S42" s="25"/>
      <c r="T42" s="5"/>
    </row>
    <row r="43" spans="1:20" ht="15.6" x14ac:dyDescent="0.3">
      <c r="A43" s="24"/>
      <c r="B43" s="25" t="s">
        <v>290</v>
      </c>
      <c r="C43" s="25"/>
      <c r="D43" s="38">
        <f>+D40</f>
        <v>0</v>
      </c>
      <c r="E43" s="25"/>
      <c r="F43" s="38">
        <v>0</v>
      </c>
      <c r="G43" s="39"/>
      <c r="H43" s="38">
        <f>+H40</f>
        <v>6.2E-2</v>
      </c>
      <c r="I43" s="39"/>
      <c r="J43" s="38">
        <v>6.2398000000000002E-2</v>
      </c>
      <c r="K43" s="39"/>
      <c r="L43" s="38">
        <f>+L40</f>
        <v>6.6600000000000006E-2</v>
      </c>
      <c r="M43" s="39"/>
      <c r="N43" s="38">
        <v>6.6976999999999995E-2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0.19959544239295901</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39462</v>
      </c>
      <c r="S54" s="25"/>
      <c r="T54" s="5"/>
    </row>
    <row r="55" spans="1:21" ht="15.6" x14ac:dyDescent="0.3">
      <c r="A55" s="24"/>
      <c r="B55" s="25" t="s">
        <v>140</v>
      </c>
      <c r="C55" s="25"/>
      <c r="D55" s="25"/>
      <c r="E55" s="25"/>
      <c r="F55" s="25"/>
      <c r="G55" s="25"/>
      <c r="H55" s="58"/>
      <c r="I55" s="58"/>
      <c r="J55" s="58"/>
      <c r="K55" s="58"/>
      <c r="L55" s="58"/>
      <c r="M55" s="58"/>
      <c r="N55" s="25">
        <f>+R55-P55+1</f>
        <v>91</v>
      </c>
      <c r="O55" s="58"/>
      <c r="P55" s="45">
        <v>39279</v>
      </c>
      <c r="Q55" s="46"/>
      <c r="R55" s="45">
        <v>39369</v>
      </c>
      <c r="S55" s="25"/>
      <c r="T55" s="5"/>
    </row>
    <row r="56" spans="1:21" ht="15.6" x14ac:dyDescent="0.3">
      <c r="A56" s="24"/>
      <c r="B56" s="25" t="s">
        <v>141</v>
      </c>
      <c r="C56" s="25"/>
      <c r="D56" s="25"/>
      <c r="E56" s="25"/>
      <c r="F56" s="25"/>
      <c r="G56" s="25"/>
      <c r="H56" s="25"/>
      <c r="I56" s="25"/>
      <c r="J56" s="25"/>
      <c r="K56" s="25"/>
      <c r="L56" s="25"/>
      <c r="M56" s="25"/>
      <c r="N56" s="25">
        <f>+R56-P56+1</f>
        <v>92</v>
      </c>
      <c r="O56" s="25"/>
      <c r="P56" s="45">
        <v>39370</v>
      </c>
      <c r="Q56" s="46"/>
      <c r="R56" s="45">
        <v>39461</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39449</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275</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649682</v>
      </c>
      <c r="K67" s="34"/>
      <c r="L67" s="34">
        <f>48669+4644+904</f>
        <v>54217</v>
      </c>
      <c r="M67" s="34"/>
      <c r="N67" s="34">
        <f>4644+904</f>
        <v>5548</v>
      </c>
      <c r="O67" s="34"/>
      <c r="P67" s="34">
        <v>0</v>
      </c>
      <c r="Q67" s="34"/>
      <c r="R67" s="53">
        <f>+J67-L67+N67-P67</f>
        <v>601013</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649682</v>
      </c>
      <c r="K70" s="34"/>
      <c r="L70" s="34">
        <f>SUM(L67:L69)</f>
        <v>54217</v>
      </c>
      <c r="M70" s="34"/>
      <c r="N70" s="34">
        <f>SUM(N67:N69)</f>
        <v>5548</v>
      </c>
      <c r="O70" s="34"/>
      <c r="P70" s="34">
        <f>SUM(P67:P69)</f>
        <v>0</v>
      </c>
      <c r="Q70" s="34"/>
      <c r="R70" s="54">
        <f>SUM(R67:R69)</f>
        <v>601013</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649682</v>
      </c>
      <c r="K83" s="34"/>
      <c r="L83" s="34"/>
      <c r="M83" s="34"/>
      <c r="N83" s="34"/>
      <c r="O83" s="34"/>
      <c r="P83" s="54"/>
      <c r="Q83" s="34"/>
      <c r="R83" s="54">
        <f>SUM(R70:R82)</f>
        <v>601013</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39447</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54217-8</f>
        <v>54209</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10689+1829-1569-555</f>
        <v>10394</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392+120</f>
        <v>512</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819</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491</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441</v>
      </c>
      <c r="S94" s="25"/>
      <c r="T94" s="5"/>
    </row>
    <row r="95" spans="1:20" ht="15.6" x14ac:dyDescent="0.3">
      <c r="A95" s="24"/>
      <c r="B95" s="25" t="s">
        <v>35</v>
      </c>
      <c r="C95" s="25"/>
      <c r="D95" s="25"/>
      <c r="E95" s="25"/>
      <c r="F95" s="25"/>
      <c r="G95" s="25"/>
      <c r="H95" s="25"/>
      <c r="I95" s="25"/>
      <c r="J95" s="25"/>
      <c r="K95" s="25"/>
      <c r="L95" s="25"/>
      <c r="M95" s="25"/>
      <c r="N95" s="25"/>
      <c r="O95" s="25"/>
      <c r="P95" s="34">
        <f>SUM(P87:P94)</f>
        <v>54209</v>
      </c>
      <c r="Q95" s="25"/>
      <c r="R95" s="54">
        <f>SUM(R87:R94)</f>
        <v>12657</v>
      </c>
      <c r="S95" s="25"/>
      <c r="T95" s="5"/>
    </row>
    <row r="96" spans="1:20" ht="15.6" x14ac:dyDescent="0.3">
      <c r="A96" s="24"/>
      <c r="B96" s="25" t="s">
        <v>235</v>
      </c>
      <c r="C96" s="25"/>
      <c r="D96" s="25"/>
      <c r="E96" s="25"/>
      <c r="F96" s="25"/>
      <c r="G96" s="25"/>
      <c r="H96" s="25"/>
      <c r="I96" s="25"/>
      <c r="J96" s="25"/>
      <c r="K96" s="25"/>
      <c r="L96" s="25"/>
      <c r="M96" s="25"/>
      <c r="N96" s="25"/>
      <c r="O96" s="25"/>
      <c r="P96" s="34">
        <v>-61</v>
      </c>
      <c r="Q96" s="25"/>
      <c r="R96" s="54">
        <f>-P96</f>
        <v>61</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0</v>
      </c>
      <c r="S98" s="25"/>
      <c r="T98" s="5"/>
    </row>
    <row r="99" spans="1:21" ht="15.6" x14ac:dyDescent="0.3">
      <c r="A99" s="24"/>
      <c r="B99" s="25" t="s">
        <v>37</v>
      </c>
      <c r="C99" s="25"/>
      <c r="D99" s="25"/>
      <c r="E99" s="25"/>
      <c r="F99" s="25"/>
      <c r="G99" s="25"/>
      <c r="H99" s="25"/>
      <c r="I99" s="25"/>
      <c r="J99" s="25"/>
      <c r="K99" s="25"/>
      <c r="L99" s="25"/>
      <c r="M99" s="25"/>
      <c r="N99" s="25"/>
      <c r="O99" s="25"/>
      <c r="P99" s="34">
        <f>P95+P97+P96</f>
        <v>54148</v>
      </c>
      <c r="Q99" s="25"/>
      <c r="R99" s="54">
        <f>R95+R97+R96+R98</f>
        <v>12718</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-162-44-9</f>
        <v>-215</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0</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-4419</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v>-4591</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-1137</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v>-616</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8</v>
      </c>
      <c r="Q113" s="25"/>
      <c r="R113" s="53">
        <v>-8</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-330</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-1390</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-23</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-5464</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-23942</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-24727</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-54156</v>
      </c>
      <c r="Q128" s="34"/>
      <c r="R128" s="34">
        <f>SUM(R100:R127)</f>
        <v>-12718</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DECEMBER 2007</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f>SUM(R147:R148)</f>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8</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8</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-8</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601013</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601013</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+'Sept 07'!O175</f>
        <v>64390</v>
      </c>
      <c r="P174" s="53">
        <f>+'Sept 07'!P175</f>
        <v>7962</v>
      </c>
      <c r="Q174" s="25"/>
      <c r="R174" s="53">
        <f>O174+P174</f>
        <v>72352</v>
      </c>
      <c r="S174" s="25"/>
      <c r="T174" s="5"/>
    </row>
    <row r="175" spans="1:20" ht="15.6" x14ac:dyDescent="0.3">
      <c r="A175" s="24"/>
      <c r="B175" s="25" t="s">
        <v>70</v>
      </c>
      <c r="C175" s="25"/>
      <c r="D175" s="25"/>
      <c r="E175" s="25"/>
      <c r="F175" s="25"/>
      <c r="G175" s="25"/>
      <c r="H175" s="25"/>
      <c r="I175" s="25"/>
      <c r="J175" s="25"/>
      <c r="K175" s="25"/>
      <c r="L175" s="25"/>
      <c r="M175" s="25"/>
      <c r="N175" s="25"/>
      <c r="O175" s="34">
        <v>5464</v>
      </c>
      <c r="P175" s="34">
        <f>-P96-P120</f>
        <v>84</v>
      </c>
      <c r="Q175" s="25"/>
      <c r="R175" s="53">
        <f>O175+P175</f>
        <v>5548</v>
      </c>
      <c r="S175" s="25"/>
      <c r="T175" s="5"/>
    </row>
    <row r="176" spans="1:20" ht="15.6" x14ac:dyDescent="0.3">
      <c r="A176" s="24"/>
      <c r="B176" s="25" t="s">
        <v>71</v>
      </c>
      <c r="C176" s="25"/>
      <c r="D176" s="25"/>
      <c r="E176" s="25"/>
      <c r="F176" s="25"/>
      <c r="G176" s="25"/>
      <c r="H176" s="25"/>
      <c r="I176" s="25"/>
      <c r="J176" s="25"/>
      <c r="K176" s="25"/>
      <c r="L176" s="25"/>
      <c r="M176" s="25"/>
      <c r="N176" s="25"/>
      <c r="O176" s="53">
        <f>O174+O175</f>
        <v>69854</v>
      </c>
      <c r="P176" s="53">
        <f>P175+P174</f>
        <v>8046</v>
      </c>
      <c r="Q176" s="25"/>
      <c r="R176" s="53">
        <f>O176+P176</f>
        <v>77900</v>
      </c>
      <c r="S176" s="25"/>
      <c r="T176" s="5"/>
    </row>
    <row r="177" spans="1:20" ht="15.6" x14ac:dyDescent="0.3">
      <c r="A177" s="24"/>
      <c r="B177" s="25" t="s">
        <v>72</v>
      </c>
      <c r="C177" s="25"/>
      <c r="D177" s="25"/>
      <c r="E177" s="25"/>
      <c r="F177" s="25"/>
      <c r="G177" s="25"/>
      <c r="H177" s="25"/>
      <c r="I177" s="25"/>
      <c r="J177" s="25"/>
      <c r="K177" s="25"/>
      <c r="L177" s="25"/>
      <c r="M177" s="25"/>
      <c r="N177" s="25"/>
      <c r="O177" s="53">
        <f>O173-O176-P176</f>
        <v>82100</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1.3872364039955605</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1.39</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1.9903023388476897</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2.68</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DECEMBER 2007</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39447</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6.8419999999999995E-2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6.573073395473647E-2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2.6892660452635248E-3</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1.9575730896038368E-2</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17.88</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8.3451596319430124E-2</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0.17549999999999999</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4</v>
      </c>
      <c r="P206" s="86">
        <v>123</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27</v>
      </c>
      <c r="P207" s="86">
        <f>+P245</f>
        <v>4749</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f>+N257</f>
        <v>0</v>
      </c>
      <c r="P208" s="86">
        <f>+P257</f>
        <v>0</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8</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+'Sept 07'!P212+P212</f>
        <v>280</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0</v>
      </c>
      <c r="P215" s="86">
        <v>0</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0</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0</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1</v>
      </c>
      <c r="P219" s="86">
        <v>32</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0</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5216</v>
      </c>
      <c r="O224" s="95">
        <f t="shared" ref="O224:O231" si="1">N224/$N$233</f>
        <v>0.97641332834144512</v>
      </c>
      <c r="P224" s="53">
        <v>580634</v>
      </c>
      <c r="Q224" s="135">
        <f t="shared" ref="Q224:Q231" si="2">P224/$P$233</f>
        <v>0.97378677901063959</v>
      </c>
      <c r="R224" s="80"/>
      <c r="S224" s="89"/>
      <c r="T224" s="5"/>
    </row>
    <row r="225" spans="1:21" ht="15.6" x14ac:dyDescent="0.3">
      <c r="A225" s="24"/>
      <c r="B225" s="54" t="s">
        <v>100</v>
      </c>
      <c r="C225" s="94"/>
      <c r="D225" s="94"/>
      <c r="E225" s="94"/>
      <c r="F225" s="25"/>
      <c r="G225" s="95"/>
      <c r="H225" s="94"/>
      <c r="I225" s="94"/>
      <c r="J225" s="94"/>
      <c r="K225" s="94"/>
      <c r="L225" s="94"/>
      <c r="M225" s="94"/>
      <c r="N225" s="54">
        <v>96</v>
      </c>
      <c r="O225" s="95">
        <f t="shared" si="1"/>
        <v>1.7970797454137027E-2</v>
      </c>
      <c r="P225" s="53">
        <v>11531</v>
      </c>
      <c r="Q225" s="135">
        <f t="shared" si="2"/>
        <v>1.933874927884293E-2</v>
      </c>
      <c r="R225" s="80"/>
      <c r="S225" s="89"/>
      <c r="T225" s="5"/>
      <c r="U225" s="110"/>
    </row>
    <row r="226" spans="1:21" ht="15.6" x14ac:dyDescent="0.3">
      <c r="A226" s="24"/>
      <c r="B226" s="54" t="s">
        <v>101</v>
      </c>
      <c r="C226" s="94"/>
      <c r="D226" s="94"/>
      <c r="E226" s="94"/>
      <c r="F226" s="25"/>
      <c r="G226" s="95"/>
      <c r="H226" s="94"/>
      <c r="I226" s="94"/>
      <c r="J226" s="94"/>
      <c r="K226" s="94"/>
      <c r="L226" s="94"/>
      <c r="M226" s="94"/>
      <c r="N226" s="54">
        <v>19</v>
      </c>
      <c r="O226" s="95">
        <f t="shared" si="1"/>
        <v>3.5567203294646198E-3</v>
      </c>
      <c r="P226" s="53">
        <v>3564</v>
      </c>
      <c r="Q226" s="135">
        <f t="shared" si="2"/>
        <v>5.9772181449827596E-3</v>
      </c>
      <c r="R226" s="80"/>
      <c r="S226" s="89"/>
      <c r="T226" s="5"/>
    </row>
    <row r="227" spans="1:21" ht="15.6" x14ac:dyDescent="0.3">
      <c r="A227" s="24"/>
      <c r="B227" s="54" t="s">
        <v>210</v>
      </c>
      <c r="C227" s="94"/>
      <c r="D227" s="94"/>
      <c r="E227" s="94"/>
      <c r="F227" s="25"/>
      <c r="G227" s="95"/>
      <c r="H227" s="94"/>
      <c r="I227" s="94"/>
      <c r="J227" s="94"/>
      <c r="K227" s="94"/>
      <c r="L227" s="94"/>
      <c r="M227" s="94"/>
      <c r="N227" s="54">
        <v>6</v>
      </c>
      <c r="O227" s="95">
        <f t="shared" si="1"/>
        <v>1.1231748408835642E-3</v>
      </c>
      <c r="P227" s="53">
        <v>367</v>
      </c>
      <c r="Q227" s="135">
        <f t="shared" si="2"/>
        <v>6.1549917486214162E-4</v>
      </c>
      <c r="R227" s="80"/>
      <c r="S227" s="89"/>
      <c r="T227" s="5"/>
      <c r="U227" s="110"/>
    </row>
    <row r="228" spans="1:21" ht="15.6" x14ac:dyDescent="0.3">
      <c r="A228" s="24"/>
      <c r="B228" s="54" t="s">
        <v>211</v>
      </c>
      <c r="C228" s="94"/>
      <c r="D228" s="94"/>
      <c r="E228" s="94"/>
      <c r="F228" s="25"/>
      <c r="G228" s="95"/>
      <c r="H228" s="94"/>
      <c r="I228" s="94"/>
      <c r="J228" s="94"/>
      <c r="K228" s="94"/>
      <c r="L228" s="94"/>
      <c r="M228" s="94"/>
      <c r="N228" s="54">
        <v>2</v>
      </c>
      <c r="O228" s="95">
        <f t="shared" si="1"/>
        <v>3.7439161362785476E-4</v>
      </c>
      <c r="P228" s="53">
        <v>55</v>
      </c>
      <c r="Q228" s="135">
        <f t="shared" si="2"/>
        <v>9.2241020755906786E-5</v>
      </c>
      <c r="R228" s="80"/>
      <c r="S228" s="89"/>
      <c r="T228" s="5"/>
    </row>
    <row r="229" spans="1:21" ht="15.6" x14ac:dyDescent="0.3">
      <c r="A229" s="24"/>
      <c r="B229" s="54" t="s">
        <v>212</v>
      </c>
      <c r="C229" s="94"/>
      <c r="D229" s="94"/>
      <c r="E229" s="94"/>
      <c r="F229" s="25"/>
      <c r="G229" s="95"/>
      <c r="H229" s="94"/>
      <c r="I229" s="94"/>
      <c r="J229" s="94"/>
      <c r="K229" s="94"/>
      <c r="L229" s="94"/>
      <c r="M229" s="94"/>
      <c r="N229" s="54">
        <v>1</v>
      </c>
      <c r="O229" s="95">
        <f t="shared" si="1"/>
        <v>1.8719580681392738E-4</v>
      </c>
      <c r="P229" s="53">
        <v>12</v>
      </c>
      <c r="Q229" s="135">
        <f t="shared" si="2"/>
        <v>2.0125313619470571E-5</v>
      </c>
      <c r="R229" s="80"/>
      <c r="S229" s="89"/>
      <c r="T229" s="5"/>
      <c r="U229" s="110"/>
    </row>
    <row r="230" spans="1:21" ht="15.6" x14ac:dyDescent="0.3">
      <c r="A230" s="24"/>
      <c r="B230" s="54" t="s">
        <v>213</v>
      </c>
      <c r="C230" s="94"/>
      <c r="D230" s="94"/>
      <c r="E230" s="94"/>
      <c r="F230" s="25"/>
      <c r="G230" s="95"/>
      <c r="H230" s="94"/>
      <c r="I230" s="94"/>
      <c r="J230" s="94"/>
      <c r="K230" s="94"/>
      <c r="L230" s="94"/>
      <c r="M230" s="94"/>
      <c r="N230" s="54">
        <v>0</v>
      </c>
      <c r="O230" s="95">
        <f t="shared" si="1"/>
        <v>0</v>
      </c>
      <c r="P230" s="53">
        <v>0</v>
      </c>
      <c r="Q230" s="135">
        <f t="shared" si="2"/>
        <v>0</v>
      </c>
      <c r="R230" s="80"/>
      <c r="S230" s="89"/>
      <c r="T230" s="5"/>
    </row>
    <row r="231" spans="1:21" ht="15.6" x14ac:dyDescent="0.3">
      <c r="A231" s="24"/>
      <c r="B231" s="54" t="s">
        <v>214</v>
      </c>
      <c r="C231" s="94"/>
      <c r="D231" s="94"/>
      <c r="E231" s="94"/>
      <c r="F231" s="25"/>
      <c r="G231" s="95"/>
      <c r="H231" s="94"/>
      <c r="I231" s="94"/>
      <c r="J231" s="94"/>
      <c r="K231" s="94"/>
      <c r="L231" s="94"/>
      <c r="M231" s="94"/>
      <c r="N231" s="54">
        <v>2</v>
      </c>
      <c r="O231" s="95">
        <f t="shared" si="1"/>
        <v>3.7439161362785476E-4</v>
      </c>
      <c r="P231" s="53">
        <v>101</v>
      </c>
      <c r="Q231" s="135">
        <f t="shared" si="2"/>
        <v>1.6938805629721063E-4</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5342</v>
      </c>
      <c r="O233" s="135">
        <f>SUM(O224:O232)</f>
        <v>0.99999999999999989</v>
      </c>
      <c r="P233" s="53">
        <f>SUM(P224:P232)</f>
        <v>596264</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9</v>
      </c>
      <c r="O236" s="95">
        <f t="shared" ref="O236:O243" si="3">N236/$N$245</f>
        <v>0.33333333333333331</v>
      </c>
      <c r="P236" s="53">
        <v>807</v>
      </c>
      <c r="Q236" s="135">
        <f t="shared" ref="Q236:Q243" si="4">P236/$P$245</f>
        <v>0.16993051168667087</v>
      </c>
      <c r="R236" s="25"/>
      <c r="S236" s="25"/>
      <c r="T236" s="5"/>
    </row>
    <row r="237" spans="1:21" ht="15.6" x14ac:dyDescent="0.3">
      <c r="A237" s="24"/>
      <c r="B237" s="54" t="s">
        <v>100</v>
      </c>
      <c r="C237" s="94"/>
      <c r="D237" s="94"/>
      <c r="E237" s="94"/>
      <c r="F237" s="25"/>
      <c r="G237" s="95"/>
      <c r="H237" s="94"/>
      <c r="I237" s="94"/>
      <c r="J237" s="94"/>
      <c r="K237" s="94"/>
      <c r="L237" s="94"/>
      <c r="M237" s="94"/>
      <c r="N237" s="54">
        <v>0</v>
      </c>
      <c r="O237" s="95">
        <f t="shared" si="3"/>
        <v>0</v>
      </c>
      <c r="P237" s="53">
        <v>0</v>
      </c>
      <c r="Q237" s="135">
        <f t="shared" si="4"/>
        <v>0</v>
      </c>
      <c r="R237" s="25"/>
      <c r="S237" s="25"/>
      <c r="T237" s="5"/>
    </row>
    <row r="238" spans="1:21" ht="15.6" x14ac:dyDescent="0.3">
      <c r="A238" s="24"/>
      <c r="B238" s="54" t="s">
        <v>101</v>
      </c>
      <c r="C238" s="94"/>
      <c r="D238" s="94"/>
      <c r="E238" s="94"/>
      <c r="F238" s="25"/>
      <c r="G238" s="95"/>
      <c r="H238" s="94"/>
      <c r="I238" s="94"/>
      <c r="J238" s="94"/>
      <c r="K238" s="94"/>
      <c r="L238" s="94"/>
      <c r="M238" s="94"/>
      <c r="N238" s="54">
        <v>0</v>
      </c>
      <c r="O238" s="95">
        <f t="shared" si="3"/>
        <v>0</v>
      </c>
      <c r="P238" s="53">
        <v>0</v>
      </c>
      <c r="Q238" s="135">
        <f t="shared" si="4"/>
        <v>0</v>
      </c>
      <c r="R238" s="25"/>
      <c r="S238" s="25"/>
      <c r="T238" s="5"/>
    </row>
    <row r="239" spans="1:21" ht="15.6" x14ac:dyDescent="0.3">
      <c r="A239" s="24"/>
      <c r="B239" s="54" t="s">
        <v>210</v>
      </c>
      <c r="C239" s="94"/>
      <c r="D239" s="94"/>
      <c r="E239" s="94"/>
      <c r="F239" s="25"/>
      <c r="G239" s="95"/>
      <c r="H239" s="94"/>
      <c r="I239" s="94"/>
      <c r="J239" s="94"/>
      <c r="K239" s="94"/>
      <c r="L239" s="94"/>
      <c r="M239" s="94"/>
      <c r="N239" s="54">
        <v>6</v>
      </c>
      <c r="O239" s="95">
        <f t="shared" si="3"/>
        <v>0.22222222222222221</v>
      </c>
      <c r="P239" s="53">
        <v>990</v>
      </c>
      <c r="Q239" s="135">
        <f t="shared" si="4"/>
        <v>0.20846493998736576</v>
      </c>
      <c r="R239" s="25"/>
      <c r="S239" s="25"/>
      <c r="T239" s="5"/>
    </row>
    <row r="240" spans="1:21" ht="15.6" x14ac:dyDescent="0.3">
      <c r="A240" s="24"/>
      <c r="B240" s="54" t="s">
        <v>211</v>
      </c>
      <c r="C240" s="94"/>
      <c r="D240" s="94"/>
      <c r="E240" s="94"/>
      <c r="F240" s="25"/>
      <c r="G240" s="95"/>
      <c r="H240" s="94"/>
      <c r="I240" s="94"/>
      <c r="J240" s="94"/>
      <c r="K240" s="94"/>
      <c r="L240" s="94"/>
      <c r="M240" s="94"/>
      <c r="N240" s="54">
        <v>3</v>
      </c>
      <c r="O240" s="95">
        <f t="shared" si="3"/>
        <v>0.1111111111111111</v>
      </c>
      <c r="P240" s="53">
        <v>767</v>
      </c>
      <c r="Q240" s="135">
        <f t="shared" si="4"/>
        <v>0.16150768582859548</v>
      </c>
      <c r="R240" s="25"/>
      <c r="S240" s="25"/>
      <c r="T240" s="5"/>
    </row>
    <row r="241" spans="1:20" ht="15.6" x14ac:dyDescent="0.3">
      <c r="A241" s="24"/>
      <c r="B241" s="54" t="s">
        <v>212</v>
      </c>
      <c r="C241" s="94"/>
      <c r="D241" s="94"/>
      <c r="E241" s="94"/>
      <c r="F241" s="25"/>
      <c r="G241" s="95"/>
      <c r="H241" s="94"/>
      <c r="I241" s="94"/>
      <c r="J241" s="94"/>
      <c r="K241" s="94"/>
      <c r="L241" s="94"/>
      <c r="M241" s="94"/>
      <c r="N241" s="54">
        <v>2</v>
      </c>
      <c r="O241" s="95">
        <f t="shared" si="3"/>
        <v>7.407407407407407E-2</v>
      </c>
      <c r="P241" s="53">
        <v>215</v>
      </c>
      <c r="Q241" s="135">
        <f t="shared" si="4"/>
        <v>4.5272688987155189E-2</v>
      </c>
      <c r="R241" s="25"/>
      <c r="S241" s="25"/>
      <c r="T241" s="5"/>
    </row>
    <row r="242" spans="1:20" ht="15.6" x14ac:dyDescent="0.3">
      <c r="A242" s="24"/>
      <c r="B242" s="54" t="s">
        <v>213</v>
      </c>
      <c r="C242" s="94"/>
      <c r="D242" s="94"/>
      <c r="E242" s="94"/>
      <c r="F242" s="25"/>
      <c r="G242" s="95"/>
      <c r="H242" s="94"/>
      <c r="I242" s="94"/>
      <c r="J242" s="94"/>
      <c r="K242" s="94"/>
      <c r="L242" s="94"/>
      <c r="M242" s="94"/>
      <c r="N242" s="54">
        <v>4</v>
      </c>
      <c r="O242" s="95">
        <f t="shared" si="3"/>
        <v>0.14814814814814814</v>
      </c>
      <c r="P242" s="53">
        <v>785</v>
      </c>
      <c r="Q242" s="135">
        <f t="shared" si="4"/>
        <v>0.16529795746472942</v>
      </c>
      <c r="R242" s="25"/>
      <c r="S242" s="25"/>
      <c r="T242" s="5"/>
    </row>
    <row r="243" spans="1:20" ht="15.6" x14ac:dyDescent="0.3">
      <c r="A243" s="24"/>
      <c r="B243" s="54" t="s">
        <v>214</v>
      </c>
      <c r="C243" s="94"/>
      <c r="D243" s="94"/>
      <c r="E243" s="94"/>
      <c r="F243" s="25"/>
      <c r="G243" s="95"/>
      <c r="H243" s="94"/>
      <c r="I243" s="94"/>
      <c r="J243" s="94"/>
      <c r="K243" s="94"/>
      <c r="L243" s="94"/>
      <c r="M243" s="94"/>
      <c r="N243" s="54">
        <v>3</v>
      </c>
      <c r="O243" s="95">
        <f t="shared" si="3"/>
        <v>0.1111111111111111</v>
      </c>
      <c r="P243" s="53">
        <v>1185</v>
      </c>
      <c r="Q243" s="135">
        <f t="shared" si="4"/>
        <v>0.24952621604548325</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27</v>
      </c>
      <c r="O245" s="135">
        <f>SUM(O236:O244)</f>
        <v>1</v>
      </c>
      <c r="P245" s="53">
        <f>SUM(P236:P244)</f>
        <v>4749</v>
      </c>
      <c r="Q245" s="135">
        <f>SUM(Q236:Q244)</f>
        <v>1</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v>0</v>
      </c>
      <c r="P248" s="53">
        <v>0</v>
      </c>
      <c r="Q248" s="135">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v>0</v>
      </c>
      <c r="P249" s="53">
        <v>0</v>
      </c>
      <c r="Q249" s="135">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v>0</v>
      </c>
      <c r="P250" s="53">
        <v>0</v>
      </c>
      <c r="Q250" s="135">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v>0</v>
      </c>
      <c r="P251" s="53">
        <v>0</v>
      </c>
      <c r="Q251" s="135">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v>0</v>
      </c>
      <c r="P252" s="53">
        <v>0</v>
      </c>
      <c r="Q252" s="135">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v>0</v>
      </c>
      <c r="P253" s="53">
        <v>0</v>
      </c>
      <c r="Q253" s="135">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0</v>
      </c>
      <c r="O254" s="95">
        <v>0</v>
      </c>
      <c r="P254" s="53">
        <v>0</v>
      </c>
      <c r="Q254" s="135">
        <v>0</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0</v>
      </c>
      <c r="O255" s="95">
        <v>0</v>
      </c>
      <c r="P255" s="53">
        <v>0</v>
      </c>
      <c r="Q255" s="135">
        <v>0</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0</v>
      </c>
      <c r="O257" s="95">
        <f>SUM(O248:O255)</f>
        <v>0</v>
      </c>
      <c r="P257" s="53">
        <f>SUM(P248:P255)</f>
        <v>0</v>
      </c>
      <c r="Q257" s="135">
        <f>SUM(Q248:Q255)</f>
        <v>0</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5369</v>
      </c>
      <c r="O259" s="158"/>
      <c r="P259" s="159">
        <f>+P257+P245+P233</f>
        <v>601013</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DECEMBER 2007</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0.86609999999999998</v>
      </c>
      <c r="P16" s="17" t="s">
        <v>161</v>
      </c>
      <c r="Q16" s="140">
        <v>0.13389999999999999</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39560</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246466.291</v>
      </c>
      <c r="I31" s="31"/>
      <c r="J31" s="125">
        <f>J30*J37</f>
        <v>366063.04859999998</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225597.70300000001</v>
      </c>
      <c r="I32" s="36"/>
      <c r="J32" s="126">
        <f>J36*J30</f>
        <v>335068.0638</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246466.291</v>
      </c>
      <c r="I34" s="31"/>
      <c r="J34" s="31">
        <f>J33*J37</f>
        <v>254547.15299999999</v>
      </c>
      <c r="K34" s="31"/>
      <c r="L34" s="31">
        <v>65000</v>
      </c>
      <c r="M34" s="31"/>
      <c r="N34" s="31">
        <v>35000</v>
      </c>
      <c r="O34" s="31"/>
      <c r="P34" s="31"/>
      <c r="Q34" s="147"/>
      <c r="R34" s="31">
        <f>SUM(C34:N34)</f>
        <v>601013.44400000002</v>
      </c>
      <c r="S34" s="34"/>
      <c r="T34" s="5"/>
    </row>
    <row r="35" spans="1:20" ht="15.6" x14ac:dyDescent="0.3">
      <c r="A35" s="28"/>
      <c r="B35" s="29" t="s">
        <v>287</v>
      </c>
      <c r="C35" s="36"/>
      <c r="D35" s="35">
        <f>D36*D33</f>
        <v>0</v>
      </c>
      <c r="E35" s="36"/>
      <c r="F35" s="35">
        <f>F36*F33</f>
        <v>0</v>
      </c>
      <c r="G35" s="35"/>
      <c r="H35" s="35">
        <f>H36*H33</f>
        <v>225597.70300000001</v>
      </c>
      <c r="I35" s="36"/>
      <c r="J35" s="35">
        <f>J36*J33</f>
        <v>232994.34899999999</v>
      </c>
      <c r="K35" s="35"/>
      <c r="L35" s="35">
        <v>65000</v>
      </c>
      <c r="M35" s="35"/>
      <c r="N35" s="35">
        <v>35000</v>
      </c>
      <c r="O35" s="35"/>
      <c r="P35" s="35"/>
      <c r="Q35" s="37"/>
      <c r="R35" s="35">
        <f>SUM(C35:N35)</f>
        <v>558592.05200000003</v>
      </c>
      <c r="S35" s="34"/>
      <c r="T35" s="5"/>
    </row>
    <row r="36" spans="1:20" ht="15.6" x14ac:dyDescent="0.3">
      <c r="A36" s="28"/>
      <c r="B36" s="123" t="s">
        <v>149</v>
      </c>
      <c r="C36" s="127"/>
      <c r="D36" s="172">
        <v>0</v>
      </c>
      <c r="E36" s="139"/>
      <c r="F36" s="172">
        <v>0</v>
      </c>
      <c r="G36" s="138"/>
      <c r="H36" s="172">
        <v>0.73966460000000001</v>
      </c>
      <c r="I36" s="138"/>
      <c r="J36" s="172">
        <v>0.73966460000000001</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0.80808619999999998</v>
      </c>
      <c r="I37" s="138"/>
      <c r="J37" s="172">
        <v>0.80808619999999998</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5.8568799999999997E-2</v>
      </c>
      <c r="I39" s="39"/>
      <c r="J39" s="38">
        <v>4.7559999999999998E-2</v>
      </c>
      <c r="K39" s="39"/>
      <c r="L39" s="38">
        <v>6.3168799999999997E-2</v>
      </c>
      <c r="M39" s="39"/>
      <c r="N39" s="38">
        <v>5.176E-2</v>
      </c>
      <c r="O39" s="39"/>
      <c r="P39" s="38"/>
      <c r="Q39" s="146"/>
      <c r="R39" s="39"/>
      <c r="S39" s="25"/>
      <c r="T39" s="5"/>
    </row>
    <row r="40" spans="1:20" ht="15.6" x14ac:dyDescent="0.3">
      <c r="A40" s="24"/>
      <c r="B40" s="25" t="s">
        <v>14</v>
      </c>
      <c r="C40" s="25"/>
      <c r="D40" s="38">
        <v>0</v>
      </c>
      <c r="E40" s="25"/>
      <c r="F40" s="38">
        <v>0</v>
      </c>
      <c r="G40" s="39"/>
      <c r="H40" s="38">
        <v>6.4831299999999994E-2</v>
      </c>
      <c r="I40" s="39"/>
      <c r="J40" s="38">
        <v>4.9119999999999997E-2</v>
      </c>
      <c r="K40" s="39"/>
      <c r="L40" s="38">
        <v>6.9431300000000001E-2</v>
      </c>
      <c r="M40" s="39"/>
      <c r="N40" s="38">
        <v>5.3319999999999999E-2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5.8568799999999997E-2</v>
      </c>
      <c r="I42" s="39"/>
      <c r="J42" s="38">
        <v>5.89668E-2</v>
      </c>
      <c r="K42" s="39"/>
      <c r="L42" s="38">
        <f>+L39</f>
        <v>6.3168799999999997E-2</v>
      </c>
      <c r="M42" s="39"/>
      <c r="N42" s="38">
        <v>6.35458E-2</v>
      </c>
      <c r="O42" s="39"/>
      <c r="P42" s="38"/>
      <c r="Q42" s="146"/>
      <c r="R42" s="39">
        <f>SUMPRODUCT(D42:N42,D34:N34)/R34</f>
        <v>5.9524693370821169E-2</v>
      </c>
      <c r="S42" s="25"/>
      <c r="T42" s="5"/>
    </row>
    <row r="43" spans="1:20" ht="15.6" x14ac:dyDescent="0.3">
      <c r="A43" s="24"/>
      <c r="B43" s="25" t="s">
        <v>290</v>
      </c>
      <c r="C43" s="25"/>
      <c r="D43" s="38">
        <f>+D40</f>
        <v>0</v>
      </c>
      <c r="E43" s="25"/>
      <c r="F43" s="38">
        <v>0</v>
      </c>
      <c r="G43" s="39"/>
      <c r="H43" s="38">
        <f>+H40</f>
        <v>6.4831299999999994E-2</v>
      </c>
      <c r="I43" s="39"/>
      <c r="J43" s="38">
        <v>6.5229300000000004E-2</v>
      </c>
      <c r="K43" s="39"/>
      <c r="L43" s="38">
        <f>+L40</f>
        <v>6.9431300000000001E-2</v>
      </c>
      <c r="M43" s="39"/>
      <c r="N43" s="38">
        <v>6.9808300000000004E-2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0.21805872902481091</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39553</v>
      </c>
      <c r="S54" s="25"/>
      <c r="T54" s="5"/>
    </row>
    <row r="55" spans="1:21" ht="15.6" x14ac:dyDescent="0.3">
      <c r="A55" s="24"/>
      <c r="B55" s="25" t="s">
        <v>140</v>
      </c>
      <c r="C55" s="25"/>
      <c r="D55" s="25"/>
      <c r="E55" s="25"/>
      <c r="F55" s="25"/>
      <c r="G55" s="25"/>
      <c r="H55" s="58"/>
      <c r="I55" s="58"/>
      <c r="J55" s="58"/>
      <c r="K55" s="58"/>
      <c r="L55" s="58"/>
      <c r="M55" s="58"/>
      <c r="N55" s="25">
        <f>+R55-P55+1</f>
        <v>92</v>
      </c>
      <c r="O55" s="58"/>
      <c r="P55" s="45">
        <v>39370</v>
      </c>
      <c r="Q55" s="46"/>
      <c r="R55" s="45">
        <v>39461</v>
      </c>
      <c r="S55" s="25"/>
      <c r="T55" s="5"/>
    </row>
    <row r="56" spans="1:21" ht="15.6" x14ac:dyDescent="0.3">
      <c r="A56" s="24"/>
      <c r="B56" s="25" t="s">
        <v>141</v>
      </c>
      <c r="C56" s="25"/>
      <c r="D56" s="25"/>
      <c r="E56" s="25"/>
      <c r="F56" s="25"/>
      <c r="G56" s="25"/>
      <c r="H56" s="25"/>
      <c r="I56" s="25"/>
      <c r="J56" s="25"/>
      <c r="K56" s="25"/>
      <c r="L56" s="25"/>
      <c r="M56" s="25"/>
      <c r="N56" s="25">
        <f>+R56-P56+1</f>
        <v>91</v>
      </c>
      <c r="O56" s="25"/>
      <c r="P56" s="45">
        <v>39462</v>
      </c>
      <c r="Q56" s="46"/>
      <c r="R56" s="45">
        <v>39552</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39539</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277</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601013</v>
      </c>
      <c r="K67" s="34"/>
      <c r="L67" s="34">
        <f>42421+2006+285</f>
        <v>44712</v>
      </c>
      <c r="M67" s="34"/>
      <c r="N67" s="34">
        <f>2006+285</f>
        <v>2291</v>
      </c>
      <c r="O67" s="34"/>
      <c r="P67" s="34">
        <v>0</v>
      </c>
      <c r="Q67" s="34"/>
      <c r="R67" s="53">
        <f>+J67-L67+N67-P67</f>
        <v>558592</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601013</v>
      </c>
      <c r="K70" s="34"/>
      <c r="L70" s="34">
        <f>SUM(L67:L69)</f>
        <v>44712</v>
      </c>
      <c r="M70" s="34"/>
      <c r="N70" s="34">
        <f>SUM(N67:N69)</f>
        <v>2291</v>
      </c>
      <c r="O70" s="34"/>
      <c r="P70" s="34">
        <f>SUM(P67:P69)</f>
        <v>0</v>
      </c>
      <c r="Q70" s="34"/>
      <c r="R70" s="54">
        <f>SUM(R67:R69)</f>
        <v>558592</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601013</v>
      </c>
      <c r="K83" s="34"/>
      <c r="L83" s="34"/>
      <c r="M83" s="34"/>
      <c r="N83" s="34"/>
      <c r="O83" s="34"/>
      <c r="P83" s="54"/>
      <c r="Q83" s="34"/>
      <c r="R83" s="54">
        <f>SUM(R70:R82)</f>
        <v>558592</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39538</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44712+70</f>
        <v>44782</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9778+1314-1624-126</f>
        <v>9342</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422+24</f>
        <v>446</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738</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158</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0</v>
      </c>
      <c r="S94" s="25"/>
      <c r="T94" s="5"/>
    </row>
    <row r="95" spans="1:20" ht="15.6" x14ac:dyDescent="0.3">
      <c r="A95" s="24"/>
      <c r="B95" s="25" t="s">
        <v>35</v>
      </c>
      <c r="C95" s="25"/>
      <c r="D95" s="25"/>
      <c r="E95" s="25"/>
      <c r="F95" s="25"/>
      <c r="G95" s="25"/>
      <c r="H95" s="25"/>
      <c r="I95" s="25"/>
      <c r="J95" s="25"/>
      <c r="K95" s="25"/>
      <c r="L95" s="25"/>
      <c r="M95" s="25"/>
      <c r="N95" s="25"/>
      <c r="O95" s="25"/>
      <c r="P95" s="34">
        <f>SUM(P87:P94)</f>
        <v>44782</v>
      </c>
      <c r="Q95" s="25"/>
      <c r="R95" s="54">
        <f>SUM(R87:R94)</f>
        <v>10684</v>
      </c>
      <c r="S95" s="25"/>
      <c r="T95" s="5"/>
    </row>
    <row r="96" spans="1:20" ht="15.6" x14ac:dyDescent="0.3">
      <c r="A96" s="24"/>
      <c r="B96" s="25" t="s">
        <v>235</v>
      </c>
      <c r="C96" s="25"/>
      <c r="D96" s="25"/>
      <c r="E96" s="25"/>
      <c r="F96" s="25"/>
      <c r="G96" s="25"/>
      <c r="H96" s="25"/>
      <c r="I96" s="25"/>
      <c r="J96" s="25"/>
      <c r="K96" s="25"/>
      <c r="L96" s="25"/>
      <c r="M96" s="25"/>
      <c r="N96" s="25"/>
      <c r="O96" s="25"/>
      <c r="P96" s="34">
        <v>-20</v>
      </c>
      <c r="Q96" s="25"/>
      <c r="R96" s="54">
        <f>-P96</f>
        <v>20</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-49</v>
      </c>
      <c r="S98" s="25"/>
      <c r="T98" s="5"/>
    </row>
    <row r="99" spans="1:21" ht="15.6" x14ac:dyDescent="0.3">
      <c r="A99" s="24"/>
      <c r="B99" s="25" t="s">
        <v>37</v>
      </c>
      <c r="C99" s="25"/>
      <c r="D99" s="25"/>
      <c r="E99" s="25"/>
      <c r="F99" s="25"/>
      <c r="G99" s="25"/>
      <c r="H99" s="25"/>
      <c r="I99" s="25"/>
      <c r="J99" s="25"/>
      <c r="K99" s="25"/>
      <c r="L99" s="25"/>
      <c r="M99" s="25"/>
      <c r="N99" s="25"/>
      <c r="O99" s="25"/>
      <c r="P99" s="34">
        <f>P95+P97+P96</f>
        <v>44762</v>
      </c>
      <c r="Q99" s="25"/>
      <c r="R99" s="54">
        <f>R95+R97+R96+R98</f>
        <v>10655</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-149-56-7</f>
        <v>-212</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0</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-3599</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v>-3742</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-1024</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v>-555</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-70</v>
      </c>
      <c r="Q113" s="25"/>
      <c r="R113" s="53">
        <v>70</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-302</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-1279</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-23</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-2248</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-20868</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-21553</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-44692</v>
      </c>
      <c r="Q128" s="34"/>
      <c r="R128" s="34">
        <f>SUM(R100:R127)</f>
        <v>-10655</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MARCH 2008</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f>SUM(R147:R148)</f>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-70</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-70</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70</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558592</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558592</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+'Dec 07'!O176</f>
        <v>69854</v>
      </c>
      <c r="P174" s="53">
        <f>+'Dec 07'!P176</f>
        <v>8046</v>
      </c>
      <c r="Q174" s="25"/>
      <c r="R174" s="53">
        <f>O174+P174</f>
        <v>77900</v>
      </c>
      <c r="S174" s="25"/>
      <c r="T174" s="5"/>
    </row>
    <row r="175" spans="1:20" ht="15.6" x14ac:dyDescent="0.3">
      <c r="A175" s="24"/>
      <c r="B175" s="25" t="s">
        <v>70</v>
      </c>
      <c r="C175" s="25"/>
      <c r="D175" s="25"/>
      <c r="E175" s="25"/>
      <c r="F175" s="25"/>
      <c r="G175" s="25"/>
      <c r="H175" s="25"/>
      <c r="I175" s="25"/>
      <c r="J175" s="25"/>
      <c r="K175" s="25"/>
      <c r="L175" s="25"/>
      <c r="M175" s="25"/>
      <c r="N175" s="25"/>
      <c r="O175" s="34">
        <v>2248</v>
      </c>
      <c r="P175" s="34">
        <f>-P96-P120</f>
        <v>43</v>
      </c>
      <c r="Q175" s="25"/>
      <c r="R175" s="53">
        <f>O175+P175</f>
        <v>2291</v>
      </c>
      <c r="S175" s="25"/>
      <c r="T175" s="5"/>
    </row>
    <row r="176" spans="1:20" ht="15.6" x14ac:dyDescent="0.3">
      <c r="A176" s="24"/>
      <c r="B176" s="25" t="s">
        <v>71</v>
      </c>
      <c r="C176" s="25"/>
      <c r="D176" s="25"/>
      <c r="E176" s="25"/>
      <c r="F176" s="25"/>
      <c r="G176" s="25"/>
      <c r="H176" s="25"/>
      <c r="I176" s="25"/>
      <c r="J176" s="25"/>
      <c r="K176" s="25"/>
      <c r="L176" s="25"/>
      <c r="M176" s="25"/>
      <c r="N176" s="25"/>
      <c r="O176" s="53">
        <f>O174+O175</f>
        <v>72102</v>
      </c>
      <c r="P176" s="53">
        <f>P175+P174</f>
        <v>8089</v>
      </c>
      <c r="Q176" s="25"/>
      <c r="R176" s="53">
        <f>O176+P176</f>
        <v>80191</v>
      </c>
      <c r="S176" s="25"/>
      <c r="T176" s="5"/>
    </row>
    <row r="177" spans="1:20" ht="15.6" x14ac:dyDescent="0.3">
      <c r="A177" s="24"/>
      <c r="B177" s="25" t="s">
        <v>72</v>
      </c>
      <c r="C177" s="25"/>
      <c r="D177" s="25"/>
      <c r="E177" s="25"/>
      <c r="F177" s="25"/>
      <c r="G177" s="25"/>
      <c r="H177" s="25"/>
      <c r="I177" s="25"/>
      <c r="J177" s="25"/>
      <c r="K177" s="25"/>
      <c r="L177" s="25"/>
      <c r="M177" s="25"/>
      <c r="N177" s="25"/>
      <c r="O177" s="53">
        <f>O173-O176-P176</f>
        <v>79809</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1.4220133496798801</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1.4</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1.962001266624446</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2.63</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MARCH 2008</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39538</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6.5490000000000007E-2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5.9524693370821169E-2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5.9653066291788376E-3</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1.7728401881490084E-2</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17.62</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7.439439745895679E-2</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0.18240000000000001</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5</v>
      </c>
      <c r="P206" s="86">
        <v>192</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36</v>
      </c>
      <c r="P207" s="86">
        <f>+P245</f>
        <v>5990</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f>+N257</f>
        <v>0</v>
      </c>
      <c r="P208" s="86">
        <f>+P257</f>
        <v>0</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-70</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'Dec 07'!P213+P212</f>
        <v>210</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0</v>
      </c>
      <c r="P215" s="86">
        <v>0</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0</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0</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4</v>
      </c>
      <c r="P219" s="86">
        <v>330</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1.49</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4813</v>
      </c>
      <c r="O224" s="95">
        <f t="shared" ref="O224:O231" si="1">N224/$N$233</f>
        <v>0.97984527687296419</v>
      </c>
      <c r="P224" s="53">
        <v>538956</v>
      </c>
      <c r="Q224" s="135">
        <f t="shared" ref="Q224:Q231" si="2">P224/$P$233</f>
        <v>0.9753059163738097</v>
      </c>
      <c r="R224" s="80"/>
      <c r="S224" s="89"/>
      <c r="T224" s="5"/>
    </row>
    <row r="225" spans="1:21" ht="15.6" x14ac:dyDescent="0.3">
      <c r="A225" s="24"/>
      <c r="B225" s="54" t="s">
        <v>100</v>
      </c>
      <c r="C225" s="94"/>
      <c r="D225" s="94"/>
      <c r="E225" s="94"/>
      <c r="F225" s="25"/>
      <c r="G225" s="95"/>
      <c r="H225" s="94"/>
      <c r="I225" s="94"/>
      <c r="J225" s="94"/>
      <c r="K225" s="94"/>
      <c r="L225" s="94"/>
      <c r="M225" s="94"/>
      <c r="N225" s="54">
        <v>55</v>
      </c>
      <c r="O225" s="95">
        <f t="shared" si="1"/>
        <v>1.1197068403908795E-2</v>
      </c>
      <c r="P225" s="53">
        <v>8389</v>
      </c>
      <c r="Q225" s="135">
        <f t="shared" si="2"/>
        <v>1.5180907778111553E-2</v>
      </c>
      <c r="R225" s="80"/>
      <c r="S225" s="89"/>
      <c r="T225" s="5"/>
      <c r="U225" s="110"/>
    </row>
    <row r="226" spans="1:21" ht="15.6" x14ac:dyDescent="0.3">
      <c r="A226" s="24"/>
      <c r="B226" s="54" t="s">
        <v>101</v>
      </c>
      <c r="C226" s="94"/>
      <c r="D226" s="94"/>
      <c r="E226" s="94"/>
      <c r="F226" s="25"/>
      <c r="G226" s="95"/>
      <c r="H226" s="94"/>
      <c r="I226" s="94"/>
      <c r="J226" s="94"/>
      <c r="K226" s="94"/>
      <c r="L226" s="94"/>
      <c r="M226" s="94"/>
      <c r="N226" s="54">
        <v>34</v>
      </c>
      <c r="O226" s="95">
        <f t="shared" si="1"/>
        <v>6.9218241042345273E-3</v>
      </c>
      <c r="P226" s="53">
        <v>4678</v>
      </c>
      <c r="Q226" s="135">
        <f t="shared" si="2"/>
        <v>8.4654054817029246E-3</v>
      </c>
      <c r="R226" s="80"/>
      <c r="S226" s="89"/>
      <c r="T226" s="5"/>
    </row>
    <row r="227" spans="1:21" ht="15.6" x14ac:dyDescent="0.3">
      <c r="A227" s="24"/>
      <c r="B227" s="54" t="s">
        <v>210</v>
      </c>
      <c r="C227" s="94"/>
      <c r="D227" s="94"/>
      <c r="E227" s="94"/>
      <c r="F227" s="25"/>
      <c r="G227" s="95"/>
      <c r="H227" s="94"/>
      <c r="I227" s="94"/>
      <c r="J227" s="94"/>
      <c r="K227" s="94"/>
      <c r="L227" s="94"/>
      <c r="M227" s="94"/>
      <c r="N227" s="54">
        <v>5</v>
      </c>
      <c r="O227" s="95">
        <f t="shared" si="1"/>
        <v>1.0179153094462541E-3</v>
      </c>
      <c r="P227" s="53">
        <v>326</v>
      </c>
      <c r="Q227" s="135">
        <f t="shared" si="2"/>
        <v>5.8993633754492387E-4</v>
      </c>
      <c r="R227" s="80"/>
      <c r="S227" s="89"/>
      <c r="T227" s="5"/>
      <c r="U227" s="110"/>
    </row>
    <row r="228" spans="1:21" ht="15.6" x14ac:dyDescent="0.3">
      <c r="A228" s="24"/>
      <c r="B228" s="54" t="s">
        <v>211</v>
      </c>
      <c r="C228" s="94"/>
      <c r="D228" s="94"/>
      <c r="E228" s="94"/>
      <c r="F228" s="25"/>
      <c r="G228" s="95"/>
      <c r="H228" s="94"/>
      <c r="I228" s="94"/>
      <c r="J228" s="94"/>
      <c r="K228" s="94"/>
      <c r="L228" s="94"/>
      <c r="M228" s="94"/>
      <c r="N228" s="54">
        <v>2</v>
      </c>
      <c r="O228" s="95">
        <f t="shared" si="1"/>
        <v>4.0716612377850165E-4</v>
      </c>
      <c r="P228" s="53">
        <v>124</v>
      </c>
      <c r="Q228" s="135">
        <f t="shared" si="2"/>
        <v>2.2439296274714895E-4</v>
      </c>
      <c r="R228" s="80"/>
      <c r="S228" s="89"/>
      <c r="T228" s="5"/>
    </row>
    <row r="229" spans="1:21" ht="15.6" x14ac:dyDescent="0.3">
      <c r="A229" s="24"/>
      <c r="B229" s="54" t="s">
        <v>212</v>
      </c>
      <c r="C229" s="94"/>
      <c r="D229" s="94"/>
      <c r="E229" s="94"/>
      <c r="F229" s="25"/>
      <c r="G229" s="95"/>
      <c r="H229" s="94"/>
      <c r="I229" s="94"/>
      <c r="J229" s="94"/>
      <c r="K229" s="94"/>
      <c r="L229" s="94"/>
      <c r="M229" s="94"/>
      <c r="N229" s="54">
        <v>0</v>
      </c>
      <c r="O229" s="95">
        <f t="shared" si="1"/>
        <v>0</v>
      </c>
      <c r="P229" s="53">
        <v>0</v>
      </c>
      <c r="Q229" s="135">
        <f t="shared" si="2"/>
        <v>0</v>
      </c>
      <c r="R229" s="80"/>
      <c r="S229" s="89"/>
      <c r="T229" s="5"/>
      <c r="U229" s="110"/>
    </row>
    <row r="230" spans="1:21" ht="15.6" x14ac:dyDescent="0.3">
      <c r="A230" s="24"/>
      <c r="B230" s="54" t="s">
        <v>213</v>
      </c>
      <c r="C230" s="94"/>
      <c r="D230" s="94"/>
      <c r="E230" s="94"/>
      <c r="F230" s="25"/>
      <c r="G230" s="95"/>
      <c r="H230" s="94"/>
      <c r="I230" s="94"/>
      <c r="J230" s="94"/>
      <c r="K230" s="94"/>
      <c r="L230" s="94"/>
      <c r="M230" s="94"/>
      <c r="N230" s="54">
        <v>2</v>
      </c>
      <c r="O230" s="95">
        <f t="shared" si="1"/>
        <v>4.0716612377850165E-4</v>
      </c>
      <c r="P230" s="53">
        <v>74</v>
      </c>
      <c r="Q230" s="135">
        <f t="shared" si="2"/>
        <v>1.3391192938136309E-4</v>
      </c>
      <c r="R230" s="80"/>
      <c r="S230" s="89"/>
      <c r="T230" s="5"/>
    </row>
    <row r="231" spans="1:21" ht="15.6" x14ac:dyDescent="0.3">
      <c r="A231" s="24"/>
      <c r="B231" s="54" t="s">
        <v>214</v>
      </c>
      <c r="C231" s="94"/>
      <c r="D231" s="94"/>
      <c r="E231" s="94"/>
      <c r="F231" s="25"/>
      <c r="G231" s="95"/>
      <c r="H231" s="94"/>
      <c r="I231" s="94"/>
      <c r="J231" s="94"/>
      <c r="K231" s="94"/>
      <c r="L231" s="94"/>
      <c r="M231" s="94"/>
      <c r="N231" s="54">
        <v>1</v>
      </c>
      <c r="O231" s="95">
        <f t="shared" si="1"/>
        <v>2.0358306188925082E-4</v>
      </c>
      <c r="P231" s="53">
        <v>55</v>
      </c>
      <c r="Q231" s="135">
        <f t="shared" si="2"/>
        <v>9.952913670236445E-5</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4912</v>
      </c>
      <c r="O233" s="135">
        <f>SUM(O224:O232)</f>
        <v>0.99999999999999989</v>
      </c>
      <c r="P233" s="53">
        <f>SUM(P224:P232)</f>
        <v>552602</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10</v>
      </c>
      <c r="O236" s="95">
        <f t="shared" ref="O236:O243" si="3">N236/$N$245</f>
        <v>0.27777777777777779</v>
      </c>
      <c r="P236" s="53">
        <v>1051</v>
      </c>
      <c r="Q236" s="135">
        <f t="shared" ref="Q236:Q243" si="4">P236/$P$245</f>
        <v>0.17545909849749583</v>
      </c>
      <c r="R236" s="25"/>
      <c r="S236" s="25"/>
      <c r="T236" s="5"/>
    </row>
    <row r="237" spans="1:21" ht="15.6" x14ac:dyDescent="0.3">
      <c r="A237" s="24"/>
      <c r="B237" s="54" t="s">
        <v>100</v>
      </c>
      <c r="C237" s="94"/>
      <c r="D237" s="94"/>
      <c r="E237" s="94"/>
      <c r="F237" s="25"/>
      <c r="G237" s="95"/>
      <c r="H237" s="94"/>
      <c r="I237" s="94"/>
      <c r="J237" s="94"/>
      <c r="K237" s="94"/>
      <c r="L237" s="94"/>
      <c r="M237" s="94"/>
      <c r="N237" s="54">
        <v>1</v>
      </c>
      <c r="O237" s="95">
        <f t="shared" si="3"/>
        <v>2.7777777777777776E-2</v>
      </c>
      <c r="P237" s="53">
        <v>121</v>
      </c>
      <c r="Q237" s="135">
        <f t="shared" si="4"/>
        <v>2.020033388981636E-2</v>
      </c>
      <c r="R237" s="25"/>
      <c r="S237" s="25"/>
      <c r="T237" s="5"/>
    </row>
    <row r="238" spans="1:21" ht="15.6" x14ac:dyDescent="0.3">
      <c r="A238" s="24"/>
      <c r="B238" s="54" t="s">
        <v>101</v>
      </c>
      <c r="C238" s="94"/>
      <c r="D238" s="94"/>
      <c r="E238" s="94"/>
      <c r="F238" s="25"/>
      <c r="G238" s="95"/>
      <c r="H238" s="94"/>
      <c r="I238" s="94"/>
      <c r="J238" s="94"/>
      <c r="K238" s="94"/>
      <c r="L238" s="94"/>
      <c r="M238" s="94"/>
      <c r="N238" s="54">
        <v>5</v>
      </c>
      <c r="O238" s="95">
        <f t="shared" si="3"/>
        <v>0.1388888888888889</v>
      </c>
      <c r="P238" s="53">
        <v>786</v>
      </c>
      <c r="Q238" s="135">
        <f t="shared" si="4"/>
        <v>0.13121869782971618</v>
      </c>
      <c r="R238" s="25"/>
      <c r="S238" s="25"/>
      <c r="T238" s="5"/>
    </row>
    <row r="239" spans="1:21" ht="15.6" x14ac:dyDescent="0.3">
      <c r="A239" s="24"/>
      <c r="B239" s="54" t="s">
        <v>210</v>
      </c>
      <c r="C239" s="94"/>
      <c r="D239" s="94"/>
      <c r="E239" s="94"/>
      <c r="F239" s="25"/>
      <c r="G239" s="95"/>
      <c r="H239" s="94"/>
      <c r="I239" s="94"/>
      <c r="J239" s="94"/>
      <c r="K239" s="94"/>
      <c r="L239" s="94"/>
      <c r="M239" s="94"/>
      <c r="N239" s="54">
        <v>3</v>
      </c>
      <c r="O239" s="95">
        <f t="shared" si="3"/>
        <v>8.3333333333333329E-2</v>
      </c>
      <c r="P239" s="53">
        <v>550</v>
      </c>
      <c r="Q239" s="135">
        <f t="shared" si="4"/>
        <v>9.1819699499165269E-2</v>
      </c>
      <c r="R239" s="25"/>
      <c r="S239" s="25"/>
      <c r="T239" s="5"/>
    </row>
    <row r="240" spans="1:21" ht="15.6" x14ac:dyDescent="0.3">
      <c r="A240" s="24"/>
      <c r="B240" s="54" t="s">
        <v>211</v>
      </c>
      <c r="C240" s="94"/>
      <c r="D240" s="94"/>
      <c r="E240" s="94"/>
      <c r="F240" s="25"/>
      <c r="G240" s="95"/>
      <c r="H240" s="94"/>
      <c r="I240" s="94"/>
      <c r="J240" s="94"/>
      <c r="K240" s="94"/>
      <c r="L240" s="94"/>
      <c r="M240" s="94"/>
      <c r="N240" s="54">
        <v>6</v>
      </c>
      <c r="O240" s="95">
        <f t="shared" si="3"/>
        <v>0.16666666666666666</v>
      </c>
      <c r="P240" s="53">
        <v>1108</v>
      </c>
      <c r="Q240" s="135">
        <f t="shared" si="4"/>
        <v>0.18497495826377294</v>
      </c>
      <c r="R240" s="25"/>
      <c r="S240" s="25"/>
      <c r="T240" s="5"/>
    </row>
    <row r="241" spans="1:20" ht="15.6" x14ac:dyDescent="0.3">
      <c r="A241" s="24"/>
      <c r="B241" s="54" t="s">
        <v>212</v>
      </c>
      <c r="C241" s="94"/>
      <c r="D241" s="94"/>
      <c r="E241" s="94"/>
      <c r="F241" s="25"/>
      <c r="G241" s="95"/>
      <c r="H241" s="94"/>
      <c r="I241" s="94"/>
      <c r="J241" s="94"/>
      <c r="K241" s="94"/>
      <c r="L241" s="94"/>
      <c r="M241" s="94"/>
      <c r="N241" s="54">
        <v>2</v>
      </c>
      <c r="O241" s="95">
        <f t="shared" si="3"/>
        <v>5.5555555555555552E-2</v>
      </c>
      <c r="P241" s="53">
        <v>188</v>
      </c>
      <c r="Q241" s="135">
        <f t="shared" si="4"/>
        <v>3.1385642737896492E-2</v>
      </c>
      <c r="R241" s="25"/>
      <c r="S241" s="25"/>
      <c r="T241" s="5"/>
    </row>
    <row r="242" spans="1:20" ht="15.6" x14ac:dyDescent="0.3">
      <c r="A242" s="24"/>
      <c r="B242" s="54" t="s">
        <v>213</v>
      </c>
      <c r="C242" s="94"/>
      <c r="D242" s="94"/>
      <c r="E242" s="94"/>
      <c r="F242" s="25"/>
      <c r="G242" s="95"/>
      <c r="H242" s="94"/>
      <c r="I242" s="94"/>
      <c r="J242" s="94"/>
      <c r="K242" s="94"/>
      <c r="L242" s="94"/>
      <c r="M242" s="94"/>
      <c r="N242" s="54">
        <v>4</v>
      </c>
      <c r="O242" s="95">
        <f t="shared" si="3"/>
        <v>0.1111111111111111</v>
      </c>
      <c r="P242" s="53">
        <v>749</v>
      </c>
      <c r="Q242" s="135">
        <f t="shared" si="4"/>
        <v>0.12504173622704506</v>
      </c>
      <c r="R242" s="25"/>
      <c r="S242" s="25"/>
      <c r="T242" s="5"/>
    </row>
    <row r="243" spans="1:20" ht="15.6" x14ac:dyDescent="0.3">
      <c r="A243" s="24"/>
      <c r="B243" s="54" t="s">
        <v>214</v>
      </c>
      <c r="C243" s="94"/>
      <c r="D243" s="94"/>
      <c r="E243" s="94"/>
      <c r="F243" s="25"/>
      <c r="G243" s="95"/>
      <c r="H243" s="94"/>
      <c r="I243" s="94"/>
      <c r="J243" s="94"/>
      <c r="K243" s="94"/>
      <c r="L243" s="94"/>
      <c r="M243" s="94"/>
      <c r="N243" s="54">
        <v>5</v>
      </c>
      <c r="O243" s="95">
        <f t="shared" si="3"/>
        <v>0.1388888888888889</v>
      </c>
      <c r="P243" s="53">
        <v>1437</v>
      </c>
      <c r="Q243" s="135">
        <f t="shared" si="4"/>
        <v>0.23989983305509183</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36</v>
      </c>
      <c r="O245" s="135">
        <f>SUM(O236:O244)</f>
        <v>1</v>
      </c>
      <c r="P245" s="53">
        <f>SUM(P236:P244)</f>
        <v>5990</v>
      </c>
      <c r="Q245" s="135">
        <f>SUM(Q236:Q244)</f>
        <v>1</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v>0</v>
      </c>
      <c r="P248" s="53">
        <v>0</v>
      </c>
      <c r="Q248" s="135">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v>0</v>
      </c>
      <c r="P249" s="53">
        <v>0</v>
      </c>
      <c r="Q249" s="135">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v>0</v>
      </c>
      <c r="P250" s="53">
        <v>0</v>
      </c>
      <c r="Q250" s="135">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v>0</v>
      </c>
      <c r="P251" s="53">
        <v>0</v>
      </c>
      <c r="Q251" s="135">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v>0</v>
      </c>
      <c r="P252" s="53">
        <v>0</v>
      </c>
      <c r="Q252" s="135">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v>0</v>
      </c>
      <c r="P253" s="53">
        <v>0</v>
      </c>
      <c r="Q253" s="135">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0</v>
      </c>
      <c r="O254" s="95">
        <v>0</v>
      </c>
      <c r="P254" s="53">
        <v>0</v>
      </c>
      <c r="Q254" s="135">
        <v>0</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0</v>
      </c>
      <c r="O255" s="95">
        <v>0</v>
      </c>
      <c r="P255" s="53">
        <v>0</v>
      </c>
      <c r="Q255" s="135">
        <v>0</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0</v>
      </c>
      <c r="O257" s="95">
        <f>SUM(O248:O255)</f>
        <v>0</v>
      </c>
      <c r="P257" s="53">
        <f>SUM(P248:P255)</f>
        <v>0</v>
      </c>
      <c r="Q257" s="135">
        <f>SUM(Q248:Q255)</f>
        <v>0</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4948</v>
      </c>
      <c r="O259" s="158"/>
      <c r="P259" s="159">
        <f>+P257+P245+P233</f>
        <v>558592</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MARCH 2008</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0.87009999999999998</v>
      </c>
      <c r="P16" s="17" t="s">
        <v>161</v>
      </c>
      <c r="Q16" s="140">
        <v>0.12989999999999999</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39653</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225597.70300000001</v>
      </c>
      <c r="I31" s="31"/>
      <c r="J31" s="125">
        <f>J30*J37</f>
        <v>335068.0638</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213826.34999999998</v>
      </c>
      <c r="I32" s="36"/>
      <c r="J32" s="126">
        <f>J36*J30</f>
        <v>317584.70999999996</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225597.70300000001</v>
      </c>
      <c r="I34" s="31"/>
      <c r="J34" s="31">
        <f>J33*J37</f>
        <v>232994.34899999999</v>
      </c>
      <c r="K34" s="31"/>
      <c r="L34" s="31">
        <v>65000</v>
      </c>
      <c r="M34" s="31"/>
      <c r="N34" s="31">
        <v>35000</v>
      </c>
      <c r="O34" s="31"/>
      <c r="P34" s="31"/>
      <c r="Q34" s="147"/>
      <c r="R34" s="31">
        <f>SUM(C34:N34)</f>
        <v>558592.05200000003</v>
      </c>
      <c r="S34" s="34"/>
      <c r="T34" s="5"/>
    </row>
    <row r="35" spans="1:20" ht="15.6" x14ac:dyDescent="0.3">
      <c r="A35" s="28"/>
      <c r="B35" s="29" t="s">
        <v>287</v>
      </c>
      <c r="C35" s="36"/>
      <c r="D35" s="35">
        <f>D36*D33</f>
        <v>0</v>
      </c>
      <c r="E35" s="36"/>
      <c r="F35" s="35">
        <f>F36*F33</f>
        <v>0</v>
      </c>
      <c r="G35" s="35"/>
      <c r="H35" s="35">
        <f>H36*H33</f>
        <v>213826.34999999998</v>
      </c>
      <c r="I35" s="36"/>
      <c r="J35" s="35">
        <f>J36*J33</f>
        <v>220837.05</v>
      </c>
      <c r="K35" s="35"/>
      <c r="L35" s="35">
        <v>65000</v>
      </c>
      <c r="M35" s="35"/>
      <c r="N35" s="35">
        <v>35000</v>
      </c>
      <c r="O35" s="35"/>
      <c r="P35" s="35"/>
      <c r="Q35" s="37"/>
      <c r="R35" s="35">
        <f>SUM(C35:N35)</f>
        <v>534663.39999999991</v>
      </c>
      <c r="S35" s="34"/>
      <c r="T35" s="5"/>
    </row>
    <row r="36" spans="1:20" ht="15.6" x14ac:dyDescent="0.3">
      <c r="A36" s="28"/>
      <c r="B36" s="123" t="s">
        <v>149</v>
      </c>
      <c r="C36" s="127"/>
      <c r="D36" s="172">
        <v>0</v>
      </c>
      <c r="E36" s="139"/>
      <c r="F36" s="172">
        <v>0</v>
      </c>
      <c r="G36" s="138"/>
      <c r="H36" s="172">
        <v>0.70106999999999997</v>
      </c>
      <c r="I36" s="138"/>
      <c r="J36" s="172">
        <v>0.70106999999999997</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0.73966460000000001</v>
      </c>
      <c r="I37" s="138"/>
      <c r="J37" s="172">
        <v>0.73966460000000001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6.11938E-2</v>
      </c>
      <c r="I39" s="39"/>
      <c r="J39" s="38">
        <v>4.9270000000000001E-2</v>
      </c>
      <c r="K39" s="39"/>
      <c r="L39" s="38">
        <v>6.57938E-2</v>
      </c>
      <c r="M39" s="39"/>
      <c r="N39" s="38">
        <v>5.3469999999999997E-2</v>
      </c>
      <c r="O39" s="39"/>
      <c r="P39" s="38"/>
      <c r="Q39" s="146"/>
      <c r="R39" s="39"/>
      <c r="S39" s="25"/>
      <c r="T39" s="5"/>
    </row>
    <row r="40" spans="1:20" ht="15.6" x14ac:dyDescent="0.3">
      <c r="A40" s="24"/>
      <c r="B40" s="25" t="s">
        <v>14</v>
      </c>
      <c r="C40" s="25"/>
      <c r="D40" s="38">
        <v>0</v>
      </c>
      <c r="E40" s="25"/>
      <c r="F40" s="38">
        <v>0</v>
      </c>
      <c r="G40" s="39"/>
      <c r="H40" s="38">
        <v>5.8568799999999997E-2</v>
      </c>
      <c r="I40" s="39"/>
      <c r="J40" s="38">
        <v>4.7559999999999998E-2</v>
      </c>
      <c r="K40" s="39"/>
      <c r="L40" s="38">
        <v>6.3168799999999997E-2</v>
      </c>
      <c r="M40" s="39"/>
      <c r="N40" s="38">
        <v>5.176E-2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6.11938E-2</v>
      </c>
      <c r="I42" s="39"/>
      <c r="J42" s="38">
        <v>6.1591800000000002E-2</v>
      </c>
      <c r="K42" s="39"/>
      <c r="L42" s="38">
        <f>+L39</f>
        <v>6.57938E-2</v>
      </c>
      <c r="M42" s="39"/>
      <c r="N42" s="38">
        <v>6.6170800000000002E-2</v>
      </c>
      <c r="O42" s="39"/>
      <c r="P42" s="38"/>
      <c r="Q42" s="146"/>
      <c r="R42" s="39">
        <f>SUMPRODUCT(D42:N42,D34:N34)/R34</f>
        <v>6.220693068969696E-2</v>
      </c>
      <c r="S42" s="25"/>
      <c r="T42" s="5"/>
    </row>
    <row r="43" spans="1:20" ht="15.6" x14ac:dyDescent="0.3">
      <c r="A43" s="24"/>
      <c r="B43" s="25" t="s">
        <v>290</v>
      </c>
      <c r="C43" s="25"/>
      <c r="D43" s="38">
        <f>+D40</f>
        <v>0</v>
      </c>
      <c r="E43" s="25"/>
      <c r="F43" s="38">
        <v>0</v>
      </c>
      <c r="G43" s="39"/>
      <c r="H43" s="38">
        <f>+H40</f>
        <v>5.8568799999999997E-2</v>
      </c>
      <c r="I43" s="39"/>
      <c r="J43" s="38">
        <v>5.89668E-2</v>
      </c>
      <c r="K43" s="39"/>
      <c r="L43" s="38">
        <f>+L40</f>
        <v>6.3168799999999997E-2</v>
      </c>
      <c r="M43" s="39"/>
      <c r="N43" s="38">
        <v>6.35458E-2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0.2300630786949166</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39644</v>
      </c>
      <c r="S54" s="25"/>
      <c r="T54" s="5"/>
    </row>
    <row r="55" spans="1:21" ht="15.6" x14ac:dyDescent="0.3">
      <c r="A55" s="24"/>
      <c r="B55" s="25" t="s">
        <v>140</v>
      </c>
      <c r="C55" s="25"/>
      <c r="D55" s="25"/>
      <c r="E55" s="25"/>
      <c r="F55" s="25"/>
      <c r="G55" s="25"/>
      <c r="H55" s="58"/>
      <c r="I55" s="58"/>
      <c r="J55" s="58"/>
      <c r="K55" s="58"/>
      <c r="L55" s="58"/>
      <c r="M55" s="58"/>
      <c r="N55" s="25">
        <f>+R55-P55+1</f>
        <v>91</v>
      </c>
      <c r="O55" s="58"/>
      <c r="P55" s="45">
        <v>39462</v>
      </c>
      <c r="Q55" s="46"/>
      <c r="R55" s="45">
        <v>39552</v>
      </c>
      <c r="S55" s="25"/>
      <c r="T55" s="5"/>
    </row>
    <row r="56" spans="1:21" ht="15.6" x14ac:dyDescent="0.3">
      <c r="A56" s="24"/>
      <c r="B56" s="25" t="s">
        <v>141</v>
      </c>
      <c r="C56" s="25"/>
      <c r="D56" s="25"/>
      <c r="E56" s="25"/>
      <c r="F56" s="25"/>
      <c r="G56" s="25"/>
      <c r="H56" s="25"/>
      <c r="I56" s="25"/>
      <c r="J56" s="25"/>
      <c r="K56" s="25"/>
      <c r="L56" s="25"/>
      <c r="M56" s="25"/>
      <c r="N56" s="25">
        <f>+R56-P56+1</f>
        <v>91</v>
      </c>
      <c r="O56" s="25"/>
      <c r="P56" s="45">
        <v>39553</v>
      </c>
      <c r="Q56" s="46"/>
      <c r="R56" s="45">
        <v>39643</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39630</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278</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558592</v>
      </c>
      <c r="K67" s="34"/>
      <c r="L67" s="34">
        <f>23929+4959+202</f>
        <v>29090</v>
      </c>
      <c r="M67" s="34"/>
      <c r="N67" s="34">
        <f>4959+202</f>
        <v>5161</v>
      </c>
      <c r="O67" s="34"/>
      <c r="P67" s="34">
        <v>0</v>
      </c>
      <c r="Q67" s="34"/>
      <c r="R67" s="53">
        <f>+J67-L67+N67-P67</f>
        <v>534663</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558592</v>
      </c>
      <c r="K70" s="34"/>
      <c r="L70" s="34">
        <f>SUM(L67:L69)</f>
        <v>29090</v>
      </c>
      <c r="M70" s="34"/>
      <c r="N70" s="34">
        <f>SUM(N67:N69)</f>
        <v>5161</v>
      </c>
      <c r="O70" s="34"/>
      <c r="P70" s="34">
        <f>SUM(P67:P69)</f>
        <v>0</v>
      </c>
      <c r="Q70" s="34"/>
      <c r="R70" s="54">
        <f>SUM(R67:R69)</f>
        <v>534663</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558592</v>
      </c>
      <c r="K83" s="34"/>
      <c r="L83" s="34"/>
      <c r="M83" s="34"/>
      <c r="N83" s="34"/>
      <c r="O83" s="34"/>
      <c r="P83" s="54"/>
      <c r="Q83" s="34"/>
      <c r="R83" s="54">
        <f>SUM(R70:R82)</f>
        <v>534663</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39629</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29090+2</f>
        <v>29092</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9598+1139-1846-71</f>
        <v>8820</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204+128</f>
        <v>332</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784</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318</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264</v>
      </c>
      <c r="S94" s="25"/>
      <c r="T94" s="5"/>
    </row>
    <row r="95" spans="1:20" ht="15.6" x14ac:dyDescent="0.3">
      <c r="A95" s="24"/>
      <c r="B95" s="25" t="s">
        <v>35</v>
      </c>
      <c r="C95" s="25"/>
      <c r="D95" s="25"/>
      <c r="E95" s="25"/>
      <c r="F95" s="25"/>
      <c r="G95" s="25"/>
      <c r="H95" s="25"/>
      <c r="I95" s="25"/>
      <c r="J95" s="25"/>
      <c r="K95" s="25"/>
      <c r="L95" s="25"/>
      <c r="M95" s="25"/>
      <c r="N95" s="25"/>
      <c r="O95" s="25"/>
      <c r="P95" s="34">
        <f>SUM(P87:P94)</f>
        <v>29092</v>
      </c>
      <c r="Q95" s="25"/>
      <c r="R95" s="54">
        <f>SUM(R87:R94)</f>
        <v>10518</v>
      </c>
      <c r="S95" s="25"/>
      <c r="T95" s="5"/>
    </row>
    <row r="96" spans="1:20" ht="15.6" x14ac:dyDescent="0.3">
      <c r="A96" s="24"/>
      <c r="B96" s="25" t="s">
        <v>235</v>
      </c>
      <c r="C96" s="25"/>
      <c r="D96" s="25"/>
      <c r="E96" s="25"/>
      <c r="F96" s="25"/>
      <c r="G96" s="25"/>
      <c r="H96" s="25"/>
      <c r="I96" s="25"/>
      <c r="J96" s="25"/>
      <c r="K96" s="25"/>
      <c r="L96" s="25"/>
      <c r="M96" s="25"/>
      <c r="N96" s="25"/>
      <c r="O96" s="25"/>
      <c r="P96" s="34">
        <v>-17</v>
      </c>
      <c r="Q96" s="25"/>
      <c r="R96" s="54">
        <f>-P96</f>
        <v>17</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-86</v>
      </c>
      <c r="S98" s="25"/>
      <c r="T98" s="5"/>
    </row>
    <row r="99" spans="1:21" ht="15.6" x14ac:dyDescent="0.3">
      <c r="A99" s="24"/>
      <c r="B99" s="25" t="s">
        <v>37</v>
      </c>
      <c r="C99" s="25"/>
      <c r="D99" s="25"/>
      <c r="E99" s="25"/>
      <c r="F99" s="25"/>
      <c r="G99" s="25"/>
      <c r="H99" s="25"/>
      <c r="I99" s="25"/>
      <c r="J99" s="25"/>
      <c r="K99" s="25"/>
      <c r="L99" s="25"/>
      <c r="M99" s="25"/>
      <c r="N99" s="25"/>
      <c r="O99" s="25"/>
      <c r="P99" s="34">
        <f>P95+P97+P96</f>
        <v>29075</v>
      </c>
      <c r="Q99" s="25"/>
      <c r="R99" s="54">
        <f>R95+R97+R96+R98</f>
        <v>10449</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-138-93-7</f>
        <v>-238</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0</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-3442</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v>-3578</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-1066</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v>-577</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-2</v>
      </c>
      <c r="Q113" s="25"/>
      <c r="R113" s="53">
        <v>2</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-281</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-1257</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-53</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-5091</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-11772</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-12157</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-29073</v>
      </c>
      <c r="Q128" s="34"/>
      <c r="R128" s="34">
        <f>SUM(R100:R127)</f>
        <v>-10449</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JUNE 2008</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f>SUM(R147:R148)</f>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-2</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-2</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2</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534663</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534663</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+'March 08'!O176</f>
        <v>72102</v>
      </c>
      <c r="P174" s="53">
        <f>+'March 08'!P176</f>
        <v>8089</v>
      </c>
      <c r="Q174" s="25"/>
      <c r="R174" s="53">
        <f>O174+P174</f>
        <v>80191</v>
      </c>
      <c r="S174" s="25"/>
      <c r="T174" s="5"/>
    </row>
    <row r="175" spans="1:20" ht="15.6" x14ac:dyDescent="0.3">
      <c r="A175" s="24"/>
      <c r="B175" s="25" t="s">
        <v>70</v>
      </c>
      <c r="C175" s="25"/>
      <c r="D175" s="25"/>
      <c r="E175" s="25"/>
      <c r="F175" s="25"/>
      <c r="G175" s="25"/>
      <c r="H175" s="25"/>
      <c r="I175" s="25"/>
      <c r="J175" s="25"/>
      <c r="K175" s="25"/>
      <c r="L175" s="25"/>
      <c r="M175" s="25"/>
      <c r="N175" s="25"/>
      <c r="O175" s="34">
        <v>5091</v>
      </c>
      <c r="P175" s="34">
        <f>-P96-P120</f>
        <v>70</v>
      </c>
      <c r="Q175" s="25"/>
      <c r="R175" s="53">
        <f>O175+P175</f>
        <v>5161</v>
      </c>
      <c r="S175" s="25"/>
      <c r="T175" s="5"/>
    </row>
    <row r="176" spans="1:20" ht="15.6" x14ac:dyDescent="0.3">
      <c r="A176" s="24"/>
      <c r="B176" s="25" t="s">
        <v>71</v>
      </c>
      <c r="C176" s="25"/>
      <c r="D176" s="25"/>
      <c r="E176" s="25"/>
      <c r="F176" s="25"/>
      <c r="G176" s="25"/>
      <c r="H176" s="25"/>
      <c r="I176" s="25"/>
      <c r="J176" s="25"/>
      <c r="K176" s="25"/>
      <c r="L176" s="25"/>
      <c r="M176" s="25"/>
      <c r="N176" s="25"/>
      <c r="O176" s="53">
        <f>O174+O175</f>
        <v>77193</v>
      </c>
      <c r="P176" s="53">
        <f>P175+P174</f>
        <v>8159</v>
      </c>
      <c r="Q176" s="25"/>
      <c r="R176" s="53">
        <f>O176+P176</f>
        <v>85352</v>
      </c>
      <c r="S176" s="25"/>
      <c r="T176" s="5"/>
    </row>
    <row r="177" spans="1:20" ht="15.6" x14ac:dyDescent="0.3">
      <c r="A177" s="24"/>
      <c r="B177" s="25" t="s">
        <v>72</v>
      </c>
      <c r="C177" s="25"/>
      <c r="D177" s="25"/>
      <c r="E177" s="25"/>
      <c r="F177" s="25"/>
      <c r="G177" s="25"/>
      <c r="H177" s="25"/>
      <c r="I177" s="25"/>
      <c r="J177" s="25"/>
      <c r="K177" s="25"/>
      <c r="L177" s="25"/>
      <c r="M177" s="25"/>
      <c r="N177" s="25"/>
      <c r="O177" s="53">
        <f>O173-O176-P176</f>
        <v>74648</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1.4539886039886041</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1.4</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1.9397443700547778</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2.56</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JUNE 2008</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39629</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6.547E-2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6.220693068969696E-2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3.2630693103030406E-3</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1.8705960701191567E-2</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17.32</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5.2077365948670941E-2</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0.18310000000000001</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2</v>
      </c>
      <c r="P206" s="86">
        <v>96</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60</v>
      </c>
      <c r="P207" s="86">
        <f>+P245</f>
        <v>9407</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f>+N257</f>
        <v>2</v>
      </c>
      <c r="P208" s="86">
        <f>+P257</f>
        <v>83</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-2</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'March 08'!P213+P212</f>
        <v>208</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0</v>
      </c>
      <c r="P215" s="86">
        <v>0</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0</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0</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0</v>
      </c>
      <c r="P219" s="86">
        <v>0</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0</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4542</v>
      </c>
      <c r="O224" s="95">
        <f t="shared" ref="O224:O231" si="1">N224/$N$233</f>
        <v>0.98014674147604663</v>
      </c>
      <c r="P224" s="53">
        <v>513209</v>
      </c>
      <c r="Q224" s="135">
        <f t="shared" ref="Q224:Q231" si="2">P224/$P$233</f>
        <v>0.97721893547459604</v>
      </c>
      <c r="R224" s="80"/>
      <c r="S224" s="89"/>
      <c r="T224" s="5"/>
    </row>
    <row r="225" spans="1:21" ht="15.6" x14ac:dyDescent="0.3">
      <c r="A225" s="24"/>
      <c r="B225" s="54" t="s">
        <v>100</v>
      </c>
      <c r="C225" s="94"/>
      <c r="D225" s="94"/>
      <c r="E225" s="94"/>
      <c r="F225" s="25"/>
      <c r="G225" s="95"/>
      <c r="H225" s="94"/>
      <c r="I225" s="94"/>
      <c r="J225" s="94"/>
      <c r="K225" s="94"/>
      <c r="L225" s="94"/>
      <c r="M225" s="94"/>
      <c r="N225" s="54">
        <v>75</v>
      </c>
      <c r="O225" s="95">
        <f t="shared" si="1"/>
        <v>1.6184721622788088E-2</v>
      </c>
      <c r="P225" s="53">
        <v>9084</v>
      </c>
      <c r="Q225" s="135">
        <f t="shared" si="2"/>
        <v>1.7297157317683887E-2</v>
      </c>
      <c r="R225" s="80"/>
      <c r="S225" s="89"/>
      <c r="T225" s="5"/>
      <c r="U225" s="110"/>
    </row>
    <row r="226" spans="1:21" ht="15.6" x14ac:dyDescent="0.3">
      <c r="A226" s="24"/>
      <c r="B226" s="54" t="s">
        <v>101</v>
      </c>
      <c r="C226" s="94"/>
      <c r="D226" s="94"/>
      <c r="E226" s="94"/>
      <c r="F226" s="25"/>
      <c r="G226" s="95"/>
      <c r="H226" s="94"/>
      <c r="I226" s="94"/>
      <c r="J226" s="94"/>
      <c r="K226" s="94"/>
      <c r="L226" s="94"/>
      <c r="M226" s="94"/>
      <c r="N226" s="54">
        <v>9</v>
      </c>
      <c r="O226" s="95">
        <f t="shared" si="1"/>
        <v>1.9421665947345706E-3</v>
      </c>
      <c r="P226" s="53">
        <v>2444</v>
      </c>
      <c r="Q226" s="135">
        <f t="shared" si="2"/>
        <v>4.6537045887736044E-3</v>
      </c>
      <c r="R226" s="80"/>
      <c r="S226" s="89"/>
      <c r="T226" s="5"/>
    </row>
    <row r="227" spans="1:21" ht="15.6" x14ac:dyDescent="0.3">
      <c r="A227" s="24"/>
      <c r="B227" s="54" t="s">
        <v>210</v>
      </c>
      <c r="C227" s="94"/>
      <c r="D227" s="94"/>
      <c r="E227" s="94"/>
      <c r="F227" s="25"/>
      <c r="G227" s="95"/>
      <c r="H227" s="94"/>
      <c r="I227" s="94"/>
      <c r="J227" s="94"/>
      <c r="K227" s="94"/>
      <c r="L227" s="94"/>
      <c r="M227" s="94"/>
      <c r="N227" s="54">
        <v>2</v>
      </c>
      <c r="O227" s="95">
        <f t="shared" si="1"/>
        <v>4.3159257660768235E-4</v>
      </c>
      <c r="P227" s="53">
        <v>157</v>
      </c>
      <c r="Q227" s="135">
        <f t="shared" si="2"/>
        <v>2.9894910819863171E-4</v>
      </c>
      <c r="R227" s="80"/>
      <c r="S227" s="89"/>
      <c r="T227" s="5"/>
      <c r="U227" s="110"/>
    </row>
    <row r="228" spans="1:21" ht="15.6" x14ac:dyDescent="0.3">
      <c r="A228" s="24"/>
      <c r="B228" s="54" t="s">
        <v>211</v>
      </c>
      <c r="C228" s="94"/>
      <c r="D228" s="94"/>
      <c r="E228" s="94"/>
      <c r="F228" s="25"/>
      <c r="G228" s="95"/>
      <c r="H228" s="94"/>
      <c r="I228" s="94"/>
      <c r="J228" s="94"/>
      <c r="K228" s="94"/>
      <c r="L228" s="94"/>
      <c r="M228" s="94"/>
      <c r="N228" s="54">
        <v>2</v>
      </c>
      <c r="O228" s="95">
        <f t="shared" si="1"/>
        <v>4.3159257660768235E-4</v>
      </c>
      <c r="P228" s="53">
        <v>71</v>
      </c>
      <c r="Q228" s="135">
        <f t="shared" si="2"/>
        <v>1.3519354574587802E-4</v>
      </c>
      <c r="R228" s="80"/>
      <c r="S228" s="89"/>
      <c r="T228" s="5"/>
    </row>
    <row r="229" spans="1:21" ht="15.6" x14ac:dyDescent="0.3">
      <c r="A229" s="24"/>
      <c r="B229" s="54" t="s">
        <v>212</v>
      </c>
      <c r="C229" s="94"/>
      <c r="D229" s="94"/>
      <c r="E229" s="94"/>
      <c r="F229" s="25"/>
      <c r="G229" s="95"/>
      <c r="H229" s="94"/>
      <c r="I229" s="94"/>
      <c r="J229" s="94"/>
      <c r="K229" s="94"/>
      <c r="L229" s="94"/>
      <c r="M229" s="94"/>
      <c r="N229" s="54">
        <v>0</v>
      </c>
      <c r="O229" s="95">
        <f t="shared" si="1"/>
        <v>0</v>
      </c>
      <c r="P229" s="53">
        <v>0</v>
      </c>
      <c r="Q229" s="135">
        <f t="shared" si="2"/>
        <v>0</v>
      </c>
      <c r="R229" s="80"/>
      <c r="S229" s="89"/>
      <c r="T229" s="5"/>
      <c r="U229" s="110"/>
    </row>
    <row r="230" spans="1:21" ht="15.6" x14ac:dyDescent="0.3">
      <c r="A230" s="24"/>
      <c r="B230" s="54" t="s">
        <v>213</v>
      </c>
      <c r="C230" s="94"/>
      <c r="D230" s="94"/>
      <c r="E230" s="94"/>
      <c r="F230" s="25"/>
      <c r="G230" s="95"/>
      <c r="H230" s="94"/>
      <c r="I230" s="94"/>
      <c r="J230" s="94"/>
      <c r="K230" s="94"/>
      <c r="L230" s="94"/>
      <c r="M230" s="94"/>
      <c r="N230" s="54">
        <v>4</v>
      </c>
      <c r="O230" s="95">
        <f t="shared" si="1"/>
        <v>8.6318515321536469E-4</v>
      </c>
      <c r="P230" s="53">
        <v>208</v>
      </c>
      <c r="Q230" s="135">
        <f t="shared" si="2"/>
        <v>3.9605996500200884E-4</v>
      </c>
      <c r="R230" s="80"/>
      <c r="S230" s="89"/>
      <c r="T230" s="5"/>
    </row>
    <row r="231" spans="1:21" ht="15.6" x14ac:dyDescent="0.3">
      <c r="A231" s="24"/>
      <c r="B231" s="54" t="s">
        <v>214</v>
      </c>
      <c r="C231" s="94"/>
      <c r="D231" s="94"/>
      <c r="E231" s="94"/>
      <c r="F231" s="25"/>
      <c r="G231" s="95"/>
      <c r="H231" s="94"/>
      <c r="I231" s="94"/>
      <c r="J231" s="94"/>
      <c r="K231" s="94"/>
      <c r="L231" s="94"/>
      <c r="M231" s="94"/>
      <c r="N231" s="54">
        <v>0</v>
      </c>
      <c r="O231" s="95">
        <f t="shared" si="1"/>
        <v>0</v>
      </c>
      <c r="P231" s="53">
        <v>0</v>
      </c>
      <c r="Q231" s="135">
        <f t="shared" si="2"/>
        <v>0</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4634</v>
      </c>
      <c r="O233" s="135">
        <f>SUM(O224:O232)</f>
        <v>0.99999999999999989</v>
      </c>
      <c r="P233" s="53">
        <f>SUM(P224:P232)</f>
        <v>525173</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9</v>
      </c>
      <c r="O236" s="95">
        <f t="shared" ref="O236:O243" si="3">N236/$N$245</f>
        <v>0.15</v>
      </c>
      <c r="P236" s="53">
        <v>1186</v>
      </c>
      <c r="Q236" s="135">
        <f t="shared" ref="Q236:Q243" si="4">P236/$P$245</f>
        <v>0.12607632614010844</v>
      </c>
      <c r="R236" s="25"/>
      <c r="S236" s="25"/>
      <c r="T236" s="5"/>
    </row>
    <row r="237" spans="1:21" ht="15.6" x14ac:dyDescent="0.3">
      <c r="A237" s="24"/>
      <c r="B237" s="54" t="s">
        <v>100</v>
      </c>
      <c r="C237" s="94"/>
      <c r="D237" s="94"/>
      <c r="E237" s="94"/>
      <c r="F237" s="25"/>
      <c r="G237" s="95"/>
      <c r="H237" s="94"/>
      <c r="I237" s="94"/>
      <c r="J237" s="94"/>
      <c r="K237" s="94"/>
      <c r="L237" s="94"/>
      <c r="M237" s="94"/>
      <c r="N237" s="54">
        <v>31</v>
      </c>
      <c r="O237" s="95">
        <f t="shared" si="3"/>
        <v>0.51666666666666672</v>
      </c>
      <c r="P237" s="53">
        <v>4308</v>
      </c>
      <c r="Q237" s="135">
        <f t="shared" si="4"/>
        <v>0.45795684065057934</v>
      </c>
      <c r="R237" s="25"/>
      <c r="S237" s="25"/>
      <c r="T237" s="5"/>
    </row>
    <row r="238" spans="1:21" ht="15.6" x14ac:dyDescent="0.3">
      <c r="A238" s="24"/>
      <c r="B238" s="54" t="s">
        <v>101</v>
      </c>
      <c r="C238" s="94"/>
      <c r="D238" s="94"/>
      <c r="E238" s="94"/>
      <c r="F238" s="25"/>
      <c r="G238" s="95"/>
      <c r="H238" s="94"/>
      <c r="I238" s="94"/>
      <c r="J238" s="94"/>
      <c r="K238" s="94"/>
      <c r="L238" s="94"/>
      <c r="M238" s="94"/>
      <c r="N238" s="54">
        <v>3</v>
      </c>
      <c r="O238" s="95">
        <f t="shared" si="3"/>
        <v>0.05</v>
      </c>
      <c r="P238" s="53">
        <v>719</v>
      </c>
      <c r="Q238" s="135">
        <f t="shared" si="4"/>
        <v>7.6432443924736901E-2</v>
      </c>
      <c r="R238" s="25"/>
      <c r="S238" s="25"/>
      <c r="T238" s="5"/>
    </row>
    <row r="239" spans="1:21" ht="15.6" x14ac:dyDescent="0.3">
      <c r="A239" s="24"/>
      <c r="B239" s="54" t="s">
        <v>210</v>
      </c>
      <c r="C239" s="94"/>
      <c r="D239" s="94"/>
      <c r="E239" s="94"/>
      <c r="F239" s="25"/>
      <c r="G239" s="95"/>
      <c r="H239" s="94"/>
      <c r="I239" s="94"/>
      <c r="J239" s="94"/>
      <c r="K239" s="94"/>
      <c r="L239" s="94"/>
      <c r="M239" s="94"/>
      <c r="N239" s="54">
        <v>0</v>
      </c>
      <c r="O239" s="95">
        <f t="shared" si="3"/>
        <v>0</v>
      </c>
      <c r="P239" s="53">
        <v>0</v>
      </c>
      <c r="Q239" s="135">
        <f t="shared" si="4"/>
        <v>0</v>
      </c>
      <c r="R239" s="25"/>
      <c r="S239" s="25"/>
      <c r="T239" s="5"/>
    </row>
    <row r="240" spans="1:21" ht="15.6" x14ac:dyDescent="0.3">
      <c r="A240" s="24"/>
      <c r="B240" s="54" t="s">
        <v>211</v>
      </c>
      <c r="C240" s="94"/>
      <c r="D240" s="94"/>
      <c r="E240" s="94"/>
      <c r="F240" s="25"/>
      <c r="G240" s="95"/>
      <c r="H240" s="94"/>
      <c r="I240" s="94"/>
      <c r="J240" s="94"/>
      <c r="K240" s="94"/>
      <c r="L240" s="94"/>
      <c r="M240" s="94"/>
      <c r="N240" s="54">
        <v>3</v>
      </c>
      <c r="O240" s="95">
        <f t="shared" si="3"/>
        <v>0.05</v>
      </c>
      <c r="P240" s="53">
        <v>725</v>
      </c>
      <c r="Q240" s="135">
        <f t="shared" si="4"/>
        <v>7.7070266822578934E-2</v>
      </c>
      <c r="R240" s="25"/>
      <c r="S240" s="25"/>
      <c r="T240" s="5"/>
    </row>
    <row r="241" spans="1:20" ht="15.6" x14ac:dyDescent="0.3">
      <c r="A241" s="24"/>
      <c r="B241" s="54" t="s">
        <v>212</v>
      </c>
      <c r="C241" s="94"/>
      <c r="D241" s="94"/>
      <c r="E241" s="94"/>
      <c r="F241" s="25"/>
      <c r="G241" s="95"/>
      <c r="H241" s="94"/>
      <c r="I241" s="94"/>
      <c r="J241" s="94"/>
      <c r="K241" s="94"/>
      <c r="L241" s="94"/>
      <c r="M241" s="94"/>
      <c r="N241" s="54">
        <v>2</v>
      </c>
      <c r="O241" s="95">
        <f t="shared" si="3"/>
        <v>3.3333333333333333E-2</v>
      </c>
      <c r="P241" s="53">
        <v>219</v>
      </c>
      <c r="Q241" s="135">
        <f t="shared" si="4"/>
        <v>2.3280535771234186E-2</v>
      </c>
      <c r="R241" s="25"/>
      <c r="S241" s="25"/>
      <c r="T241" s="5"/>
    </row>
    <row r="242" spans="1:20" ht="15.6" x14ac:dyDescent="0.3">
      <c r="A242" s="24"/>
      <c r="B242" s="54" t="s">
        <v>213</v>
      </c>
      <c r="C242" s="94"/>
      <c r="D242" s="94"/>
      <c r="E242" s="94"/>
      <c r="F242" s="25"/>
      <c r="G242" s="95"/>
      <c r="H242" s="94"/>
      <c r="I242" s="94"/>
      <c r="J242" s="94"/>
      <c r="K242" s="94"/>
      <c r="L242" s="94"/>
      <c r="M242" s="94"/>
      <c r="N242" s="54">
        <v>6</v>
      </c>
      <c r="O242" s="95">
        <f t="shared" si="3"/>
        <v>0.1</v>
      </c>
      <c r="P242" s="53">
        <v>878</v>
      </c>
      <c r="Q242" s="135">
        <f t="shared" si="4"/>
        <v>9.3334750717550763E-2</v>
      </c>
      <c r="R242" s="25"/>
      <c r="S242" s="25"/>
      <c r="T242" s="5"/>
    </row>
    <row r="243" spans="1:20" ht="15.6" x14ac:dyDescent="0.3">
      <c r="A243" s="24"/>
      <c r="B243" s="54" t="s">
        <v>214</v>
      </c>
      <c r="C243" s="94"/>
      <c r="D243" s="94"/>
      <c r="E243" s="94"/>
      <c r="F243" s="25"/>
      <c r="G243" s="95"/>
      <c r="H243" s="94"/>
      <c r="I243" s="94"/>
      <c r="J243" s="94"/>
      <c r="K243" s="94"/>
      <c r="L243" s="94"/>
      <c r="M243" s="94"/>
      <c r="N243" s="54">
        <v>6</v>
      </c>
      <c r="O243" s="95">
        <f t="shared" si="3"/>
        <v>0.1</v>
      </c>
      <c r="P243" s="53">
        <v>1372</v>
      </c>
      <c r="Q243" s="135">
        <f t="shared" si="4"/>
        <v>0.14584883597321144</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60</v>
      </c>
      <c r="O245" s="135">
        <f>SUM(O236:O244)</f>
        <v>1.0000000000000002</v>
      </c>
      <c r="P245" s="53">
        <f>SUM(P236:P244)</f>
        <v>9407</v>
      </c>
      <c r="Q245" s="135">
        <f>SUM(Q236:Q244)</f>
        <v>0.99999999999999989</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f t="shared" ref="O248:Q253" si="5">N248/$N$245</f>
        <v>0</v>
      </c>
      <c r="P248" s="53">
        <v>0</v>
      </c>
      <c r="Q248" s="95">
        <f t="shared" si="5"/>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f t="shared" si="5"/>
        <v>0</v>
      </c>
      <c r="P249" s="53">
        <v>0</v>
      </c>
      <c r="Q249" s="95">
        <f t="shared" si="5"/>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f t="shared" si="5"/>
        <v>0</v>
      </c>
      <c r="P250" s="53">
        <v>0</v>
      </c>
      <c r="Q250" s="95">
        <f t="shared" si="5"/>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f t="shared" si="5"/>
        <v>0</v>
      </c>
      <c r="P251" s="53">
        <v>0</v>
      </c>
      <c r="Q251" s="95">
        <f t="shared" si="5"/>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f t="shared" si="5"/>
        <v>0</v>
      </c>
      <c r="P252" s="53">
        <v>0</v>
      </c>
      <c r="Q252" s="95">
        <f t="shared" si="5"/>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f t="shared" si="5"/>
        <v>0</v>
      </c>
      <c r="P253" s="53">
        <v>0</v>
      </c>
      <c r="Q253" s="95">
        <f t="shared" si="5"/>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1</v>
      </c>
      <c r="O254" s="95">
        <f>N254/$N$257</f>
        <v>0.5</v>
      </c>
      <c r="P254" s="53">
        <v>28</v>
      </c>
      <c r="Q254" s="95">
        <f>P254/$P$257</f>
        <v>0.33734939759036142</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1</v>
      </c>
      <c r="O255" s="95">
        <f>N255/$N$257</f>
        <v>0.5</v>
      </c>
      <c r="P255" s="53">
        <v>55</v>
      </c>
      <c r="Q255" s="95">
        <f>P255/$P$257</f>
        <v>0.66265060240963858</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2</v>
      </c>
      <c r="O257" s="95">
        <f>SUM(O248:O255)</f>
        <v>1</v>
      </c>
      <c r="P257" s="53">
        <f>SUM(P248:P255)</f>
        <v>83</v>
      </c>
      <c r="Q257" s="135">
        <f>SUM(Q248:Q255)</f>
        <v>1</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4696</v>
      </c>
      <c r="O259" s="158"/>
      <c r="P259" s="159">
        <f>+P257+P245+P233</f>
        <v>534663</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JUNE 2008</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0.873</v>
      </c>
      <c r="P16" s="17" t="s">
        <v>161</v>
      </c>
      <c r="Q16" s="140">
        <v>0.127</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39743</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213826.34999999998</v>
      </c>
      <c r="I31" s="31"/>
      <c r="J31" s="125">
        <f>J30*J37</f>
        <v>317584.70999999996</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204632.43</v>
      </c>
      <c r="I32" s="36"/>
      <c r="J32" s="126">
        <f>J36*J30</f>
        <v>303929.478</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213826.34999999998</v>
      </c>
      <c r="I34" s="31"/>
      <c r="J34" s="31">
        <f>J33*J37</f>
        <v>220837.05</v>
      </c>
      <c r="K34" s="31"/>
      <c r="L34" s="31">
        <v>65000</v>
      </c>
      <c r="M34" s="31"/>
      <c r="N34" s="31">
        <v>35000</v>
      </c>
      <c r="O34" s="31"/>
      <c r="P34" s="31"/>
      <c r="Q34" s="147"/>
      <c r="R34" s="31">
        <f>SUM(C34:N34)</f>
        <v>534663.39999999991</v>
      </c>
      <c r="S34" s="34"/>
      <c r="T34" s="5"/>
    </row>
    <row r="35" spans="1:20" ht="15.6" x14ac:dyDescent="0.3">
      <c r="A35" s="28"/>
      <c r="B35" s="29" t="s">
        <v>287</v>
      </c>
      <c r="C35" s="36"/>
      <c r="D35" s="35">
        <f>D36*D33</f>
        <v>0</v>
      </c>
      <c r="E35" s="36"/>
      <c r="F35" s="35">
        <f>F36*F33</f>
        <v>0</v>
      </c>
      <c r="G35" s="35"/>
      <c r="H35" s="35">
        <f>H36*H33</f>
        <v>204632.43</v>
      </c>
      <c r="I35" s="36"/>
      <c r="J35" s="35">
        <f>J36*J33</f>
        <v>211341.69</v>
      </c>
      <c r="K35" s="35"/>
      <c r="L35" s="35">
        <v>65000</v>
      </c>
      <c r="M35" s="35"/>
      <c r="N35" s="35">
        <v>35000</v>
      </c>
      <c r="O35" s="35"/>
      <c r="P35" s="35"/>
      <c r="Q35" s="37"/>
      <c r="R35" s="35">
        <f>SUM(C35:N35)</f>
        <v>515974.12</v>
      </c>
      <c r="S35" s="34"/>
      <c r="T35" s="5"/>
    </row>
    <row r="36" spans="1:20" ht="15.6" x14ac:dyDescent="0.3">
      <c r="A36" s="28"/>
      <c r="B36" s="123" t="s">
        <v>149</v>
      </c>
      <c r="C36" s="127"/>
      <c r="D36" s="172">
        <v>0</v>
      </c>
      <c r="E36" s="139"/>
      <c r="F36" s="172">
        <v>0</v>
      </c>
      <c r="G36" s="138"/>
      <c r="H36" s="172">
        <v>0.67092600000000002</v>
      </c>
      <c r="I36" s="138"/>
      <c r="J36" s="172">
        <v>0.67092600000000002</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0.70106999999999997</v>
      </c>
      <c r="I37" s="138"/>
      <c r="J37" s="172">
        <v>0.70106999999999997</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6.0093800000000003E-2</v>
      </c>
      <c r="I39" s="39"/>
      <c r="J39" s="38">
        <v>5.1429999999999997E-2</v>
      </c>
      <c r="K39" s="39"/>
      <c r="L39" s="38">
        <v>6.4693799999999996E-2</v>
      </c>
      <c r="M39" s="39"/>
      <c r="N39" s="38">
        <v>5.5629999999999999E-2</v>
      </c>
      <c r="O39" s="39"/>
      <c r="P39" s="38"/>
      <c r="Q39" s="146"/>
      <c r="R39" s="39"/>
      <c r="S39" s="25"/>
      <c r="T39" s="5"/>
    </row>
    <row r="40" spans="1:20" ht="15.6" x14ac:dyDescent="0.3">
      <c r="A40" s="24"/>
      <c r="B40" s="25" t="s">
        <v>14</v>
      </c>
      <c r="C40" s="25"/>
      <c r="D40" s="38">
        <v>0</v>
      </c>
      <c r="E40" s="25"/>
      <c r="F40" s="38">
        <v>0</v>
      </c>
      <c r="G40" s="39"/>
      <c r="H40" s="38">
        <v>6.11938E-2</v>
      </c>
      <c r="I40" s="39"/>
      <c r="J40" s="38">
        <v>4.9270000000000001E-2</v>
      </c>
      <c r="K40" s="39"/>
      <c r="L40" s="38">
        <v>6.57938E-2</v>
      </c>
      <c r="M40" s="39"/>
      <c r="N40" s="38">
        <v>5.3469999999999997E-2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6.0093800000000003E-2</v>
      </c>
      <c r="I42" s="39"/>
      <c r="J42" s="38">
        <v>6.0491799999999998E-2</v>
      </c>
      <c r="K42" s="39"/>
      <c r="L42" s="38">
        <f>+L39</f>
        <v>6.4693799999999996E-2</v>
      </c>
      <c r="M42" s="39"/>
      <c r="N42" s="38">
        <v>6.5070799999999998E-2</v>
      </c>
      <c r="O42" s="39"/>
      <c r="P42" s="38"/>
      <c r="Q42" s="146"/>
      <c r="R42" s="39">
        <f>SUMPRODUCT(D42:N42,D34:N34)/R34</f>
        <v>6.1143223143420709E-2</v>
      </c>
      <c r="S42" s="25"/>
      <c r="T42" s="5"/>
    </row>
    <row r="43" spans="1:20" ht="15.6" x14ac:dyDescent="0.3">
      <c r="A43" s="24"/>
      <c r="B43" s="25" t="s">
        <v>290</v>
      </c>
      <c r="C43" s="25"/>
      <c r="D43" s="38">
        <f>+D40</f>
        <v>0</v>
      </c>
      <c r="E43" s="25"/>
      <c r="F43" s="38">
        <v>0</v>
      </c>
      <c r="G43" s="39"/>
      <c r="H43" s="38">
        <f>+H40</f>
        <v>6.11938E-2</v>
      </c>
      <c r="I43" s="39"/>
      <c r="J43" s="38">
        <v>6.1591800000000002E-2</v>
      </c>
      <c r="K43" s="39"/>
      <c r="L43" s="38">
        <f>+L40</f>
        <v>6.57938E-2</v>
      </c>
      <c r="M43" s="39"/>
      <c r="N43" s="38">
        <v>6.6170800000000002E-2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0.24039957101177353</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39736</v>
      </c>
      <c r="S54" s="25"/>
      <c r="T54" s="5"/>
    </row>
    <row r="55" spans="1:21" ht="15.6" x14ac:dyDescent="0.3">
      <c r="A55" s="24"/>
      <c r="B55" s="25" t="s">
        <v>140</v>
      </c>
      <c r="C55" s="25"/>
      <c r="D55" s="25"/>
      <c r="E55" s="25"/>
      <c r="F55" s="25"/>
      <c r="G55" s="25"/>
      <c r="H55" s="58"/>
      <c r="I55" s="58"/>
      <c r="J55" s="58"/>
      <c r="K55" s="58"/>
      <c r="L55" s="58"/>
      <c r="M55" s="58"/>
      <c r="N55" s="25">
        <f>+R55-P55+1</f>
        <v>91</v>
      </c>
      <c r="O55" s="58"/>
      <c r="P55" s="45">
        <v>39553</v>
      </c>
      <c r="Q55" s="46"/>
      <c r="R55" s="45">
        <v>39643</v>
      </c>
      <c r="S55" s="25"/>
      <c r="T55" s="5"/>
    </row>
    <row r="56" spans="1:21" ht="15.6" x14ac:dyDescent="0.3">
      <c r="A56" s="24"/>
      <c r="B56" s="25" t="s">
        <v>141</v>
      </c>
      <c r="C56" s="25"/>
      <c r="D56" s="25"/>
      <c r="E56" s="25"/>
      <c r="F56" s="25"/>
      <c r="G56" s="25"/>
      <c r="H56" s="25"/>
      <c r="I56" s="25"/>
      <c r="J56" s="25"/>
      <c r="K56" s="25"/>
      <c r="L56" s="25"/>
      <c r="M56" s="25"/>
      <c r="N56" s="25">
        <f>+R56-P56+1</f>
        <v>92</v>
      </c>
      <c r="O56" s="25"/>
      <c r="P56" s="45">
        <v>39644</v>
      </c>
      <c r="Q56" s="46"/>
      <c r="R56" s="45">
        <v>39735</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39722</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279</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534663</v>
      </c>
      <c r="K67" s="34"/>
      <c r="L67" s="34">
        <f>18689+2449+365</f>
        <v>21503</v>
      </c>
      <c r="M67" s="34"/>
      <c r="N67" s="34">
        <f>2449+365</f>
        <v>2814</v>
      </c>
      <c r="O67" s="34"/>
      <c r="P67" s="34">
        <v>0</v>
      </c>
      <c r="Q67" s="34"/>
      <c r="R67" s="53">
        <f>+J67-L67+N67-P67</f>
        <v>515974</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534663</v>
      </c>
      <c r="K70" s="34"/>
      <c r="L70" s="34">
        <f>SUM(L67:L69)</f>
        <v>21503</v>
      </c>
      <c r="M70" s="34"/>
      <c r="N70" s="34">
        <f>SUM(N67:N69)</f>
        <v>2814</v>
      </c>
      <c r="O70" s="34"/>
      <c r="P70" s="34">
        <f>SUM(P67:P69)</f>
        <v>0</v>
      </c>
      <c r="Q70" s="34"/>
      <c r="R70" s="54">
        <f>SUM(R67:R69)</f>
        <v>515974</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534663</v>
      </c>
      <c r="K83" s="34"/>
      <c r="L83" s="34"/>
      <c r="M83" s="34"/>
      <c r="N83" s="34"/>
      <c r="O83" s="34"/>
      <c r="P83" s="54"/>
      <c r="Q83" s="34"/>
      <c r="R83" s="54">
        <f>SUM(R70:R82)</f>
        <v>515974</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39721</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21503+3</f>
        <v>21506</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9055+1388-1809-343+95+28</f>
        <v>8414</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235+88</f>
        <v>323</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468</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194</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513</v>
      </c>
      <c r="S94" s="25"/>
      <c r="T94" s="5"/>
    </row>
    <row r="95" spans="1:20" ht="15.6" x14ac:dyDescent="0.3">
      <c r="A95" s="24"/>
      <c r="B95" s="25" t="s">
        <v>35</v>
      </c>
      <c r="C95" s="25"/>
      <c r="D95" s="25"/>
      <c r="E95" s="25"/>
      <c r="F95" s="25"/>
      <c r="G95" s="25"/>
      <c r="H95" s="25"/>
      <c r="I95" s="25"/>
      <c r="J95" s="25"/>
      <c r="K95" s="25"/>
      <c r="L95" s="25"/>
      <c r="M95" s="25"/>
      <c r="N95" s="25"/>
      <c r="O95" s="25"/>
      <c r="P95" s="34">
        <f>SUM(P87:P94)</f>
        <v>21506</v>
      </c>
      <c r="Q95" s="25"/>
      <c r="R95" s="54">
        <f>SUM(R87:R94)</f>
        <v>9912</v>
      </c>
      <c r="S95" s="25"/>
      <c r="T95" s="5"/>
    </row>
    <row r="96" spans="1:20" ht="15.6" x14ac:dyDescent="0.3">
      <c r="A96" s="24"/>
      <c r="B96" s="25" t="s">
        <v>235</v>
      </c>
      <c r="C96" s="25"/>
      <c r="D96" s="25"/>
      <c r="E96" s="25"/>
      <c r="F96" s="25"/>
      <c r="G96" s="25"/>
      <c r="H96" s="25"/>
      <c r="I96" s="25"/>
      <c r="J96" s="25"/>
      <c r="K96" s="25"/>
      <c r="L96" s="25"/>
      <c r="M96" s="25"/>
      <c r="N96" s="25"/>
      <c r="O96" s="25"/>
      <c r="P96" s="34">
        <v>-17</v>
      </c>
      <c r="Q96" s="25"/>
      <c r="R96" s="54">
        <f>-P96</f>
        <v>17</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85</v>
      </c>
      <c r="S98" s="25"/>
      <c r="T98" s="5"/>
    </row>
    <row r="99" spans="1:21" ht="15.6" x14ac:dyDescent="0.3">
      <c r="A99" s="24"/>
      <c r="B99" s="25" t="s">
        <v>37</v>
      </c>
      <c r="C99" s="25"/>
      <c r="D99" s="25"/>
      <c r="E99" s="25"/>
      <c r="F99" s="25"/>
      <c r="G99" s="25"/>
      <c r="H99" s="25"/>
      <c r="I99" s="25"/>
      <c r="J99" s="25"/>
      <c r="K99" s="25"/>
      <c r="L99" s="25"/>
      <c r="M99" s="25"/>
      <c r="N99" s="25"/>
      <c r="O99" s="25"/>
      <c r="P99" s="34">
        <f>P95+P97+P96</f>
        <v>21489</v>
      </c>
      <c r="Q99" s="25"/>
      <c r="R99" s="54">
        <f>R95+R97+R96+R98</f>
        <v>10014</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-134-74-7</f>
        <v>-215</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0</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-3239</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f>-6606+3239</f>
        <v>-3367</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-1060</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f>-1634+1060</f>
        <v>-574</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-3</v>
      </c>
      <c r="Q113" s="25"/>
      <c r="R113" s="53">
        <v>3</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-271</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-1279</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-50</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-2747</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-9194</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-9495</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-21486</v>
      </c>
      <c r="Q128" s="34"/>
      <c r="R128" s="34">
        <f>SUM(R100:R127)</f>
        <v>-10014</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SEPTEMBER 2008</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f>SUM(R147:R148)</f>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-3</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-3</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3</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515974</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515974</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+'June 08'!O176</f>
        <v>77193</v>
      </c>
      <c r="P174" s="53">
        <f>+'June 08'!P176</f>
        <v>8159</v>
      </c>
      <c r="Q174" s="25"/>
      <c r="R174" s="53">
        <f>O174+P174</f>
        <v>85352</v>
      </c>
      <c r="S174" s="25"/>
      <c r="T174" s="5"/>
    </row>
    <row r="175" spans="1:20" ht="15.6" x14ac:dyDescent="0.3">
      <c r="A175" s="24"/>
      <c r="B175" s="25" t="s">
        <v>70</v>
      </c>
      <c r="C175" s="25"/>
      <c r="D175" s="25"/>
      <c r="E175" s="25"/>
      <c r="F175" s="25"/>
      <c r="G175" s="25"/>
      <c r="H175" s="25"/>
      <c r="I175" s="25"/>
      <c r="J175" s="25"/>
      <c r="K175" s="25"/>
      <c r="L175" s="25"/>
      <c r="M175" s="25"/>
      <c r="N175" s="25"/>
      <c r="O175" s="34">
        <f>2399+348</f>
        <v>2747</v>
      </c>
      <c r="P175" s="34">
        <f>-P96-P120</f>
        <v>67</v>
      </c>
      <c r="Q175" s="25"/>
      <c r="R175" s="53">
        <f>O175+P175</f>
        <v>2814</v>
      </c>
      <c r="S175" s="25"/>
      <c r="T175" s="5"/>
    </row>
    <row r="176" spans="1:20" ht="15.6" x14ac:dyDescent="0.3">
      <c r="A176" s="24"/>
      <c r="B176" s="25" t="s">
        <v>71</v>
      </c>
      <c r="C176" s="25"/>
      <c r="D176" s="25"/>
      <c r="E176" s="25"/>
      <c r="F176" s="25"/>
      <c r="G176" s="25"/>
      <c r="H176" s="25"/>
      <c r="I176" s="25"/>
      <c r="J176" s="25"/>
      <c r="K176" s="25"/>
      <c r="L176" s="25"/>
      <c r="M176" s="25"/>
      <c r="N176" s="25"/>
      <c r="O176" s="53">
        <f>O174+O175</f>
        <v>79940</v>
      </c>
      <c r="P176" s="53">
        <f>P175+P174</f>
        <v>8226</v>
      </c>
      <c r="Q176" s="25"/>
      <c r="R176" s="53">
        <f>O176+P176</f>
        <v>88166</v>
      </c>
      <c r="S176" s="25"/>
      <c r="T176" s="5"/>
    </row>
    <row r="177" spans="1:20" ht="15.6" x14ac:dyDescent="0.3">
      <c r="A177" s="24"/>
      <c r="B177" s="25" t="s">
        <v>72</v>
      </c>
      <c r="C177" s="25"/>
      <c r="D177" s="25"/>
      <c r="E177" s="25"/>
      <c r="F177" s="25"/>
      <c r="G177" s="25"/>
      <c r="H177" s="25"/>
      <c r="I177" s="25"/>
      <c r="J177" s="25"/>
      <c r="K177" s="25"/>
      <c r="L177" s="25"/>
      <c r="M177" s="25"/>
      <c r="N177" s="25"/>
      <c r="O177" s="53">
        <f>O173-O176-P176</f>
        <v>71834</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1.4827429609445959</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1.4</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1.9516523867809057</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2.52</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SEPTEMBER 2008</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39721</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6.6009999999999999E-2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6.1143223143420709E-2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4.8667768565792899E-3</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1.8729554878493555E-2</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17.09</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4.0217856855626816E-2</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0.1812</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2</v>
      </c>
      <c r="P206" s="86">
        <v>83</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69</v>
      </c>
      <c r="P207" s="86">
        <f>+P245</f>
        <v>11341</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v>3</v>
      </c>
      <c r="P208" s="86">
        <f>+P257</f>
        <v>127</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-3</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'June 08'!P213+P212</f>
        <v>205</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0</v>
      </c>
      <c r="P215" s="86">
        <v>0</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0</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0</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1</v>
      </c>
      <c r="P219" s="86">
        <v>26</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5.3</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4347</v>
      </c>
      <c r="O224" s="95">
        <f t="shared" ref="O224:O231" si="1">N224/$N$233</f>
        <v>0.97971602434077076</v>
      </c>
      <c r="P224" s="53">
        <v>492755</v>
      </c>
      <c r="Q224" s="135">
        <f t="shared" ref="Q224:Q231" si="2">P224/$P$233</f>
        <v>0.97670790833012888</v>
      </c>
      <c r="R224" s="80"/>
      <c r="S224" s="89"/>
      <c r="T224" s="5"/>
    </row>
    <row r="225" spans="1:21" ht="15.6" x14ac:dyDescent="0.3">
      <c r="A225" s="24"/>
      <c r="B225" s="54" t="s">
        <v>100</v>
      </c>
      <c r="C225" s="94"/>
      <c r="D225" s="94"/>
      <c r="E225" s="94"/>
      <c r="F225" s="25"/>
      <c r="G225" s="95"/>
      <c r="H225" s="94"/>
      <c r="I225" s="94"/>
      <c r="J225" s="94"/>
      <c r="K225" s="94"/>
      <c r="L225" s="94"/>
      <c r="M225" s="94"/>
      <c r="N225" s="54">
        <v>59</v>
      </c>
      <c r="O225" s="95">
        <f t="shared" si="1"/>
        <v>1.329727293216137E-2</v>
      </c>
      <c r="P225" s="53">
        <v>8511</v>
      </c>
      <c r="Q225" s="135">
        <f t="shared" si="2"/>
        <v>1.6869967849738161E-2</v>
      </c>
      <c r="R225" s="80"/>
      <c r="S225" s="89"/>
      <c r="T225" s="5"/>
      <c r="U225" s="110"/>
    </row>
    <row r="226" spans="1:21" ht="15.6" x14ac:dyDescent="0.3">
      <c r="A226" s="24"/>
      <c r="B226" s="54" t="s">
        <v>101</v>
      </c>
      <c r="C226" s="94"/>
      <c r="D226" s="94"/>
      <c r="E226" s="94"/>
      <c r="F226" s="25"/>
      <c r="G226" s="95"/>
      <c r="H226" s="94"/>
      <c r="I226" s="94"/>
      <c r="J226" s="94"/>
      <c r="K226" s="94"/>
      <c r="L226" s="94"/>
      <c r="M226" s="94"/>
      <c r="N226" s="54">
        <v>24</v>
      </c>
      <c r="O226" s="95">
        <f t="shared" si="1"/>
        <v>5.4090601757944556E-3</v>
      </c>
      <c r="P226" s="53">
        <v>2894</v>
      </c>
      <c r="Q226" s="135">
        <f t="shared" si="2"/>
        <v>5.7363044245261705E-3</v>
      </c>
      <c r="R226" s="80"/>
      <c r="S226" s="89"/>
      <c r="T226" s="5"/>
    </row>
    <row r="227" spans="1:21" ht="15.6" x14ac:dyDescent="0.3">
      <c r="A227" s="24"/>
      <c r="B227" s="54" t="s">
        <v>210</v>
      </c>
      <c r="C227" s="94"/>
      <c r="D227" s="94"/>
      <c r="E227" s="94"/>
      <c r="F227" s="25"/>
      <c r="G227" s="95"/>
      <c r="H227" s="94"/>
      <c r="I227" s="94"/>
      <c r="J227" s="94"/>
      <c r="K227" s="94"/>
      <c r="L227" s="94"/>
      <c r="M227" s="94"/>
      <c r="N227" s="54">
        <v>2</v>
      </c>
      <c r="O227" s="95">
        <f t="shared" si="1"/>
        <v>4.5075501464953799E-4</v>
      </c>
      <c r="P227" s="53">
        <v>114</v>
      </c>
      <c r="Q227" s="135">
        <f t="shared" si="2"/>
        <v>2.2596361589356716E-4</v>
      </c>
      <c r="R227" s="80"/>
      <c r="S227" s="89"/>
      <c r="T227" s="5"/>
      <c r="U227" s="110"/>
    </row>
    <row r="228" spans="1:21" ht="15.6" x14ac:dyDescent="0.3">
      <c r="A228" s="24"/>
      <c r="B228" s="54" t="s">
        <v>211</v>
      </c>
      <c r="C228" s="94"/>
      <c r="D228" s="94"/>
      <c r="E228" s="94"/>
      <c r="F228" s="25"/>
      <c r="G228" s="95"/>
      <c r="H228" s="94"/>
      <c r="I228" s="94"/>
      <c r="J228" s="94"/>
      <c r="K228" s="94"/>
      <c r="L228" s="94"/>
      <c r="M228" s="94"/>
      <c r="N228" s="54">
        <v>1</v>
      </c>
      <c r="O228" s="95">
        <f t="shared" si="1"/>
        <v>2.2537750732476899E-4</v>
      </c>
      <c r="P228" s="53">
        <v>24</v>
      </c>
      <c r="Q228" s="135">
        <f t="shared" si="2"/>
        <v>4.7571287556540458E-5</v>
      </c>
      <c r="R228" s="80"/>
      <c r="S228" s="89"/>
      <c r="T228" s="5"/>
    </row>
    <row r="229" spans="1:21" ht="15.6" x14ac:dyDescent="0.3">
      <c r="A229" s="24"/>
      <c r="B229" s="54" t="s">
        <v>212</v>
      </c>
      <c r="C229" s="94"/>
      <c r="D229" s="94"/>
      <c r="E229" s="94"/>
      <c r="F229" s="25"/>
      <c r="G229" s="95"/>
      <c r="H229" s="94"/>
      <c r="I229" s="94"/>
      <c r="J229" s="94"/>
      <c r="K229" s="94"/>
      <c r="L229" s="94"/>
      <c r="M229" s="94"/>
      <c r="N229" s="54">
        <v>0</v>
      </c>
      <c r="O229" s="95">
        <f t="shared" si="1"/>
        <v>0</v>
      </c>
      <c r="P229" s="53">
        <v>0</v>
      </c>
      <c r="Q229" s="135">
        <f t="shared" si="2"/>
        <v>0</v>
      </c>
      <c r="R229" s="80"/>
      <c r="S229" s="89"/>
      <c r="T229" s="5"/>
      <c r="U229" s="110"/>
    </row>
    <row r="230" spans="1:21" ht="15.6" x14ac:dyDescent="0.3">
      <c r="A230" s="24"/>
      <c r="B230" s="54" t="s">
        <v>213</v>
      </c>
      <c r="C230" s="94"/>
      <c r="D230" s="94"/>
      <c r="E230" s="94"/>
      <c r="F230" s="25"/>
      <c r="G230" s="95"/>
      <c r="H230" s="94"/>
      <c r="I230" s="94"/>
      <c r="J230" s="94"/>
      <c r="K230" s="94"/>
      <c r="L230" s="94"/>
      <c r="M230" s="94"/>
      <c r="N230" s="54">
        <v>3</v>
      </c>
      <c r="O230" s="95">
        <f t="shared" si="1"/>
        <v>6.7613252197430695E-4</v>
      </c>
      <c r="P230" s="53">
        <v>163</v>
      </c>
      <c r="Q230" s="135">
        <f t="shared" si="2"/>
        <v>3.2308832798817061E-4</v>
      </c>
      <c r="R230" s="80"/>
      <c r="S230" s="89"/>
      <c r="T230" s="5"/>
    </row>
    <row r="231" spans="1:21" ht="15.6" x14ac:dyDescent="0.3">
      <c r="A231" s="24"/>
      <c r="B231" s="54" t="s">
        <v>214</v>
      </c>
      <c r="C231" s="94"/>
      <c r="D231" s="94"/>
      <c r="E231" s="94"/>
      <c r="F231" s="25"/>
      <c r="G231" s="95"/>
      <c r="H231" s="94"/>
      <c r="I231" s="94"/>
      <c r="J231" s="94"/>
      <c r="K231" s="94"/>
      <c r="L231" s="94"/>
      <c r="M231" s="94"/>
      <c r="N231" s="54">
        <v>1</v>
      </c>
      <c r="O231" s="95">
        <f t="shared" si="1"/>
        <v>2.2537750732476899E-4</v>
      </c>
      <c r="P231" s="53">
        <v>45</v>
      </c>
      <c r="Q231" s="135">
        <f t="shared" si="2"/>
        <v>8.9196164168513356E-5</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4437</v>
      </c>
      <c r="O233" s="135">
        <f>SUM(O224:O232)</f>
        <v>0.99999999999999989</v>
      </c>
      <c r="P233" s="53">
        <f>SUM(P224:P232)</f>
        <v>504506</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24</v>
      </c>
      <c r="O236" s="95">
        <f t="shared" ref="O236:O243" si="3">N236/$N$245</f>
        <v>0.34782608695652173</v>
      </c>
      <c r="P236" s="53">
        <v>3662</v>
      </c>
      <c r="Q236" s="135">
        <f t="shared" ref="Q236:Q243" si="4">P236/$P$245</f>
        <v>0.32289921523675164</v>
      </c>
      <c r="R236" s="25"/>
      <c r="S236" s="25"/>
      <c r="T236" s="5"/>
    </row>
    <row r="237" spans="1:21" ht="15.6" x14ac:dyDescent="0.3">
      <c r="A237" s="24"/>
      <c r="B237" s="54" t="s">
        <v>100</v>
      </c>
      <c r="C237" s="94"/>
      <c r="D237" s="94"/>
      <c r="E237" s="94"/>
      <c r="F237" s="25"/>
      <c r="G237" s="95"/>
      <c r="H237" s="94"/>
      <c r="I237" s="94"/>
      <c r="J237" s="94"/>
      <c r="K237" s="94"/>
      <c r="L237" s="94"/>
      <c r="M237" s="94"/>
      <c r="N237" s="54">
        <v>19</v>
      </c>
      <c r="O237" s="95">
        <f t="shared" si="3"/>
        <v>0.27536231884057971</v>
      </c>
      <c r="P237" s="53">
        <v>3311</v>
      </c>
      <c r="Q237" s="135">
        <f t="shared" si="4"/>
        <v>0.29194956353055285</v>
      </c>
      <c r="R237" s="25"/>
      <c r="S237" s="25"/>
      <c r="T237" s="5"/>
    </row>
    <row r="238" spans="1:21" ht="15.6" x14ac:dyDescent="0.3">
      <c r="A238" s="24"/>
      <c r="B238" s="54" t="s">
        <v>101</v>
      </c>
      <c r="C238" s="94"/>
      <c r="D238" s="94"/>
      <c r="E238" s="94"/>
      <c r="F238" s="25"/>
      <c r="G238" s="95"/>
      <c r="H238" s="94"/>
      <c r="I238" s="94"/>
      <c r="J238" s="94"/>
      <c r="K238" s="94"/>
      <c r="L238" s="94"/>
      <c r="M238" s="94"/>
      <c r="N238" s="54">
        <v>1</v>
      </c>
      <c r="O238" s="95">
        <f t="shared" si="3"/>
        <v>1.4492753623188406E-2</v>
      </c>
      <c r="P238" s="53">
        <v>81</v>
      </c>
      <c r="Q238" s="135">
        <f t="shared" si="4"/>
        <v>7.142227316815096E-3</v>
      </c>
      <c r="R238" s="25"/>
      <c r="S238" s="25"/>
      <c r="T238" s="5"/>
    </row>
    <row r="239" spans="1:21" ht="15.6" x14ac:dyDescent="0.3">
      <c r="A239" s="24"/>
      <c r="B239" s="54" t="s">
        <v>210</v>
      </c>
      <c r="C239" s="94"/>
      <c r="D239" s="94"/>
      <c r="E239" s="94"/>
      <c r="F239" s="25"/>
      <c r="G239" s="95"/>
      <c r="H239" s="94"/>
      <c r="I239" s="94"/>
      <c r="J239" s="94"/>
      <c r="K239" s="94"/>
      <c r="L239" s="94"/>
      <c r="M239" s="94"/>
      <c r="N239" s="54">
        <v>2</v>
      </c>
      <c r="O239" s="95">
        <f t="shared" si="3"/>
        <v>2.8985507246376812E-2</v>
      </c>
      <c r="P239" s="53">
        <v>246</v>
      </c>
      <c r="Q239" s="135">
        <f t="shared" si="4"/>
        <v>2.1691208888105107E-2</v>
      </c>
      <c r="R239" s="25"/>
      <c r="S239" s="25"/>
      <c r="T239" s="5"/>
    </row>
    <row r="240" spans="1:21" ht="15.6" x14ac:dyDescent="0.3">
      <c r="A240" s="24"/>
      <c r="B240" s="54" t="s">
        <v>211</v>
      </c>
      <c r="C240" s="94"/>
      <c r="D240" s="94"/>
      <c r="E240" s="94"/>
      <c r="F240" s="25"/>
      <c r="G240" s="95"/>
      <c r="H240" s="94"/>
      <c r="I240" s="94"/>
      <c r="J240" s="94"/>
      <c r="K240" s="94"/>
      <c r="L240" s="94"/>
      <c r="M240" s="94"/>
      <c r="N240" s="54">
        <v>5</v>
      </c>
      <c r="O240" s="95">
        <f t="shared" si="3"/>
        <v>7.2463768115942032E-2</v>
      </c>
      <c r="P240" s="53">
        <v>623</v>
      </c>
      <c r="Q240" s="135">
        <f t="shared" si="4"/>
        <v>5.4933427387355613E-2</v>
      </c>
      <c r="R240" s="25"/>
      <c r="S240" s="25"/>
      <c r="T240" s="5"/>
    </row>
    <row r="241" spans="1:20" ht="15.6" x14ac:dyDescent="0.3">
      <c r="A241" s="24"/>
      <c r="B241" s="54" t="s">
        <v>212</v>
      </c>
      <c r="C241" s="94"/>
      <c r="D241" s="94"/>
      <c r="E241" s="94"/>
      <c r="F241" s="25"/>
      <c r="G241" s="95"/>
      <c r="H241" s="94"/>
      <c r="I241" s="94"/>
      <c r="J241" s="94"/>
      <c r="K241" s="94"/>
      <c r="L241" s="94"/>
      <c r="M241" s="94"/>
      <c r="N241" s="54">
        <v>5</v>
      </c>
      <c r="O241" s="95">
        <f t="shared" si="3"/>
        <v>7.2463768115942032E-2</v>
      </c>
      <c r="P241" s="53">
        <v>1025</v>
      </c>
      <c r="Q241" s="135">
        <f t="shared" si="4"/>
        <v>9.0380037033771274E-2</v>
      </c>
      <c r="R241" s="25"/>
      <c r="S241" s="25"/>
      <c r="T241" s="5"/>
    </row>
    <row r="242" spans="1:20" ht="15.6" x14ac:dyDescent="0.3">
      <c r="A242" s="24"/>
      <c r="B242" s="54" t="s">
        <v>213</v>
      </c>
      <c r="C242" s="94"/>
      <c r="D242" s="94"/>
      <c r="E242" s="94"/>
      <c r="F242" s="25"/>
      <c r="G242" s="95"/>
      <c r="H242" s="94"/>
      <c r="I242" s="94"/>
      <c r="J242" s="94"/>
      <c r="K242" s="94"/>
      <c r="L242" s="94"/>
      <c r="M242" s="94"/>
      <c r="N242" s="54">
        <v>6</v>
      </c>
      <c r="O242" s="95">
        <f t="shared" si="3"/>
        <v>8.6956521739130432E-2</v>
      </c>
      <c r="P242" s="53">
        <v>944</v>
      </c>
      <c r="Q242" s="135">
        <f t="shared" si="4"/>
        <v>8.3237809716956171E-2</v>
      </c>
      <c r="R242" s="25"/>
      <c r="S242" s="25"/>
      <c r="T242" s="5"/>
    </row>
    <row r="243" spans="1:20" ht="15.6" x14ac:dyDescent="0.3">
      <c r="A243" s="24"/>
      <c r="B243" s="54" t="s">
        <v>214</v>
      </c>
      <c r="C243" s="94"/>
      <c r="D243" s="94"/>
      <c r="E243" s="94"/>
      <c r="F243" s="25"/>
      <c r="G243" s="95"/>
      <c r="H243" s="94"/>
      <c r="I243" s="94"/>
      <c r="J243" s="94"/>
      <c r="K243" s="94"/>
      <c r="L243" s="94"/>
      <c r="M243" s="94"/>
      <c r="N243" s="54">
        <v>7</v>
      </c>
      <c r="O243" s="95">
        <f t="shared" si="3"/>
        <v>0.10144927536231885</v>
      </c>
      <c r="P243" s="53">
        <v>1449</v>
      </c>
      <c r="Q243" s="135">
        <f t="shared" si="4"/>
        <v>0.12776651088969226</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69</v>
      </c>
      <c r="O245" s="135">
        <f>SUM(O236:O244)</f>
        <v>1</v>
      </c>
      <c r="P245" s="53">
        <f>SUM(P236:P244)</f>
        <v>11341</v>
      </c>
      <c r="Q245" s="135">
        <f>SUM(Q236:Q244)</f>
        <v>1</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f t="shared" ref="O248:O253" si="5">N248/$N$245</f>
        <v>0</v>
      </c>
      <c r="P248" s="53">
        <v>0</v>
      </c>
      <c r="Q248" s="95">
        <f t="shared" ref="Q248:Q253" si="6">P248/$N$245</f>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f t="shared" si="5"/>
        <v>0</v>
      </c>
      <c r="P249" s="53">
        <v>0</v>
      </c>
      <c r="Q249" s="95">
        <f t="shared" si="6"/>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f t="shared" si="5"/>
        <v>0</v>
      </c>
      <c r="P250" s="53">
        <v>0</v>
      </c>
      <c r="Q250" s="95">
        <f t="shared" si="6"/>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f t="shared" si="5"/>
        <v>0</v>
      </c>
      <c r="P251" s="53">
        <v>0</v>
      </c>
      <c r="Q251" s="95">
        <f t="shared" si="6"/>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f t="shared" si="5"/>
        <v>0</v>
      </c>
      <c r="P252" s="53">
        <v>0</v>
      </c>
      <c r="Q252" s="95">
        <f t="shared" si="6"/>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f t="shared" si="5"/>
        <v>0</v>
      </c>
      <c r="P253" s="53">
        <v>0</v>
      </c>
      <c r="Q253" s="95">
        <f t="shared" si="6"/>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2</v>
      </c>
      <c r="O254" s="95">
        <f>N254/$N$257</f>
        <v>0.66666666666666663</v>
      </c>
      <c r="P254" s="53">
        <v>72</v>
      </c>
      <c r="Q254" s="95">
        <f>P254/$P$257</f>
        <v>0.56692913385826771</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1</v>
      </c>
      <c r="O255" s="95">
        <f>N255/$N$257</f>
        <v>0.33333333333333331</v>
      </c>
      <c r="P255" s="53">
        <v>55</v>
      </c>
      <c r="Q255" s="95">
        <f>P255/$P$257</f>
        <v>0.43307086614173229</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3</v>
      </c>
      <c r="O257" s="95">
        <f>SUM(O248:O255)</f>
        <v>1</v>
      </c>
      <c r="P257" s="53">
        <f>SUM(P248:P255)</f>
        <v>127</v>
      </c>
      <c r="Q257" s="135">
        <f>SUM(Q248:Q255)</f>
        <v>1</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4509</v>
      </c>
      <c r="O259" s="158"/>
      <c r="P259" s="159">
        <f>+P257+P245+P233</f>
        <v>515974</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SEPTEMBER 2008</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0.87760000000000005</v>
      </c>
      <c r="P16" s="17" t="s">
        <v>161</v>
      </c>
      <c r="Q16" s="140">
        <v>0.12239999999999999</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39834</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204632.43</v>
      </c>
      <c r="I31" s="31"/>
      <c r="J31" s="125">
        <f>J30*J37</f>
        <v>303929.478</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199156.58199999999</v>
      </c>
      <c r="I32" s="36"/>
      <c r="J32" s="126">
        <f>J36*J30</f>
        <v>295796.49719999998</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204632.43</v>
      </c>
      <c r="I34" s="31"/>
      <c r="J34" s="31">
        <f>J33*J37</f>
        <v>211341.69</v>
      </c>
      <c r="K34" s="31"/>
      <c r="L34" s="31">
        <v>65000</v>
      </c>
      <c r="M34" s="31"/>
      <c r="N34" s="31">
        <v>35000</v>
      </c>
      <c r="O34" s="31"/>
      <c r="P34" s="31"/>
      <c r="Q34" s="147"/>
      <c r="R34" s="31">
        <f>SUM(C34:N34)</f>
        <v>515974.12</v>
      </c>
      <c r="S34" s="34"/>
      <c r="T34" s="5"/>
    </row>
    <row r="35" spans="1:20" ht="15.6" x14ac:dyDescent="0.3">
      <c r="A35" s="28"/>
      <c r="B35" s="29" t="s">
        <v>287</v>
      </c>
      <c r="C35" s="36"/>
      <c r="D35" s="35">
        <f>D36*D33</f>
        <v>0</v>
      </c>
      <c r="E35" s="36"/>
      <c r="F35" s="35">
        <f>F36*F33</f>
        <v>0</v>
      </c>
      <c r="G35" s="35"/>
      <c r="H35" s="35">
        <f>H36*H33</f>
        <v>199156.58199999999</v>
      </c>
      <c r="I35" s="36"/>
      <c r="J35" s="35">
        <f>J36*J33</f>
        <v>205686.30600000001</v>
      </c>
      <c r="K35" s="35"/>
      <c r="L35" s="35">
        <v>65000</v>
      </c>
      <c r="M35" s="35"/>
      <c r="N35" s="35">
        <v>35000</v>
      </c>
      <c r="O35" s="35"/>
      <c r="P35" s="35"/>
      <c r="Q35" s="37"/>
      <c r="R35" s="35">
        <f>SUM(C35:N35)</f>
        <v>504842.88800000004</v>
      </c>
      <c r="S35" s="34"/>
      <c r="T35" s="5"/>
    </row>
    <row r="36" spans="1:20" ht="15.6" x14ac:dyDescent="0.3">
      <c r="A36" s="28"/>
      <c r="B36" s="123" t="s">
        <v>149</v>
      </c>
      <c r="C36" s="127"/>
      <c r="D36" s="172">
        <v>0</v>
      </c>
      <c r="E36" s="139"/>
      <c r="F36" s="172">
        <v>0</v>
      </c>
      <c r="G36" s="138"/>
      <c r="H36" s="172">
        <v>0.65297240000000001</v>
      </c>
      <c r="I36" s="138"/>
      <c r="J36" s="172">
        <v>0.65297240000000001</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0.67092600000000002</v>
      </c>
      <c r="I37" s="138"/>
      <c r="J37" s="172">
        <v>0.67092600000000002</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6.4000000000000001E-2</v>
      </c>
      <c r="I39" s="39"/>
      <c r="J39" s="38">
        <v>5.4980000000000001E-2</v>
      </c>
      <c r="K39" s="39"/>
      <c r="L39" s="38">
        <v>6.8599999999999994E-2</v>
      </c>
      <c r="M39" s="39"/>
      <c r="N39" s="38">
        <v>5.9180000000000003E-2</v>
      </c>
      <c r="O39" s="39"/>
      <c r="P39" s="38"/>
      <c r="Q39" s="146"/>
      <c r="R39" s="39"/>
      <c r="S39" s="25"/>
      <c r="T39" s="5"/>
    </row>
    <row r="40" spans="1:20" ht="15.6" x14ac:dyDescent="0.3">
      <c r="A40" s="24"/>
      <c r="B40" s="25" t="s">
        <v>14</v>
      </c>
      <c r="C40" s="25"/>
      <c r="D40" s="38">
        <v>0</v>
      </c>
      <c r="E40" s="25"/>
      <c r="F40" s="38">
        <v>0</v>
      </c>
      <c r="G40" s="39"/>
      <c r="H40" s="38">
        <v>6.0093800000000003E-2</v>
      </c>
      <c r="I40" s="39"/>
      <c r="J40" s="38">
        <v>5.1429999999999997E-2</v>
      </c>
      <c r="K40" s="39"/>
      <c r="L40" s="38">
        <v>6.4693799999999996E-2</v>
      </c>
      <c r="M40" s="39"/>
      <c r="N40" s="38">
        <v>5.5629999999999999E-2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6.4000000000000001E-2</v>
      </c>
      <c r="I42" s="39"/>
      <c r="J42" s="38">
        <v>6.4397999999999997E-2</v>
      </c>
      <c r="K42" s="39"/>
      <c r="L42" s="38">
        <f>+L39</f>
        <v>6.8599999999999994E-2</v>
      </c>
      <c r="M42" s="39"/>
      <c r="N42" s="38">
        <v>6.8976999999999997E-2</v>
      </c>
      <c r="O42" s="39"/>
      <c r="P42" s="38"/>
      <c r="Q42" s="146"/>
      <c r="R42" s="39">
        <f>SUMPRODUCT(D42:N42,D34:N34)/R34</f>
        <v>6.5080110360225041E-2</v>
      </c>
      <c r="S42" s="25"/>
      <c r="T42" s="5"/>
    </row>
    <row r="43" spans="1:20" ht="15.6" x14ac:dyDescent="0.3">
      <c r="A43" s="24"/>
      <c r="B43" s="25" t="s">
        <v>290</v>
      </c>
      <c r="C43" s="25"/>
      <c r="D43" s="38">
        <f>+D40</f>
        <v>0</v>
      </c>
      <c r="E43" s="25"/>
      <c r="F43" s="38">
        <v>0</v>
      </c>
      <c r="G43" s="39"/>
      <c r="H43" s="38">
        <f>+H40</f>
        <v>6.0093800000000003E-2</v>
      </c>
      <c r="I43" s="39"/>
      <c r="J43" s="38">
        <v>6.0491799999999998E-2</v>
      </c>
      <c r="K43" s="39"/>
      <c r="L43" s="38">
        <f>+L40</f>
        <v>6.4693799999999996E-2</v>
      </c>
      <c r="M43" s="39"/>
      <c r="N43" s="38">
        <v>6.5070799999999998E-2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0.24700940281801367</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39828</v>
      </c>
      <c r="S54" s="25"/>
      <c r="T54" s="5"/>
    </row>
    <row r="55" spans="1:21" ht="15.6" x14ac:dyDescent="0.3">
      <c r="A55" s="24"/>
      <c r="B55" s="25" t="s">
        <v>140</v>
      </c>
      <c r="C55" s="25"/>
      <c r="D55" s="25"/>
      <c r="E55" s="25"/>
      <c r="F55" s="25"/>
      <c r="G55" s="25"/>
      <c r="H55" s="58"/>
      <c r="I55" s="58"/>
      <c r="J55" s="58"/>
      <c r="K55" s="58"/>
      <c r="L55" s="58"/>
      <c r="M55" s="58"/>
      <c r="N55" s="25">
        <f>+R55-P55+1</f>
        <v>92</v>
      </c>
      <c r="O55" s="58"/>
      <c r="P55" s="45">
        <v>39644</v>
      </c>
      <c r="Q55" s="46"/>
      <c r="R55" s="45">
        <v>39735</v>
      </c>
      <c r="S55" s="25"/>
      <c r="T55" s="5"/>
    </row>
    <row r="56" spans="1:21" ht="15.6" x14ac:dyDescent="0.3">
      <c r="A56" s="24"/>
      <c r="B56" s="25" t="s">
        <v>141</v>
      </c>
      <c r="C56" s="25"/>
      <c r="D56" s="25"/>
      <c r="E56" s="25"/>
      <c r="F56" s="25"/>
      <c r="G56" s="25"/>
      <c r="H56" s="25"/>
      <c r="I56" s="25"/>
      <c r="J56" s="25"/>
      <c r="K56" s="25"/>
      <c r="L56" s="25"/>
      <c r="M56" s="25"/>
      <c r="N56" s="25">
        <f>+R56-P56+1</f>
        <v>92</v>
      </c>
      <c r="O56" s="25"/>
      <c r="P56" s="45">
        <v>39736</v>
      </c>
      <c r="Q56" s="46"/>
      <c r="R56" s="45">
        <v>39827</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39815</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280</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515974</v>
      </c>
      <c r="K67" s="34"/>
      <c r="L67" s="34">
        <f>11131+900+28</f>
        <v>12059</v>
      </c>
      <c r="M67" s="34"/>
      <c r="N67" s="34">
        <f>900+28</f>
        <v>928</v>
      </c>
      <c r="O67" s="34"/>
      <c r="P67" s="34">
        <v>0</v>
      </c>
      <c r="Q67" s="34"/>
      <c r="R67" s="53">
        <f>+J67-L67+N67-P67</f>
        <v>504843</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515974</v>
      </c>
      <c r="K70" s="34"/>
      <c r="L70" s="34">
        <f>SUM(L67:L69)</f>
        <v>12059</v>
      </c>
      <c r="M70" s="34"/>
      <c r="N70" s="34">
        <f>SUM(N67:N69)</f>
        <v>928</v>
      </c>
      <c r="O70" s="34"/>
      <c r="P70" s="34">
        <f>SUM(P67:P69)</f>
        <v>0</v>
      </c>
      <c r="Q70" s="34"/>
      <c r="R70" s="54">
        <f>SUM(R67:R69)</f>
        <v>504843</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515974</v>
      </c>
      <c r="K83" s="34"/>
      <c r="L83" s="34"/>
      <c r="M83" s="34"/>
      <c r="N83" s="34"/>
      <c r="O83" s="34"/>
      <c r="P83" s="54"/>
      <c r="Q83" s="34"/>
      <c r="R83" s="54">
        <f>SUM(R70:R82)</f>
        <v>504843</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39813</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12059-61</f>
        <v>11998</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8627+1034-1244-96+83+8</f>
        <v>8412</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86+46</f>
        <v>132</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368</v>
      </c>
      <c r="S91" s="25"/>
      <c r="T91" s="5"/>
    </row>
    <row r="92" spans="1:20" ht="15.6" x14ac:dyDescent="0.3">
      <c r="A92" s="24"/>
      <c r="B92" s="25" t="s">
        <v>269</v>
      </c>
      <c r="C92" s="25"/>
      <c r="D92" s="25"/>
      <c r="E92" s="25"/>
      <c r="F92" s="25"/>
      <c r="G92" s="25"/>
      <c r="H92" s="40"/>
      <c r="I92" s="57"/>
      <c r="J92" s="128"/>
      <c r="K92" s="25"/>
      <c r="L92" s="25"/>
      <c r="M92" s="25"/>
      <c r="N92" s="25"/>
      <c r="O92" s="25"/>
      <c r="P92" s="34"/>
      <c r="Q92" s="25"/>
      <c r="R92" s="53">
        <f>354+4</f>
        <v>358</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850</v>
      </c>
      <c r="S94" s="25"/>
      <c r="T94" s="5"/>
    </row>
    <row r="95" spans="1:20" ht="15.6" x14ac:dyDescent="0.3">
      <c r="A95" s="24"/>
      <c r="B95" s="25" t="s">
        <v>35</v>
      </c>
      <c r="C95" s="25"/>
      <c r="D95" s="25"/>
      <c r="E95" s="25"/>
      <c r="F95" s="25"/>
      <c r="G95" s="25"/>
      <c r="H95" s="25"/>
      <c r="I95" s="25"/>
      <c r="J95" s="25"/>
      <c r="K95" s="25"/>
      <c r="L95" s="25"/>
      <c r="M95" s="25"/>
      <c r="N95" s="25"/>
      <c r="O95" s="25"/>
      <c r="P95" s="34">
        <f>SUM(P87:P94)</f>
        <v>11998</v>
      </c>
      <c r="Q95" s="25"/>
      <c r="R95" s="54">
        <f>SUM(R87:R94)</f>
        <v>10120</v>
      </c>
      <c r="S95" s="25"/>
      <c r="T95" s="5"/>
    </row>
    <row r="96" spans="1:20" ht="15.6" x14ac:dyDescent="0.3">
      <c r="A96" s="24"/>
      <c r="B96" s="25" t="s">
        <v>235</v>
      </c>
      <c r="C96" s="25"/>
      <c r="D96" s="25"/>
      <c r="E96" s="25"/>
      <c r="F96" s="25"/>
      <c r="G96" s="25"/>
      <c r="H96" s="25"/>
      <c r="I96" s="25"/>
      <c r="J96" s="25"/>
      <c r="K96" s="25"/>
      <c r="L96" s="25"/>
      <c r="M96" s="25"/>
      <c r="N96" s="25"/>
      <c r="O96" s="25"/>
      <c r="P96" s="34">
        <v>-11</v>
      </c>
      <c r="Q96" s="25"/>
      <c r="R96" s="54">
        <f>-P96</f>
        <v>11</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-162</v>
      </c>
      <c r="S98" s="25"/>
      <c r="T98" s="5"/>
    </row>
    <row r="99" spans="1:21" ht="15.6" x14ac:dyDescent="0.3">
      <c r="A99" s="24"/>
      <c r="B99" s="25" t="s">
        <v>37</v>
      </c>
      <c r="C99" s="25"/>
      <c r="D99" s="25"/>
      <c r="E99" s="25"/>
      <c r="F99" s="25"/>
      <c r="G99" s="25"/>
      <c r="H99" s="25"/>
      <c r="I99" s="25"/>
      <c r="J99" s="25"/>
      <c r="K99" s="25"/>
      <c r="L99" s="25"/>
      <c r="M99" s="25"/>
      <c r="N99" s="25"/>
      <c r="O99" s="25"/>
      <c r="P99" s="34">
        <f>P95+P97+P96</f>
        <v>11987</v>
      </c>
      <c r="Q99" s="25"/>
      <c r="R99" s="54">
        <f>R95+R97+R96+R98</f>
        <v>9969</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-129-81-7</f>
        <v>-217</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0</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-3301</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f>-6731+3301</f>
        <v>-3430</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-1124</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f>-1732+1124</f>
        <v>-608</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61</v>
      </c>
      <c r="Q113" s="25"/>
      <c r="R113" s="53">
        <v>-61</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-262</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-954</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-25</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-892</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-5476</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-5655</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-12048</v>
      </c>
      <c r="Q128" s="34"/>
      <c r="R128" s="34">
        <f>SUM(R100:R127)</f>
        <v>-9969</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DECEMBER 2008</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f>SUM(R147:R148)</f>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61</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61</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-61</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504843</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504843</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+'Sept 08'!O176</f>
        <v>79940</v>
      </c>
      <c r="P174" s="53">
        <f>+'Sept 08'!P176</f>
        <v>8226</v>
      </c>
      <c r="Q174" s="25"/>
      <c r="R174" s="53">
        <f>O174+P174</f>
        <v>88166</v>
      </c>
      <c r="S174" s="25"/>
      <c r="T174" s="5"/>
    </row>
    <row r="175" spans="1:20" ht="15.6" x14ac:dyDescent="0.3">
      <c r="A175" s="24"/>
      <c r="B175" s="25" t="s">
        <v>70</v>
      </c>
      <c r="C175" s="25"/>
      <c r="D175" s="25"/>
      <c r="E175" s="25"/>
      <c r="F175" s="25"/>
      <c r="G175" s="25"/>
      <c r="H175" s="25"/>
      <c r="I175" s="25"/>
      <c r="J175" s="25"/>
      <c r="K175" s="25"/>
      <c r="L175" s="25"/>
      <c r="M175" s="25"/>
      <c r="N175" s="25"/>
      <c r="O175" s="34">
        <f>875+17</f>
        <v>892</v>
      </c>
      <c r="P175" s="34">
        <f>-P96-P120</f>
        <v>36</v>
      </c>
      <c r="Q175" s="25"/>
      <c r="R175" s="53">
        <f>O175+P175</f>
        <v>928</v>
      </c>
      <c r="S175" s="25"/>
      <c r="T175" s="5"/>
    </row>
    <row r="176" spans="1:20" ht="15.6" x14ac:dyDescent="0.3">
      <c r="A176" s="24"/>
      <c r="B176" s="25" t="s">
        <v>71</v>
      </c>
      <c r="C176" s="25"/>
      <c r="D176" s="25"/>
      <c r="E176" s="25"/>
      <c r="F176" s="25"/>
      <c r="G176" s="25"/>
      <c r="H176" s="25"/>
      <c r="I176" s="25"/>
      <c r="J176" s="25"/>
      <c r="K176" s="25"/>
      <c r="L176" s="25"/>
      <c r="M176" s="25"/>
      <c r="N176" s="25"/>
      <c r="O176" s="53">
        <f>O174+O175</f>
        <v>80832</v>
      </c>
      <c r="P176" s="53">
        <f>P175+P174</f>
        <v>8262</v>
      </c>
      <c r="Q176" s="25"/>
      <c r="R176" s="53">
        <f>O176+P176</f>
        <v>89094</v>
      </c>
      <c r="S176" s="25"/>
      <c r="T176" s="5"/>
    </row>
    <row r="177" spans="1:20" ht="15.6" x14ac:dyDescent="0.3">
      <c r="A177" s="24"/>
      <c r="B177" s="25" t="s">
        <v>72</v>
      </c>
      <c r="C177" s="25"/>
      <c r="D177" s="25"/>
      <c r="E177" s="25"/>
      <c r="F177" s="25"/>
      <c r="G177" s="25"/>
      <c r="H177" s="25"/>
      <c r="I177" s="25"/>
      <c r="J177" s="25"/>
      <c r="K177" s="25"/>
      <c r="L177" s="25"/>
      <c r="M177" s="25"/>
      <c r="N177" s="25"/>
      <c r="O177" s="53">
        <f>O173-O176-P176</f>
        <v>70906</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1.4482246322983212</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1.4</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1.7419168591224019</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2.4700000000000002</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DECEMBER 2008</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39813</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6.4920000000000005E-2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6.5080110360225041E-2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-1.6011036022503533E-4</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1.9320740967568133E-2</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16.84</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2.3371332664048963E-2</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0.17599999999999999</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3</v>
      </c>
      <c r="P206" s="86">
        <v>106</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105</v>
      </c>
      <c r="P207" s="86">
        <f>+P245</f>
        <v>16204</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v>3</v>
      </c>
      <c r="P208" s="86">
        <f>+P257</f>
        <v>128</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61</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'Sept 08'!P213+P212</f>
        <v>266</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0</v>
      </c>
      <c r="P215" s="86">
        <v>0</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0</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0</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2</v>
      </c>
      <c r="P219" s="86">
        <v>314</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11.45</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4122</v>
      </c>
      <c r="O224" s="95">
        <f t="shared" ref="O224:O231" si="1">N224/$N$233</f>
        <v>0.96330918438887592</v>
      </c>
      <c r="P224" s="53">
        <v>463193</v>
      </c>
      <c r="Q224" s="135">
        <f t="shared" ref="Q224:Q231" si="2">P224/$P$233</f>
        <v>0.9481731219972529</v>
      </c>
      <c r="R224" s="80"/>
      <c r="S224" s="89"/>
      <c r="T224" s="5"/>
    </row>
    <row r="225" spans="1:21" ht="15.6" x14ac:dyDescent="0.3">
      <c r="A225" s="24"/>
      <c r="B225" s="54" t="s">
        <v>100</v>
      </c>
      <c r="C225" s="94"/>
      <c r="D225" s="94"/>
      <c r="E225" s="94"/>
      <c r="F225" s="25"/>
      <c r="G225" s="95"/>
      <c r="H225" s="94"/>
      <c r="I225" s="94"/>
      <c r="J225" s="94"/>
      <c r="K225" s="94"/>
      <c r="L225" s="94"/>
      <c r="M225" s="94"/>
      <c r="N225" s="54">
        <v>101</v>
      </c>
      <c r="O225" s="95">
        <f t="shared" si="1"/>
        <v>2.3603645711614864E-2</v>
      </c>
      <c r="P225" s="53">
        <v>17844</v>
      </c>
      <c r="Q225" s="135">
        <f t="shared" si="2"/>
        <v>3.652732487088315E-2</v>
      </c>
      <c r="R225" s="80"/>
      <c r="S225" s="89"/>
      <c r="T225" s="5"/>
      <c r="U225" s="110"/>
    </row>
    <row r="226" spans="1:21" ht="15.6" x14ac:dyDescent="0.3">
      <c r="A226" s="24"/>
      <c r="B226" s="54" t="s">
        <v>101</v>
      </c>
      <c r="C226" s="94"/>
      <c r="D226" s="94"/>
      <c r="E226" s="94"/>
      <c r="F226" s="25"/>
      <c r="G226" s="95"/>
      <c r="H226" s="94"/>
      <c r="I226" s="94"/>
      <c r="J226" s="94"/>
      <c r="K226" s="94"/>
      <c r="L226" s="94"/>
      <c r="M226" s="94"/>
      <c r="N226" s="54">
        <v>35</v>
      </c>
      <c r="O226" s="95">
        <f t="shared" si="1"/>
        <v>8.1794811871932702E-3</v>
      </c>
      <c r="P226" s="53">
        <v>5109</v>
      </c>
      <c r="Q226" s="135">
        <f t="shared" si="2"/>
        <v>1.0458311071808004E-2</v>
      </c>
      <c r="R226" s="80"/>
      <c r="S226" s="89"/>
      <c r="T226" s="5"/>
    </row>
    <row r="227" spans="1:21" ht="15.6" x14ac:dyDescent="0.3">
      <c r="A227" s="24"/>
      <c r="B227" s="54" t="s">
        <v>210</v>
      </c>
      <c r="C227" s="94"/>
      <c r="D227" s="94"/>
      <c r="E227" s="94"/>
      <c r="F227" s="25"/>
      <c r="G227" s="95"/>
      <c r="H227" s="94"/>
      <c r="I227" s="94"/>
      <c r="J227" s="94"/>
      <c r="K227" s="94"/>
      <c r="L227" s="94"/>
      <c r="M227" s="94"/>
      <c r="N227" s="54">
        <v>13</v>
      </c>
      <c r="O227" s="95">
        <f t="shared" si="1"/>
        <v>3.0380930123860717E-3</v>
      </c>
      <c r="P227" s="53">
        <v>1889</v>
      </c>
      <c r="Q227" s="135">
        <f t="shared" si="2"/>
        <v>3.8668525376091838E-3</v>
      </c>
      <c r="R227" s="80"/>
      <c r="S227" s="89"/>
      <c r="T227" s="5"/>
      <c r="U227" s="110"/>
    </row>
    <row r="228" spans="1:21" ht="15.6" x14ac:dyDescent="0.3">
      <c r="A228" s="24"/>
      <c r="B228" s="54" t="s">
        <v>211</v>
      </c>
      <c r="C228" s="94"/>
      <c r="D228" s="94"/>
      <c r="E228" s="94"/>
      <c r="F228" s="25"/>
      <c r="G228" s="95"/>
      <c r="H228" s="94"/>
      <c r="I228" s="94"/>
      <c r="J228" s="94"/>
      <c r="K228" s="94"/>
      <c r="L228" s="94"/>
      <c r="M228" s="94"/>
      <c r="N228" s="54">
        <v>2</v>
      </c>
      <c r="O228" s="95">
        <f t="shared" si="1"/>
        <v>4.6739892498247256E-4</v>
      </c>
      <c r="P228" s="53">
        <v>219</v>
      </c>
      <c r="Q228" s="135">
        <f t="shared" si="2"/>
        <v>4.4830106179799431E-4</v>
      </c>
      <c r="R228" s="80"/>
      <c r="S228" s="89"/>
      <c r="T228" s="5"/>
    </row>
    <row r="229" spans="1:21" ht="15.6" x14ac:dyDescent="0.3">
      <c r="A229" s="24"/>
      <c r="B229" s="54" t="s">
        <v>212</v>
      </c>
      <c r="C229" s="94"/>
      <c r="D229" s="94"/>
      <c r="E229" s="94"/>
      <c r="F229" s="25"/>
      <c r="G229" s="95"/>
      <c r="H229" s="94"/>
      <c r="I229" s="94"/>
      <c r="J229" s="94"/>
      <c r="K229" s="94"/>
      <c r="L229" s="94"/>
      <c r="M229" s="94"/>
      <c r="N229" s="54">
        <v>1</v>
      </c>
      <c r="O229" s="95">
        <f t="shared" si="1"/>
        <v>2.3369946249123628E-4</v>
      </c>
      <c r="P229" s="53">
        <v>25</v>
      </c>
      <c r="Q229" s="135">
        <f t="shared" si="2"/>
        <v>5.1175920296574696E-5</v>
      </c>
      <c r="R229" s="80"/>
      <c r="S229" s="89"/>
      <c r="T229" s="5"/>
      <c r="U229" s="110"/>
    </row>
    <row r="230" spans="1:21" ht="15.6" x14ac:dyDescent="0.3">
      <c r="A230" s="24"/>
      <c r="B230" s="54" t="s">
        <v>213</v>
      </c>
      <c r="C230" s="94"/>
      <c r="D230" s="94"/>
      <c r="E230" s="94"/>
      <c r="F230" s="25"/>
      <c r="G230" s="95"/>
      <c r="H230" s="94"/>
      <c r="I230" s="94"/>
      <c r="J230" s="94"/>
      <c r="K230" s="94"/>
      <c r="L230" s="94"/>
      <c r="M230" s="94"/>
      <c r="N230" s="54">
        <v>2</v>
      </c>
      <c r="O230" s="95">
        <f t="shared" si="1"/>
        <v>4.6739892498247256E-4</v>
      </c>
      <c r="P230" s="53">
        <v>93</v>
      </c>
      <c r="Q230" s="135">
        <f t="shared" si="2"/>
        <v>1.9037442350325787E-4</v>
      </c>
      <c r="R230" s="80"/>
      <c r="S230" s="89"/>
      <c r="T230" s="5"/>
    </row>
    <row r="231" spans="1:21" ht="15.6" x14ac:dyDescent="0.3">
      <c r="A231" s="24"/>
      <c r="B231" s="54" t="s">
        <v>214</v>
      </c>
      <c r="C231" s="94"/>
      <c r="D231" s="94"/>
      <c r="E231" s="94"/>
      <c r="F231" s="25"/>
      <c r="G231" s="95"/>
      <c r="H231" s="94"/>
      <c r="I231" s="94"/>
      <c r="J231" s="94"/>
      <c r="K231" s="94"/>
      <c r="L231" s="94"/>
      <c r="M231" s="94"/>
      <c r="N231" s="54">
        <v>3</v>
      </c>
      <c r="O231" s="95">
        <f t="shared" si="1"/>
        <v>7.0109838747370876E-4</v>
      </c>
      <c r="P231" s="53">
        <v>139</v>
      </c>
      <c r="Q231" s="135">
        <f t="shared" si="2"/>
        <v>2.8453811684895529E-4</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4279</v>
      </c>
      <c r="O233" s="135">
        <f>SUM(O224:O232)</f>
        <v>1</v>
      </c>
      <c r="P233" s="53">
        <f>SUM(P224:P232)</f>
        <v>488511</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28</v>
      </c>
      <c r="O236" s="95">
        <f t="shared" ref="O236:O243" si="3">N236/$N$245</f>
        <v>0.26666666666666666</v>
      </c>
      <c r="P236" s="53">
        <v>4788</v>
      </c>
      <c r="Q236" s="135">
        <f t="shared" ref="Q236:Q243" si="4">P236/$P$245</f>
        <v>0.29548259688965689</v>
      </c>
      <c r="R236" s="25"/>
      <c r="S236" s="25"/>
      <c r="T236" s="5"/>
    </row>
    <row r="237" spans="1:21" ht="15.6" x14ac:dyDescent="0.3">
      <c r="A237" s="24"/>
      <c r="B237" s="54" t="s">
        <v>100</v>
      </c>
      <c r="C237" s="94"/>
      <c r="D237" s="94"/>
      <c r="E237" s="94"/>
      <c r="F237" s="25"/>
      <c r="G237" s="95"/>
      <c r="H237" s="94"/>
      <c r="I237" s="94"/>
      <c r="J237" s="94"/>
      <c r="K237" s="94"/>
      <c r="L237" s="94"/>
      <c r="M237" s="94"/>
      <c r="N237" s="54">
        <v>37</v>
      </c>
      <c r="O237" s="95">
        <f t="shared" si="3"/>
        <v>0.35238095238095241</v>
      </c>
      <c r="P237" s="53">
        <v>5802</v>
      </c>
      <c r="Q237" s="135">
        <f t="shared" si="4"/>
        <v>0.3580597383362133</v>
      </c>
      <c r="R237" s="25"/>
      <c r="S237" s="25"/>
      <c r="T237" s="5"/>
    </row>
    <row r="238" spans="1:21" ht="15.6" x14ac:dyDescent="0.3">
      <c r="A238" s="24"/>
      <c r="B238" s="54" t="s">
        <v>101</v>
      </c>
      <c r="C238" s="94"/>
      <c r="D238" s="94"/>
      <c r="E238" s="94"/>
      <c r="F238" s="25"/>
      <c r="G238" s="95"/>
      <c r="H238" s="94"/>
      <c r="I238" s="94"/>
      <c r="J238" s="94"/>
      <c r="K238" s="94"/>
      <c r="L238" s="94"/>
      <c r="M238" s="94"/>
      <c r="N238" s="54">
        <v>7</v>
      </c>
      <c r="O238" s="95">
        <f t="shared" si="3"/>
        <v>6.6666666666666666E-2</v>
      </c>
      <c r="P238" s="53">
        <v>952</v>
      </c>
      <c r="Q238" s="135">
        <f t="shared" si="4"/>
        <v>5.875092569735868E-2</v>
      </c>
      <c r="R238" s="25"/>
      <c r="S238" s="25"/>
      <c r="T238" s="5"/>
    </row>
    <row r="239" spans="1:21" ht="15.6" x14ac:dyDescent="0.3">
      <c r="A239" s="24"/>
      <c r="B239" s="54" t="s">
        <v>210</v>
      </c>
      <c r="C239" s="94"/>
      <c r="D239" s="94"/>
      <c r="E239" s="94"/>
      <c r="F239" s="25"/>
      <c r="G239" s="95"/>
      <c r="H239" s="94"/>
      <c r="I239" s="94"/>
      <c r="J239" s="94"/>
      <c r="K239" s="94"/>
      <c r="L239" s="94"/>
      <c r="M239" s="94"/>
      <c r="N239" s="54">
        <v>4</v>
      </c>
      <c r="O239" s="95">
        <f t="shared" si="3"/>
        <v>3.8095238095238099E-2</v>
      </c>
      <c r="P239" s="53">
        <v>561</v>
      </c>
      <c r="Q239" s="135">
        <f t="shared" si="4"/>
        <v>3.4621081214514932E-2</v>
      </c>
      <c r="R239" s="25"/>
      <c r="S239" s="25"/>
      <c r="T239" s="5"/>
    </row>
    <row r="240" spans="1:21" ht="15.6" x14ac:dyDescent="0.3">
      <c r="A240" s="24"/>
      <c r="B240" s="54" t="s">
        <v>211</v>
      </c>
      <c r="C240" s="94"/>
      <c r="D240" s="94"/>
      <c r="E240" s="94"/>
      <c r="F240" s="25"/>
      <c r="G240" s="95"/>
      <c r="H240" s="94"/>
      <c r="I240" s="94"/>
      <c r="J240" s="94"/>
      <c r="K240" s="94"/>
      <c r="L240" s="94"/>
      <c r="M240" s="94"/>
      <c r="N240" s="54">
        <v>5</v>
      </c>
      <c r="O240" s="95">
        <f t="shared" si="3"/>
        <v>4.7619047619047616E-2</v>
      </c>
      <c r="P240" s="53">
        <v>675</v>
      </c>
      <c r="Q240" s="135">
        <f t="shared" si="4"/>
        <v>4.1656381140459144E-2</v>
      </c>
      <c r="R240" s="25"/>
      <c r="S240" s="25"/>
      <c r="T240" s="5"/>
    </row>
    <row r="241" spans="1:20" ht="15.6" x14ac:dyDescent="0.3">
      <c r="A241" s="24"/>
      <c r="B241" s="54" t="s">
        <v>212</v>
      </c>
      <c r="C241" s="94"/>
      <c r="D241" s="94"/>
      <c r="E241" s="94"/>
      <c r="F241" s="25"/>
      <c r="G241" s="95"/>
      <c r="H241" s="94"/>
      <c r="I241" s="94"/>
      <c r="J241" s="94"/>
      <c r="K241" s="94"/>
      <c r="L241" s="94"/>
      <c r="M241" s="94"/>
      <c r="N241" s="54">
        <v>5</v>
      </c>
      <c r="O241" s="95">
        <f t="shared" si="3"/>
        <v>4.7619047619047616E-2</v>
      </c>
      <c r="P241" s="53">
        <v>540</v>
      </c>
      <c r="Q241" s="135">
        <f t="shared" si="4"/>
        <v>3.3325104912367315E-2</v>
      </c>
      <c r="R241" s="25"/>
      <c r="S241" s="25"/>
      <c r="T241" s="5"/>
    </row>
    <row r="242" spans="1:20" ht="15.6" x14ac:dyDescent="0.3">
      <c r="A242" s="24"/>
      <c r="B242" s="54" t="s">
        <v>213</v>
      </c>
      <c r="C242" s="94"/>
      <c r="D242" s="94"/>
      <c r="E242" s="94"/>
      <c r="F242" s="25"/>
      <c r="G242" s="95"/>
      <c r="H242" s="94"/>
      <c r="I242" s="94"/>
      <c r="J242" s="94"/>
      <c r="K242" s="94"/>
      <c r="L242" s="94"/>
      <c r="M242" s="94"/>
      <c r="N242" s="54">
        <v>12</v>
      </c>
      <c r="O242" s="95">
        <f t="shared" si="3"/>
        <v>0.11428571428571428</v>
      </c>
      <c r="P242" s="53">
        <v>1734</v>
      </c>
      <c r="Q242" s="135">
        <f t="shared" si="4"/>
        <v>0.10701061466304616</v>
      </c>
      <c r="R242" s="25"/>
      <c r="S242" s="25"/>
      <c r="T242" s="5"/>
    </row>
    <row r="243" spans="1:20" ht="15.6" x14ac:dyDescent="0.3">
      <c r="A243" s="24"/>
      <c r="B243" s="54" t="s">
        <v>214</v>
      </c>
      <c r="C243" s="94"/>
      <c r="D243" s="94"/>
      <c r="E243" s="94"/>
      <c r="F243" s="25"/>
      <c r="G243" s="95"/>
      <c r="H243" s="94"/>
      <c r="I243" s="94"/>
      <c r="J243" s="94"/>
      <c r="K243" s="94"/>
      <c r="L243" s="94"/>
      <c r="M243" s="94"/>
      <c r="N243" s="54">
        <v>7</v>
      </c>
      <c r="O243" s="95">
        <f t="shared" si="3"/>
        <v>6.6666666666666666E-2</v>
      </c>
      <c r="P243" s="53">
        <v>1152</v>
      </c>
      <c r="Q243" s="135">
        <f t="shared" si="4"/>
        <v>7.1093557146383615E-2</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105</v>
      </c>
      <c r="O245" s="135">
        <f>SUM(O236:O244)</f>
        <v>1</v>
      </c>
      <c r="P245" s="53">
        <f>SUM(P236:P244)</f>
        <v>16204</v>
      </c>
      <c r="Q245" s="135">
        <f>SUM(Q236:Q244)</f>
        <v>1</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f t="shared" ref="O248:O253" si="5">N248/$N$245</f>
        <v>0</v>
      </c>
      <c r="P248" s="53">
        <v>0</v>
      </c>
      <c r="Q248" s="95">
        <f t="shared" ref="Q248:Q253" si="6">P248/$N$245</f>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f t="shared" si="5"/>
        <v>0</v>
      </c>
      <c r="P249" s="53">
        <v>0</v>
      </c>
      <c r="Q249" s="95">
        <f t="shared" si="6"/>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f t="shared" si="5"/>
        <v>0</v>
      </c>
      <c r="P250" s="53">
        <v>0</v>
      </c>
      <c r="Q250" s="95">
        <f t="shared" si="6"/>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f t="shared" si="5"/>
        <v>0</v>
      </c>
      <c r="P251" s="53">
        <v>0</v>
      </c>
      <c r="Q251" s="95">
        <f t="shared" si="6"/>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f t="shared" si="5"/>
        <v>0</v>
      </c>
      <c r="P252" s="53">
        <v>0</v>
      </c>
      <c r="Q252" s="95">
        <f t="shared" si="6"/>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f t="shared" si="5"/>
        <v>0</v>
      </c>
      <c r="P253" s="53">
        <v>0</v>
      </c>
      <c r="Q253" s="95">
        <f t="shared" si="6"/>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1</v>
      </c>
      <c r="O254" s="95">
        <f>N254/$N$257</f>
        <v>0.33333333333333331</v>
      </c>
      <c r="P254" s="53">
        <v>44</v>
      </c>
      <c r="Q254" s="95">
        <f>P254/$P$257</f>
        <v>0.34375</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2</v>
      </c>
      <c r="O255" s="95">
        <f>N255/$N$257</f>
        <v>0.66666666666666663</v>
      </c>
      <c r="P255" s="53">
        <v>84</v>
      </c>
      <c r="Q255" s="95">
        <f>P255/$P$257</f>
        <v>0.65625</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3</v>
      </c>
      <c r="O257" s="95">
        <f>SUM(O248:O255)</f>
        <v>1</v>
      </c>
      <c r="P257" s="53">
        <f>SUM(P248:P255)</f>
        <v>128</v>
      </c>
      <c r="Q257" s="135">
        <f>SUM(Q248:Q255)</f>
        <v>1</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4387</v>
      </c>
      <c r="O259" s="158"/>
      <c r="P259" s="159">
        <f>+P257+P245+P233</f>
        <v>504843</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DECEMBER 2008</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0.87980000000000003</v>
      </c>
      <c r="P16" s="17" t="s">
        <v>161</v>
      </c>
      <c r="Q16" s="140">
        <v>0.1202</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39925</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199156.58199999999</v>
      </c>
      <c r="I31" s="31"/>
      <c r="J31" s="125">
        <f>J30*J37</f>
        <v>295796.49719999998</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196425.429</v>
      </c>
      <c r="I32" s="36"/>
      <c r="J32" s="126">
        <f>J36*J30</f>
        <v>291740.06339999998</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199156.58199999999</v>
      </c>
      <c r="I34" s="31"/>
      <c r="J34" s="31">
        <f>J33*J37</f>
        <v>205686.30600000001</v>
      </c>
      <c r="K34" s="31"/>
      <c r="L34" s="31">
        <v>65000</v>
      </c>
      <c r="M34" s="31"/>
      <c r="N34" s="31">
        <v>35000</v>
      </c>
      <c r="O34" s="31"/>
      <c r="P34" s="31"/>
      <c r="Q34" s="147"/>
      <c r="R34" s="31">
        <f>SUM(C34:N34)</f>
        <v>504842.88800000004</v>
      </c>
      <c r="S34" s="34"/>
      <c r="T34" s="5"/>
    </row>
    <row r="35" spans="1:20" ht="15.6" x14ac:dyDescent="0.3">
      <c r="A35" s="28"/>
      <c r="B35" s="29" t="s">
        <v>287</v>
      </c>
      <c r="C35" s="36"/>
      <c r="D35" s="35">
        <f>D36*D33</f>
        <v>0</v>
      </c>
      <c r="E35" s="36"/>
      <c r="F35" s="35">
        <f>F36*F33</f>
        <v>0</v>
      </c>
      <c r="G35" s="35"/>
      <c r="H35" s="35">
        <f>H36*H33</f>
        <v>196425.429</v>
      </c>
      <c r="I35" s="36"/>
      <c r="J35" s="35">
        <f>J36*J33</f>
        <v>202865.60699999999</v>
      </c>
      <c r="K35" s="35"/>
      <c r="L35" s="35">
        <v>65000</v>
      </c>
      <c r="M35" s="35"/>
      <c r="N35" s="35">
        <v>35000</v>
      </c>
      <c r="O35" s="35"/>
      <c r="P35" s="35"/>
      <c r="Q35" s="37"/>
      <c r="R35" s="35">
        <f>SUM(C35:N35)</f>
        <v>499291.03599999996</v>
      </c>
      <c r="S35" s="34"/>
      <c r="T35" s="5"/>
    </row>
    <row r="36" spans="1:20" ht="15.6" x14ac:dyDescent="0.3">
      <c r="A36" s="28"/>
      <c r="B36" s="123" t="s">
        <v>149</v>
      </c>
      <c r="C36" s="127"/>
      <c r="D36" s="172">
        <v>0</v>
      </c>
      <c r="E36" s="139"/>
      <c r="F36" s="172">
        <v>0</v>
      </c>
      <c r="G36" s="138"/>
      <c r="H36" s="172">
        <v>0.64401779999999997</v>
      </c>
      <c r="I36" s="138"/>
      <c r="J36" s="172">
        <v>0.64401779999999997</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0.65297240000000001</v>
      </c>
      <c r="I37" s="138"/>
      <c r="J37" s="172">
        <v>0.65297240000000001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2.4562500000000001E-2</v>
      </c>
      <c r="I39" s="39"/>
      <c r="J39" s="38">
        <v>2.792E-2</v>
      </c>
      <c r="K39" s="39"/>
      <c r="L39" s="38">
        <v>2.9162500000000001E-2</v>
      </c>
      <c r="M39" s="39"/>
      <c r="N39" s="38">
        <v>3.2120000000000003E-2</v>
      </c>
      <c r="O39" s="39"/>
      <c r="P39" s="38"/>
      <c r="Q39" s="146"/>
      <c r="R39" s="39"/>
      <c r="S39" s="25"/>
      <c r="T39" s="5"/>
    </row>
    <row r="40" spans="1:20" ht="15.6" x14ac:dyDescent="0.3">
      <c r="A40" s="24"/>
      <c r="B40" s="25" t="s">
        <v>14</v>
      </c>
      <c r="C40" s="25"/>
      <c r="D40" s="38">
        <v>0</v>
      </c>
      <c r="E40" s="25"/>
      <c r="F40" s="38">
        <v>0</v>
      </c>
      <c r="G40" s="39"/>
      <c r="H40" s="38">
        <v>6.4000000000000001E-2</v>
      </c>
      <c r="I40" s="39"/>
      <c r="J40" s="38">
        <v>5.4980000000000001E-2</v>
      </c>
      <c r="K40" s="39"/>
      <c r="L40" s="38">
        <v>6.8599999999999994E-2</v>
      </c>
      <c r="M40" s="39"/>
      <c r="N40" s="38">
        <v>5.9180000000000003E-2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2.4562500000000001E-2</v>
      </c>
      <c r="I42" s="39"/>
      <c r="J42" s="38">
        <v>2.49605E-2</v>
      </c>
      <c r="K42" s="39"/>
      <c r="L42" s="38">
        <f>+L39</f>
        <v>2.9162500000000001E-2</v>
      </c>
      <c r="M42" s="39"/>
      <c r="N42" s="38">
        <v>2.95395E-2</v>
      </c>
      <c r="O42" s="39"/>
      <c r="P42" s="38"/>
      <c r="Q42" s="146"/>
      <c r="R42" s="39">
        <f>SUMPRODUCT(D42:N42,D34:N34)/R34</f>
        <v>2.5661967107453835E-2</v>
      </c>
      <c r="S42" s="25"/>
      <c r="T42" s="5"/>
    </row>
    <row r="43" spans="1:20" ht="15.6" x14ac:dyDescent="0.3">
      <c r="A43" s="24"/>
      <c r="B43" s="25" t="s">
        <v>290</v>
      </c>
      <c r="C43" s="25"/>
      <c r="D43" s="38">
        <f>+D40</f>
        <v>0</v>
      </c>
      <c r="E43" s="25"/>
      <c r="F43" s="38">
        <v>0</v>
      </c>
      <c r="G43" s="39"/>
      <c r="H43" s="38">
        <f>+H40</f>
        <v>6.4000000000000001E-2</v>
      </c>
      <c r="I43" s="39"/>
      <c r="J43" s="38">
        <v>6.4397999999999997E-2</v>
      </c>
      <c r="K43" s="39"/>
      <c r="L43" s="38">
        <f>+L40</f>
        <v>6.8599999999999994E-2</v>
      </c>
      <c r="M43" s="39"/>
      <c r="N43" s="38">
        <v>6.8976999999999997E-2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0.25044388925375227</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39918</v>
      </c>
      <c r="S54" s="25"/>
      <c r="T54" s="5"/>
    </row>
    <row r="55" spans="1:21" ht="15.6" x14ac:dyDescent="0.3">
      <c r="A55" s="24"/>
      <c r="B55" s="25" t="s">
        <v>140</v>
      </c>
      <c r="C55" s="25"/>
      <c r="D55" s="25"/>
      <c r="E55" s="25"/>
      <c r="F55" s="25"/>
      <c r="G55" s="25"/>
      <c r="H55" s="58"/>
      <c r="I55" s="58"/>
      <c r="J55" s="58"/>
      <c r="K55" s="58"/>
      <c r="L55" s="58"/>
      <c r="M55" s="58"/>
      <c r="N55" s="25">
        <f>+R55-P55+1</f>
        <v>92</v>
      </c>
      <c r="O55" s="58"/>
      <c r="P55" s="45">
        <v>39736</v>
      </c>
      <c r="Q55" s="46"/>
      <c r="R55" s="45">
        <v>39827</v>
      </c>
      <c r="S55" s="25"/>
      <c r="T55" s="5"/>
    </row>
    <row r="56" spans="1:21" ht="15.6" x14ac:dyDescent="0.3">
      <c r="A56" s="24"/>
      <c r="B56" s="25" t="s">
        <v>141</v>
      </c>
      <c r="C56" s="25"/>
      <c r="D56" s="25"/>
      <c r="E56" s="25"/>
      <c r="F56" s="25"/>
      <c r="G56" s="25"/>
      <c r="H56" s="25"/>
      <c r="I56" s="25"/>
      <c r="J56" s="25"/>
      <c r="K56" s="25"/>
      <c r="L56" s="25"/>
      <c r="M56" s="25"/>
      <c r="N56" s="25">
        <f>+R56-P56+1</f>
        <v>90</v>
      </c>
      <c r="O56" s="25"/>
      <c r="P56" s="45">
        <v>39828</v>
      </c>
      <c r="Q56" s="46"/>
      <c r="R56" s="45">
        <v>39917</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39904</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281</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504843</v>
      </c>
      <c r="K67" s="34"/>
      <c r="L67" s="34">
        <f>5552+588+41</f>
        <v>6181</v>
      </c>
      <c r="M67" s="34"/>
      <c r="N67" s="34">
        <f>588+41</f>
        <v>629</v>
      </c>
      <c r="O67" s="34"/>
      <c r="P67" s="34">
        <v>0</v>
      </c>
      <c r="Q67" s="34"/>
      <c r="R67" s="53">
        <f>+J67-L67+N67-P67</f>
        <v>499291</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504843</v>
      </c>
      <c r="K70" s="34"/>
      <c r="L70" s="34">
        <f>SUM(L67:L69)</f>
        <v>6181</v>
      </c>
      <c r="M70" s="34"/>
      <c r="N70" s="34">
        <f>SUM(N67:N69)</f>
        <v>629</v>
      </c>
      <c r="O70" s="34"/>
      <c r="P70" s="34">
        <f>SUM(P67:P69)</f>
        <v>0</v>
      </c>
      <c r="Q70" s="34"/>
      <c r="R70" s="54">
        <f>SUM(R67:R69)</f>
        <v>499291</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504843</v>
      </c>
      <c r="K83" s="34"/>
      <c r="L83" s="34"/>
      <c r="M83" s="34"/>
      <c r="N83" s="34"/>
      <c r="O83" s="34"/>
      <c r="P83" s="54"/>
      <c r="Q83" s="34"/>
      <c r="R83" s="54">
        <f>SUM(R70:R82)</f>
        <v>499291</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39903</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6181-272</f>
        <v>5909</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6411+1014-1008-201+34+11</f>
        <v>6261</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62+13</f>
        <v>75</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367</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0</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0</v>
      </c>
      <c r="S94" s="25"/>
      <c r="T94" s="5"/>
    </row>
    <row r="95" spans="1:20" ht="15.6" x14ac:dyDescent="0.3">
      <c r="A95" s="24"/>
      <c r="B95" s="25" t="s">
        <v>35</v>
      </c>
      <c r="C95" s="25"/>
      <c r="D95" s="25"/>
      <c r="E95" s="25"/>
      <c r="F95" s="25"/>
      <c r="G95" s="25"/>
      <c r="H95" s="25"/>
      <c r="I95" s="25"/>
      <c r="J95" s="25"/>
      <c r="K95" s="25"/>
      <c r="L95" s="25"/>
      <c r="M95" s="25"/>
      <c r="N95" s="25"/>
      <c r="O95" s="25"/>
      <c r="P95" s="34">
        <f>SUM(P87:P94)</f>
        <v>5909</v>
      </c>
      <c r="Q95" s="25"/>
      <c r="R95" s="54">
        <f>SUM(R87:R94)</f>
        <v>6703</v>
      </c>
      <c r="S95" s="25"/>
      <c r="T95" s="5"/>
    </row>
    <row r="96" spans="1:20" ht="15.6" x14ac:dyDescent="0.3">
      <c r="A96" s="24"/>
      <c r="B96" s="25" t="s">
        <v>235</v>
      </c>
      <c r="C96" s="25"/>
      <c r="D96" s="25"/>
      <c r="E96" s="25"/>
      <c r="F96" s="25"/>
      <c r="G96" s="25"/>
      <c r="H96" s="25"/>
      <c r="I96" s="25"/>
      <c r="J96" s="25"/>
      <c r="K96" s="25"/>
      <c r="L96" s="25"/>
      <c r="M96" s="25"/>
      <c r="N96" s="25"/>
      <c r="O96" s="25"/>
      <c r="P96" s="34">
        <v>-4</v>
      </c>
      <c r="Q96" s="25"/>
      <c r="R96" s="54">
        <f>-P96</f>
        <v>4</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-157</v>
      </c>
      <c r="S98" s="25"/>
      <c r="T98" s="5"/>
    </row>
    <row r="99" spans="1:21" ht="15.6" x14ac:dyDescent="0.3">
      <c r="A99" s="24"/>
      <c r="B99" s="25" t="s">
        <v>37</v>
      </c>
      <c r="C99" s="25"/>
      <c r="D99" s="25"/>
      <c r="E99" s="25"/>
      <c r="F99" s="25"/>
      <c r="G99" s="25"/>
      <c r="H99" s="25"/>
      <c r="I99" s="25"/>
      <c r="J99" s="25"/>
      <c r="K99" s="25"/>
      <c r="L99" s="25"/>
      <c r="M99" s="25"/>
      <c r="N99" s="25"/>
      <c r="O99" s="25"/>
      <c r="P99" s="34">
        <f>P95+P97+P96</f>
        <v>5905</v>
      </c>
      <c r="Q99" s="25"/>
      <c r="R99" s="54">
        <f>R95+R97+R96+R98</f>
        <v>6550</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-124-142-6</f>
        <v>-272</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-1404</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-1206</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v>-1266</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-467</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v>-255</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272</v>
      </c>
      <c r="Q113" s="25"/>
      <c r="R113" s="53">
        <v>-272</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34"/>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-251</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-1145</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-5</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-620</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-2731</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-2821</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-6177</v>
      </c>
      <c r="Q128" s="34"/>
      <c r="R128" s="34">
        <f>SUM(R100:R127)</f>
        <v>-6550</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MARCH 2009</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f>SUM(R147:R148)</f>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272</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272</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-272</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499291</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499291</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+'Dec 08'!O176</f>
        <v>80832</v>
      </c>
      <c r="P174" s="53">
        <f>+'Dec 08'!P176</f>
        <v>8262</v>
      </c>
      <c r="Q174" s="25"/>
      <c r="R174" s="53">
        <f>O174+P174</f>
        <v>89094</v>
      </c>
      <c r="S174" s="25"/>
      <c r="T174" s="5"/>
    </row>
    <row r="175" spans="1:20" ht="15.6" x14ac:dyDescent="0.3">
      <c r="A175" s="24"/>
      <c r="B175" s="25" t="s">
        <v>70</v>
      </c>
      <c r="C175" s="25"/>
      <c r="D175" s="25"/>
      <c r="E175" s="25"/>
      <c r="F175" s="25"/>
      <c r="G175" s="25"/>
      <c r="H175" s="25"/>
      <c r="I175" s="25"/>
      <c r="J175" s="25"/>
      <c r="K175" s="25"/>
      <c r="L175" s="25"/>
      <c r="M175" s="25"/>
      <c r="N175" s="25"/>
      <c r="O175" s="34">
        <f>583+37</f>
        <v>620</v>
      </c>
      <c r="P175" s="34">
        <f>-P96-P120</f>
        <v>9</v>
      </c>
      <c r="Q175" s="25"/>
      <c r="R175" s="53">
        <f>O175+P175</f>
        <v>629</v>
      </c>
      <c r="S175" s="25"/>
      <c r="T175" s="5"/>
    </row>
    <row r="176" spans="1:20" ht="15.6" x14ac:dyDescent="0.3">
      <c r="A176" s="24"/>
      <c r="B176" s="25" t="s">
        <v>71</v>
      </c>
      <c r="C176" s="25"/>
      <c r="D176" s="25"/>
      <c r="E176" s="25"/>
      <c r="F176" s="25"/>
      <c r="G176" s="25"/>
      <c r="H176" s="25"/>
      <c r="I176" s="25"/>
      <c r="J176" s="25"/>
      <c r="K176" s="25"/>
      <c r="L176" s="25"/>
      <c r="M176" s="25"/>
      <c r="N176" s="25"/>
      <c r="O176" s="53">
        <f>O174+O175</f>
        <v>81452</v>
      </c>
      <c r="P176" s="53">
        <f>P175+P174</f>
        <v>8271</v>
      </c>
      <c r="Q176" s="25"/>
      <c r="R176" s="53">
        <f>O176+P176</f>
        <v>89723</v>
      </c>
      <c r="S176" s="25"/>
      <c r="T176" s="5"/>
    </row>
    <row r="177" spans="1:20" ht="15.6" x14ac:dyDescent="0.3">
      <c r="A177" s="24"/>
      <c r="B177" s="25" t="s">
        <v>72</v>
      </c>
      <c r="C177" s="25"/>
      <c r="D177" s="25"/>
      <c r="E177" s="25"/>
      <c r="F177" s="25"/>
      <c r="G177" s="25"/>
      <c r="H177" s="25"/>
      <c r="I177" s="25"/>
      <c r="J177" s="25"/>
      <c r="K177" s="25"/>
      <c r="L177" s="25"/>
      <c r="M177" s="25"/>
      <c r="N177" s="25"/>
      <c r="O177" s="53">
        <f>O173-O176-P176</f>
        <v>70277</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1.9700647249190939</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1.41</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3.3213296398891967</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2.4900000000000002</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MARCH 2009</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39903</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4.7109999999999999E-2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2.5661967107453835E-2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2.1448032892546164E-2</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1.2974330633484073E-2</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16.64</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1.2243410327567185E-2</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0.16919999999999999</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2</v>
      </c>
      <c r="P206" s="86">
        <v>103</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101</v>
      </c>
      <c r="P207" s="86">
        <f>+P245</f>
        <v>14782</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f>+N257</f>
        <v>4</v>
      </c>
      <c r="P208" s="86">
        <f>+P257</f>
        <v>155</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272</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'Dec 08'!P213+P212</f>
        <v>538</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0</v>
      </c>
      <c r="P215" s="86">
        <v>0</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0</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0</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5</v>
      </c>
      <c r="P219" s="86">
        <v>681</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9.24</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4111</v>
      </c>
      <c r="O224" s="95">
        <f t="shared" ref="O224:O231" si="1">N224/$N$233</f>
        <v>0.97417061611374411</v>
      </c>
      <c r="P224" s="53">
        <v>469067</v>
      </c>
      <c r="Q224" s="135">
        <f t="shared" ref="Q224:Q231" si="2">P224/$P$233</f>
        <v>0.96843837358626128</v>
      </c>
      <c r="R224" s="80"/>
      <c r="S224" s="89"/>
      <c r="T224" s="5"/>
    </row>
    <row r="225" spans="1:21" ht="15.6" x14ac:dyDescent="0.3">
      <c r="A225" s="24"/>
      <c r="B225" s="54" t="s">
        <v>100</v>
      </c>
      <c r="C225" s="94"/>
      <c r="D225" s="94"/>
      <c r="E225" s="94"/>
      <c r="F225" s="25"/>
      <c r="G225" s="95"/>
      <c r="H225" s="94"/>
      <c r="I225" s="94"/>
      <c r="J225" s="94"/>
      <c r="K225" s="94"/>
      <c r="L225" s="94"/>
      <c r="M225" s="94"/>
      <c r="N225" s="54">
        <v>65</v>
      </c>
      <c r="O225" s="95">
        <f t="shared" si="1"/>
        <v>1.5402843601895734E-2</v>
      </c>
      <c r="P225" s="53">
        <v>9505</v>
      </c>
      <c r="Q225" s="135">
        <f t="shared" si="2"/>
        <v>1.9624076605127654E-2</v>
      </c>
      <c r="R225" s="80"/>
      <c r="S225" s="89"/>
      <c r="T225" s="5"/>
      <c r="U225" s="110"/>
    </row>
    <row r="226" spans="1:21" ht="15.6" x14ac:dyDescent="0.3">
      <c r="A226" s="24"/>
      <c r="B226" s="54" t="s">
        <v>101</v>
      </c>
      <c r="C226" s="94"/>
      <c r="D226" s="94"/>
      <c r="E226" s="94"/>
      <c r="F226" s="25"/>
      <c r="G226" s="95"/>
      <c r="H226" s="94"/>
      <c r="I226" s="94"/>
      <c r="J226" s="94"/>
      <c r="K226" s="94"/>
      <c r="L226" s="94"/>
      <c r="M226" s="94"/>
      <c r="N226" s="54">
        <v>16</v>
      </c>
      <c r="O226" s="95">
        <f t="shared" si="1"/>
        <v>3.7914691943127963E-3</v>
      </c>
      <c r="P226" s="53">
        <v>2673</v>
      </c>
      <c r="Q226" s="135">
        <f t="shared" si="2"/>
        <v>5.5186908748559938E-3</v>
      </c>
      <c r="R226" s="80"/>
      <c r="S226" s="89"/>
      <c r="T226" s="5"/>
    </row>
    <row r="227" spans="1:21" ht="15.6" x14ac:dyDescent="0.3">
      <c r="A227" s="24"/>
      <c r="B227" s="54" t="s">
        <v>210</v>
      </c>
      <c r="C227" s="94"/>
      <c r="D227" s="94"/>
      <c r="E227" s="94"/>
      <c r="F227" s="25"/>
      <c r="G227" s="95"/>
      <c r="H227" s="94"/>
      <c r="I227" s="94"/>
      <c r="J227" s="94"/>
      <c r="K227" s="94"/>
      <c r="L227" s="94"/>
      <c r="M227" s="94"/>
      <c r="N227" s="54">
        <v>9</v>
      </c>
      <c r="O227" s="95">
        <f t="shared" si="1"/>
        <v>2.1327014218009478E-3</v>
      </c>
      <c r="P227" s="53">
        <v>861</v>
      </c>
      <c r="Q227" s="135">
        <f t="shared" si="2"/>
        <v>1.777625455761695E-3</v>
      </c>
      <c r="R227" s="80"/>
      <c r="S227" s="89"/>
      <c r="T227" s="5"/>
      <c r="U227" s="110"/>
    </row>
    <row r="228" spans="1:21" ht="15.6" x14ac:dyDescent="0.3">
      <c r="A228" s="24"/>
      <c r="B228" s="54" t="s">
        <v>211</v>
      </c>
      <c r="C228" s="94"/>
      <c r="D228" s="94"/>
      <c r="E228" s="94"/>
      <c r="F228" s="25"/>
      <c r="G228" s="95"/>
      <c r="H228" s="94"/>
      <c r="I228" s="94"/>
      <c r="J228" s="94"/>
      <c r="K228" s="94"/>
      <c r="L228" s="94"/>
      <c r="M228" s="94"/>
      <c r="N228" s="54">
        <v>8</v>
      </c>
      <c r="O228" s="95">
        <f t="shared" si="1"/>
        <v>1.8957345971563982E-3</v>
      </c>
      <c r="P228" s="53">
        <v>539</v>
      </c>
      <c r="Q228" s="135">
        <f t="shared" si="2"/>
        <v>1.1128224397857764E-3</v>
      </c>
      <c r="R228" s="80"/>
      <c r="S228" s="89"/>
      <c r="T228" s="5"/>
    </row>
    <row r="229" spans="1:21" ht="15.6" x14ac:dyDescent="0.3">
      <c r="A229" s="24"/>
      <c r="B229" s="54" t="s">
        <v>212</v>
      </c>
      <c r="C229" s="94"/>
      <c r="D229" s="94"/>
      <c r="E229" s="94"/>
      <c r="F229" s="25"/>
      <c r="G229" s="95"/>
      <c r="H229" s="94"/>
      <c r="I229" s="94"/>
      <c r="J229" s="94"/>
      <c r="K229" s="94"/>
      <c r="L229" s="94"/>
      <c r="M229" s="94"/>
      <c r="N229" s="54">
        <v>3</v>
      </c>
      <c r="O229" s="95">
        <f t="shared" si="1"/>
        <v>7.1090047393364926E-4</v>
      </c>
      <c r="P229" s="53">
        <v>1101</v>
      </c>
      <c r="Q229" s="135">
        <f t="shared" si="2"/>
        <v>2.2731308092841188E-3</v>
      </c>
      <c r="R229" s="80"/>
      <c r="S229" s="89"/>
      <c r="T229" s="5"/>
      <c r="U229" s="110"/>
    </row>
    <row r="230" spans="1:21" ht="15.6" x14ac:dyDescent="0.3">
      <c r="A230" s="24"/>
      <c r="B230" s="54" t="s">
        <v>213</v>
      </c>
      <c r="C230" s="94"/>
      <c r="D230" s="94"/>
      <c r="E230" s="94"/>
      <c r="F230" s="25"/>
      <c r="G230" s="95"/>
      <c r="H230" s="94"/>
      <c r="I230" s="94"/>
      <c r="J230" s="94"/>
      <c r="K230" s="94"/>
      <c r="L230" s="94"/>
      <c r="M230" s="94"/>
      <c r="N230" s="54">
        <v>4</v>
      </c>
      <c r="O230" s="95">
        <f t="shared" si="1"/>
        <v>9.4786729857819908E-4</v>
      </c>
      <c r="P230" s="53">
        <v>356</v>
      </c>
      <c r="Q230" s="135">
        <f t="shared" si="2"/>
        <v>7.349996077249285E-4</v>
      </c>
      <c r="R230" s="80"/>
      <c r="S230" s="89"/>
      <c r="T230" s="5"/>
    </row>
    <row r="231" spans="1:21" ht="15.6" x14ac:dyDescent="0.3">
      <c r="A231" s="24"/>
      <c r="B231" s="54" t="s">
        <v>214</v>
      </c>
      <c r="C231" s="94"/>
      <c r="D231" s="94"/>
      <c r="E231" s="94"/>
      <c r="F231" s="25"/>
      <c r="G231" s="95"/>
      <c r="H231" s="94"/>
      <c r="I231" s="94"/>
      <c r="J231" s="94"/>
      <c r="K231" s="94"/>
      <c r="L231" s="94"/>
      <c r="M231" s="94"/>
      <c r="N231" s="54">
        <v>4</v>
      </c>
      <c r="O231" s="95">
        <f t="shared" si="1"/>
        <v>9.4786729857819908E-4</v>
      </c>
      <c r="P231" s="53">
        <v>252</v>
      </c>
      <c r="Q231" s="135">
        <f t="shared" si="2"/>
        <v>5.2028062119854489E-4</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4220</v>
      </c>
      <c r="O233" s="135">
        <f>SUM(O224:O232)</f>
        <v>1</v>
      </c>
      <c r="P233" s="53">
        <f>SUM(P224:P232)</f>
        <v>484354</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16</v>
      </c>
      <c r="O236" s="95">
        <f t="shared" ref="O236:O243" si="3">N236/$N$245</f>
        <v>0.15841584158415842</v>
      </c>
      <c r="P236" s="53">
        <v>2029</v>
      </c>
      <c r="Q236" s="135">
        <f t="shared" ref="Q236:Q243" si="4">P236/$P$245</f>
        <v>0.13726153429847113</v>
      </c>
      <c r="R236" s="25"/>
      <c r="S236" s="25"/>
      <c r="T236" s="5"/>
    </row>
    <row r="237" spans="1:21" ht="15.6" x14ac:dyDescent="0.3">
      <c r="A237" s="24"/>
      <c r="B237" s="54" t="s">
        <v>100</v>
      </c>
      <c r="C237" s="94"/>
      <c r="D237" s="94"/>
      <c r="E237" s="94"/>
      <c r="F237" s="25"/>
      <c r="G237" s="95"/>
      <c r="H237" s="94"/>
      <c r="I237" s="94"/>
      <c r="J237" s="94"/>
      <c r="K237" s="94"/>
      <c r="L237" s="94"/>
      <c r="M237" s="94"/>
      <c r="N237" s="54">
        <v>46</v>
      </c>
      <c r="O237" s="95">
        <f t="shared" si="3"/>
        <v>0.45544554455445546</v>
      </c>
      <c r="P237" s="53">
        <v>6969</v>
      </c>
      <c r="Q237" s="135">
        <f t="shared" si="4"/>
        <v>0.47145176566093899</v>
      </c>
      <c r="R237" s="25"/>
      <c r="S237" s="25"/>
      <c r="T237" s="5"/>
    </row>
    <row r="238" spans="1:21" ht="15.6" x14ac:dyDescent="0.3">
      <c r="A238" s="24"/>
      <c r="B238" s="54" t="s">
        <v>101</v>
      </c>
      <c r="C238" s="94"/>
      <c r="D238" s="94"/>
      <c r="E238" s="94"/>
      <c r="F238" s="25"/>
      <c r="G238" s="95"/>
      <c r="H238" s="94"/>
      <c r="I238" s="94"/>
      <c r="J238" s="94"/>
      <c r="K238" s="94"/>
      <c r="L238" s="94"/>
      <c r="M238" s="94"/>
      <c r="N238" s="54">
        <v>2</v>
      </c>
      <c r="O238" s="95">
        <f t="shared" si="3"/>
        <v>1.9801980198019802E-2</v>
      </c>
      <c r="P238" s="53">
        <v>509</v>
      </c>
      <c r="Q238" s="135">
        <f t="shared" si="4"/>
        <v>3.4433770802327152E-2</v>
      </c>
      <c r="R238" s="25"/>
      <c r="S238" s="25"/>
      <c r="T238" s="5"/>
    </row>
    <row r="239" spans="1:21" ht="15.6" x14ac:dyDescent="0.3">
      <c r="A239" s="24"/>
      <c r="B239" s="54" t="s">
        <v>210</v>
      </c>
      <c r="C239" s="94"/>
      <c r="D239" s="94"/>
      <c r="E239" s="94"/>
      <c r="F239" s="25"/>
      <c r="G239" s="95"/>
      <c r="H239" s="94"/>
      <c r="I239" s="94"/>
      <c r="J239" s="94"/>
      <c r="K239" s="94"/>
      <c r="L239" s="94"/>
      <c r="M239" s="94"/>
      <c r="N239" s="54">
        <v>1</v>
      </c>
      <c r="O239" s="95">
        <f t="shared" si="3"/>
        <v>9.9009900990099011E-3</v>
      </c>
      <c r="P239" s="53">
        <v>117</v>
      </c>
      <c r="Q239" s="135">
        <f t="shared" si="4"/>
        <v>7.9150317954268697E-3</v>
      </c>
      <c r="R239" s="25"/>
      <c r="S239" s="25"/>
      <c r="T239" s="5"/>
    </row>
    <row r="240" spans="1:21" ht="15.6" x14ac:dyDescent="0.3">
      <c r="A240" s="24"/>
      <c r="B240" s="54" t="s">
        <v>211</v>
      </c>
      <c r="C240" s="94"/>
      <c r="D240" s="94"/>
      <c r="E240" s="94"/>
      <c r="F240" s="25"/>
      <c r="G240" s="95"/>
      <c r="H240" s="94"/>
      <c r="I240" s="94"/>
      <c r="J240" s="94"/>
      <c r="K240" s="94"/>
      <c r="L240" s="94"/>
      <c r="M240" s="94"/>
      <c r="N240" s="54">
        <v>3</v>
      </c>
      <c r="O240" s="95">
        <f t="shared" si="3"/>
        <v>2.9702970297029702E-2</v>
      </c>
      <c r="P240" s="53">
        <v>760</v>
      </c>
      <c r="Q240" s="135">
        <f t="shared" si="4"/>
        <v>5.1413881748071981E-2</v>
      </c>
      <c r="R240" s="25"/>
      <c r="S240" s="25"/>
      <c r="T240" s="5"/>
    </row>
    <row r="241" spans="1:20" ht="15.6" x14ac:dyDescent="0.3">
      <c r="A241" s="24"/>
      <c r="B241" s="54" t="s">
        <v>212</v>
      </c>
      <c r="C241" s="94"/>
      <c r="D241" s="94"/>
      <c r="E241" s="94"/>
      <c r="F241" s="25"/>
      <c r="G241" s="95"/>
      <c r="H241" s="94"/>
      <c r="I241" s="94"/>
      <c r="J241" s="94"/>
      <c r="K241" s="94"/>
      <c r="L241" s="94"/>
      <c r="M241" s="94"/>
      <c r="N241" s="54">
        <v>2</v>
      </c>
      <c r="O241" s="95">
        <f t="shared" si="3"/>
        <v>1.9801980198019802E-2</v>
      </c>
      <c r="P241" s="53">
        <v>191</v>
      </c>
      <c r="Q241" s="135">
        <f t="shared" si="4"/>
        <v>1.2921120281423353E-2</v>
      </c>
      <c r="R241" s="25"/>
      <c r="S241" s="25"/>
      <c r="T241" s="5"/>
    </row>
    <row r="242" spans="1:20" ht="15.6" x14ac:dyDescent="0.3">
      <c r="A242" s="24"/>
      <c r="B242" s="54" t="s">
        <v>213</v>
      </c>
      <c r="C242" s="94"/>
      <c r="D242" s="94"/>
      <c r="E242" s="94"/>
      <c r="F242" s="25"/>
      <c r="G242" s="95"/>
      <c r="H242" s="94"/>
      <c r="I242" s="94"/>
      <c r="J242" s="94"/>
      <c r="K242" s="94"/>
      <c r="L242" s="94"/>
      <c r="M242" s="94"/>
      <c r="N242" s="54">
        <v>15</v>
      </c>
      <c r="O242" s="95">
        <f t="shared" si="3"/>
        <v>0.14851485148514851</v>
      </c>
      <c r="P242" s="53">
        <v>1828</v>
      </c>
      <c r="Q242" s="135">
        <f t="shared" si="4"/>
        <v>0.12366391557299418</v>
      </c>
      <c r="R242" s="25"/>
      <c r="S242" s="25"/>
      <c r="T242" s="5"/>
    </row>
    <row r="243" spans="1:20" ht="15.6" x14ac:dyDescent="0.3">
      <c r="A243" s="24"/>
      <c r="B243" s="54" t="s">
        <v>214</v>
      </c>
      <c r="C243" s="94"/>
      <c r="D243" s="94"/>
      <c r="E243" s="94"/>
      <c r="F243" s="25"/>
      <c r="G243" s="95"/>
      <c r="H243" s="94"/>
      <c r="I243" s="94"/>
      <c r="J243" s="94"/>
      <c r="K243" s="94"/>
      <c r="L243" s="94"/>
      <c r="M243" s="94"/>
      <c r="N243" s="54">
        <v>16</v>
      </c>
      <c r="O243" s="95">
        <f t="shared" si="3"/>
        <v>0.15841584158415842</v>
      </c>
      <c r="P243" s="53">
        <v>2379</v>
      </c>
      <c r="Q243" s="135">
        <f t="shared" si="4"/>
        <v>0.16093897984034636</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101</v>
      </c>
      <c r="O245" s="135">
        <f>SUM(O236:O244)</f>
        <v>1</v>
      </c>
      <c r="P245" s="53">
        <f>SUM(P236:P244)</f>
        <v>14782</v>
      </c>
      <c r="Q245" s="135">
        <f>SUM(Q236:Q244)</f>
        <v>0.99999999999999989</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f t="shared" ref="O248:O255" si="5">N248/$N$257</f>
        <v>0</v>
      </c>
      <c r="P248" s="53">
        <v>0</v>
      </c>
      <c r="Q248" s="95">
        <f t="shared" ref="Q248:Q255" si="6">P248/$P$257</f>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f t="shared" si="5"/>
        <v>0</v>
      </c>
      <c r="P249" s="53">
        <v>0</v>
      </c>
      <c r="Q249" s="95">
        <f t="shared" si="6"/>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f t="shared" si="5"/>
        <v>0</v>
      </c>
      <c r="P250" s="53">
        <v>0</v>
      </c>
      <c r="Q250" s="95">
        <f t="shared" si="6"/>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f t="shared" si="5"/>
        <v>0</v>
      </c>
      <c r="P251" s="53">
        <v>0</v>
      </c>
      <c r="Q251" s="95">
        <f t="shared" si="6"/>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f t="shared" si="5"/>
        <v>0</v>
      </c>
      <c r="P252" s="53">
        <v>0</v>
      </c>
      <c r="Q252" s="95">
        <f t="shared" si="6"/>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1</v>
      </c>
      <c r="O253" s="95">
        <f t="shared" si="5"/>
        <v>0.25</v>
      </c>
      <c r="P253" s="53">
        <v>27</v>
      </c>
      <c r="Q253" s="95">
        <f t="shared" si="6"/>
        <v>0.17419354838709677</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0</v>
      </c>
      <c r="O254" s="95">
        <f t="shared" si="5"/>
        <v>0</v>
      </c>
      <c r="P254" s="53">
        <v>0</v>
      </c>
      <c r="Q254" s="95">
        <f t="shared" si="6"/>
        <v>0</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3</v>
      </c>
      <c r="O255" s="95">
        <f t="shared" si="5"/>
        <v>0.75</v>
      </c>
      <c r="P255" s="53">
        <v>128</v>
      </c>
      <c r="Q255" s="95">
        <f t="shared" si="6"/>
        <v>0.82580645161290323</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4</v>
      </c>
      <c r="O257" s="95">
        <f>SUM(O248:O255)</f>
        <v>1</v>
      </c>
      <c r="P257" s="53">
        <f>SUM(P248:P255)</f>
        <v>155</v>
      </c>
      <c r="Q257" s="135">
        <f>SUM(Q248:Q255)</f>
        <v>1</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4325</v>
      </c>
      <c r="O259" s="158"/>
      <c r="P259" s="159">
        <f>+P257+P245+P233</f>
        <v>499291</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MARCH 2009</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0.88009999999999999</v>
      </c>
      <c r="P16" s="17" t="s">
        <v>161</v>
      </c>
      <c r="Q16" s="140">
        <v>0.11990000000000001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40016</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196425.429</v>
      </c>
      <c r="I31" s="31"/>
      <c r="J31" s="125">
        <f>J30*J37</f>
        <v>291740.06339999998</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193895.08799999999</v>
      </c>
      <c r="I32" s="36"/>
      <c r="J32" s="126">
        <f>J36*J30</f>
        <v>287981.8848</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196425.429</v>
      </c>
      <c r="I34" s="31"/>
      <c r="J34" s="31">
        <f>J33*J37</f>
        <v>202865.60699999999</v>
      </c>
      <c r="K34" s="31"/>
      <c r="L34" s="31">
        <v>65000</v>
      </c>
      <c r="M34" s="31"/>
      <c r="N34" s="31">
        <v>35000</v>
      </c>
      <c r="O34" s="31"/>
      <c r="P34" s="31"/>
      <c r="Q34" s="147"/>
      <c r="R34" s="31">
        <f>SUM(C34:N34)</f>
        <v>499291.03599999996</v>
      </c>
      <c r="S34" s="34"/>
      <c r="T34" s="5"/>
    </row>
    <row r="35" spans="1:20" ht="15.6" x14ac:dyDescent="0.3">
      <c r="A35" s="28"/>
      <c r="B35" s="29" t="s">
        <v>287</v>
      </c>
      <c r="C35" s="36"/>
      <c r="D35" s="35">
        <f>D36*D33</f>
        <v>0</v>
      </c>
      <c r="E35" s="36"/>
      <c r="F35" s="35">
        <f>F36*F33</f>
        <v>0</v>
      </c>
      <c r="G35" s="35"/>
      <c r="H35" s="35">
        <f>H36*H33</f>
        <v>193895.08799999999</v>
      </c>
      <c r="I35" s="36"/>
      <c r="J35" s="35">
        <f>J36*J33</f>
        <v>200252.304</v>
      </c>
      <c r="K35" s="35"/>
      <c r="L35" s="35">
        <v>65000</v>
      </c>
      <c r="M35" s="35"/>
      <c r="N35" s="35">
        <v>35000</v>
      </c>
      <c r="O35" s="35"/>
      <c r="P35" s="35"/>
      <c r="Q35" s="37"/>
      <c r="R35" s="35">
        <f>SUM(C35:N35)</f>
        <v>494147.39199999999</v>
      </c>
      <c r="S35" s="34"/>
      <c r="T35" s="5"/>
    </row>
    <row r="36" spans="1:20" ht="15.6" x14ac:dyDescent="0.3">
      <c r="A36" s="28"/>
      <c r="B36" s="123" t="s">
        <v>149</v>
      </c>
      <c r="C36" s="127"/>
      <c r="D36" s="172">
        <v>0</v>
      </c>
      <c r="E36" s="139"/>
      <c r="F36" s="172">
        <v>0</v>
      </c>
      <c r="G36" s="138"/>
      <c r="H36" s="172">
        <v>0.6357216</v>
      </c>
      <c r="I36" s="138"/>
      <c r="J36" s="172">
        <v>0.6357216</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0.64401779999999997</v>
      </c>
      <c r="I37" s="138"/>
      <c r="J37" s="172">
        <v>0.64401779999999997</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1.72438E-2</v>
      </c>
      <c r="I39" s="39"/>
      <c r="J39" s="38">
        <v>1.6150000000000001E-2</v>
      </c>
      <c r="K39" s="39"/>
      <c r="L39" s="38">
        <v>2.18438E-2</v>
      </c>
      <c r="M39" s="39"/>
      <c r="N39" s="38">
        <v>2.035E-2</v>
      </c>
      <c r="O39" s="39"/>
      <c r="P39" s="38"/>
      <c r="Q39" s="146"/>
      <c r="R39" s="39"/>
      <c r="S39" s="25"/>
      <c r="T39" s="5"/>
    </row>
    <row r="40" spans="1:20" ht="15.6" x14ac:dyDescent="0.3">
      <c r="A40" s="24"/>
      <c r="B40" s="25" t="s">
        <v>14</v>
      </c>
      <c r="C40" s="25"/>
      <c r="D40" s="38">
        <v>0</v>
      </c>
      <c r="E40" s="25"/>
      <c r="F40" s="38">
        <v>0</v>
      </c>
      <c r="G40" s="39"/>
      <c r="H40" s="38">
        <v>2.4562500000000001E-2</v>
      </c>
      <c r="I40" s="39"/>
      <c r="J40" s="38">
        <v>2.792E-2</v>
      </c>
      <c r="K40" s="39"/>
      <c r="L40" s="38">
        <v>2.9162500000000001E-2</v>
      </c>
      <c r="M40" s="39"/>
      <c r="N40" s="38">
        <v>3.2120000000000003E-2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1.72438E-2</v>
      </c>
      <c r="I42" s="39"/>
      <c r="J42" s="38">
        <v>1.7641799999999999E-2</v>
      </c>
      <c r="K42" s="39"/>
      <c r="L42" s="38">
        <f>+L39</f>
        <v>2.18438E-2</v>
      </c>
      <c r="M42" s="39"/>
      <c r="N42" s="38">
        <v>2.2220799999999999E-2</v>
      </c>
      <c r="O42" s="39"/>
      <c r="P42" s="38"/>
      <c r="Q42" s="146"/>
      <c r="R42" s="39">
        <f>SUMPRODUCT(D42:N42,D34:N34)/R34</f>
        <v>1.8353244135075556E-2</v>
      </c>
      <c r="S42" s="25"/>
      <c r="T42" s="5"/>
    </row>
    <row r="43" spans="1:20" ht="15.6" x14ac:dyDescent="0.3">
      <c r="A43" s="24"/>
      <c r="B43" s="25" t="s">
        <v>290</v>
      </c>
      <c r="C43" s="25"/>
      <c r="D43" s="38">
        <f>+D40</f>
        <v>0</v>
      </c>
      <c r="E43" s="25"/>
      <c r="F43" s="38">
        <v>0</v>
      </c>
      <c r="G43" s="39"/>
      <c r="H43" s="38">
        <f>+H40</f>
        <v>2.4562500000000001E-2</v>
      </c>
      <c r="I43" s="39"/>
      <c r="J43" s="38">
        <v>2.49605E-2</v>
      </c>
      <c r="K43" s="39"/>
      <c r="L43" s="38">
        <f>+L40</f>
        <v>2.9162500000000001E-2</v>
      </c>
      <c r="M43" s="39"/>
      <c r="N43" s="38">
        <v>2.95395E-2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0.25371219505620884</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40009</v>
      </c>
      <c r="S54" s="25"/>
      <c r="T54" s="5"/>
    </row>
    <row r="55" spans="1:21" ht="15.6" x14ac:dyDescent="0.3">
      <c r="A55" s="24"/>
      <c r="B55" s="25" t="s">
        <v>140</v>
      </c>
      <c r="C55" s="25"/>
      <c r="D55" s="25"/>
      <c r="E55" s="25"/>
      <c r="F55" s="25"/>
      <c r="G55" s="25"/>
      <c r="H55" s="58"/>
      <c r="I55" s="58"/>
      <c r="J55" s="58"/>
      <c r="K55" s="58"/>
      <c r="L55" s="58"/>
      <c r="M55" s="58"/>
      <c r="N55" s="25">
        <f>+R55-P55+1</f>
        <v>90</v>
      </c>
      <c r="O55" s="58"/>
      <c r="P55" s="45">
        <v>39828</v>
      </c>
      <c r="Q55" s="46"/>
      <c r="R55" s="45">
        <v>39917</v>
      </c>
      <c r="S55" s="25"/>
      <c r="T55" s="5"/>
    </row>
    <row r="56" spans="1:21" ht="15.6" x14ac:dyDescent="0.3">
      <c r="A56" s="24"/>
      <c r="B56" s="25" t="s">
        <v>141</v>
      </c>
      <c r="C56" s="25"/>
      <c r="D56" s="25"/>
      <c r="E56" s="25"/>
      <c r="F56" s="25"/>
      <c r="G56" s="25"/>
      <c r="H56" s="25"/>
      <c r="I56" s="25"/>
      <c r="J56" s="25"/>
      <c r="K56" s="25"/>
      <c r="L56" s="25"/>
      <c r="M56" s="25"/>
      <c r="N56" s="25">
        <f>+R56-P56+1</f>
        <v>91</v>
      </c>
      <c r="O56" s="25"/>
      <c r="P56" s="45">
        <v>39918</v>
      </c>
      <c r="Q56" s="46"/>
      <c r="R56" s="45">
        <v>40008</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39995</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284</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499291</v>
      </c>
      <c r="K67" s="34"/>
      <c r="L67" s="34">
        <f>5144+788+34</f>
        <v>5966</v>
      </c>
      <c r="M67" s="34"/>
      <c r="N67" s="34">
        <f>788+34</f>
        <v>822</v>
      </c>
      <c r="O67" s="34"/>
      <c r="P67" s="34">
        <v>0</v>
      </c>
      <c r="Q67" s="34"/>
      <c r="R67" s="53">
        <f>+J67-L67+N67-P67</f>
        <v>494147</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499291</v>
      </c>
      <c r="K70" s="34"/>
      <c r="L70" s="34">
        <f>SUM(L67:L69)</f>
        <v>5966</v>
      </c>
      <c r="M70" s="34"/>
      <c r="N70" s="34">
        <f>SUM(N67:N69)</f>
        <v>822</v>
      </c>
      <c r="O70" s="34"/>
      <c r="P70" s="34">
        <f>SUM(P67:P69)</f>
        <v>0</v>
      </c>
      <c r="Q70" s="34"/>
      <c r="R70" s="54">
        <f>SUM(R67:R69)</f>
        <v>494147</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499291</v>
      </c>
      <c r="K83" s="34"/>
      <c r="L83" s="34"/>
      <c r="M83" s="34"/>
      <c r="N83" s="34"/>
      <c r="O83" s="34"/>
      <c r="P83" s="54"/>
      <c r="Q83" s="34"/>
      <c r="R83" s="54">
        <f>SUM(R70:R82)</f>
        <v>494147</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39994</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5966-743</f>
        <v>5223</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5374+953-951-400+72+10</f>
        <v>5058</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288+3</f>
        <v>291</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114</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0</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277</v>
      </c>
      <c r="S94" s="25"/>
      <c r="T94" s="5"/>
    </row>
    <row r="95" spans="1:20" ht="15.6" x14ac:dyDescent="0.3">
      <c r="A95" s="24"/>
      <c r="B95" s="25" t="s">
        <v>35</v>
      </c>
      <c r="C95" s="25"/>
      <c r="D95" s="25"/>
      <c r="E95" s="25"/>
      <c r="F95" s="25"/>
      <c r="G95" s="25"/>
      <c r="H95" s="25"/>
      <c r="I95" s="25"/>
      <c r="J95" s="25"/>
      <c r="K95" s="25"/>
      <c r="L95" s="25"/>
      <c r="M95" s="25"/>
      <c r="N95" s="25"/>
      <c r="O95" s="25"/>
      <c r="P95" s="34">
        <f>SUM(P87:P94)</f>
        <v>5223</v>
      </c>
      <c r="Q95" s="25"/>
      <c r="R95" s="54">
        <f>SUM(R87:R94)</f>
        <v>5740</v>
      </c>
      <c r="S95" s="25"/>
      <c r="T95" s="5"/>
    </row>
    <row r="96" spans="1:20" ht="15.6" x14ac:dyDescent="0.3">
      <c r="A96" s="24"/>
      <c r="B96" s="25" t="s">
        <v>235</v>
      </c>
      <c r="C96" s="25"/>
      <c r="D96" s="25"/>
      <c r="E96" s="25"/>
      <c r="F96" s="25"/>
      <c r="G96" s="25"/>
      <c r="H96" s="25"/>
      <c r="I96" s="25"/>
      <c r="J96" s="25"/>
      <c r="K96" s="25"/>
      <c r="L96" s="25"/>
      <c r="M96" s="25"/>
      <c r="N96" s="25"/>
      <c r="O96" s="25"/>
      <c r="P96" s="34">
        <v>-10</v>
      </c>
      <c r="Q96" s="25"/>
      <c r="R96" s="54">
        <f>-P96</f>
        <v>10</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283</v>
      </c>
      <c r="S98" s="25"/>
      <c r="T98" s="5"/>
    </row>
    <row r="99" spans="1:21" ht="15.6" x14ac:dyDescent="0.3">
      <c r="A99" s="24"/>
      <c r="B99" s="25" t="s">
        <v>37</v>
      </c>
      <c r="C99" s="25"/>
      <c r="D99" s="25"/>
      <c r="E99" s="25"/>
      <c r="F99" s="25"/>
      <c r="G99" s="25"/>
      <c r="H99" s="25"/>
      <c r="I99" s="25"/>
      <c r="J99" s="25"/>
      <c r="K99" s="25"/>
      <c r="L99" s="25"/>
      <c r="M99" s="25"/>
      <c r="N99" s="25"/>
      <c r="O99" s="25"/>
      <c r="P99" s="34">
        <f>P95+P97+P96</f>
        <v>5213</v>
      </c>
      <c r="Q99" s="25"/>
      <c r="R99" s="54">
        <f>R95+R97+R96+R98</f>
        <v>6033</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-124-131-6</f>
        <v>-261</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-1646</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-845</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v>-892</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-354</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v>-194</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743</v>
      </c>
      <c r="Q113" s="25"/>
      <c r="R113" s="53">
        <v>-743</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34"/>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-251</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-835</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0</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-812</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-2531</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-2613</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-5956</v>
      </c>
      <c r="Q128" s="34"/>
      <c r="R128" s="34">
        <f>SUM(R100:R127)</f>
        <v>-6033</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JUNE 2009</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f>SUM(R147:R148)</f>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743</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743</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-743</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494147</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494147</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+'March 09'!O176</f>
        <v>81452</v>
      </c>
      <c r="P174" s="53">
        <f>+'March 09'!P176</f>
        <v>8271</v>
      </c>
      <c r="Q174" s="25"/>
      <c r="R174" s="53">
        <f>O174+P174</f>
        <v>89723</v>
      </c>
      <c r="S174" s="25"/>
      <c r="T174" s="5"/>
    </row>
    <row r="175" spans="1:20" ht="15.6" x14ac:dyDescent="0.3">
      <c r="A175" s="24"/>
      <c r="B175" s="25" t="s">
        <v>70</v>
      </c>
      <c r="C175" s="25"/>
      <c r="D175" s="25"/>
      <c r="E175" s="25"/>
      <c r="F175" s="25"/>
      <c r="G175" s="25"/>
      <c r="H175" s="25"/>
      <c r="I175" s="25"/>
      <c r="J175" s="25"/>
      <c r="K175" s="25"/>
      <c r="L175" s="25"/>
      <c r="M175" s="25"/>
      <c r="N175" s="25"/>
      <c r="O175" s="34">
        <f>788+24</f>
        <v>812</v>
      </c>
      <c r="P175" s="34">
        <f>-P96-P120</f>
        <v>10</v>
      </c>
      <c r="Q175" s="25"/>
      <c r="R175" s="53">
        <f>O175+P175</f>
        <v>822</v>
      </c>
      <c r="S175" s="25"/>
      <c r="T175" s="5"/>
    </row>
    <row r="176" spans="1:20" ht="15.6" x14ac:dyDescent="0.3">
      <c r="A176" s="24"/>
      <c r="B176" s="25" t="s">
        <v>71</v>
      </c>
      <c r="C176" s="25"/>
      <c r="D176" s="25"/>
      <c r="E176" s="25"/>
      <c r="F176" s="25"/>
      <c r="G176" s="25"/>
      <c r="H176" s="25"/>
      <c r="I176" s="25"/>
      <c r="J176" s="25"/>
      <c r="K176" s="25"/>
      <c r="L176" s="25"/>
      <c r="M176" s="25"/>
      <c r="N176" s="25"/>
      <c r="O176" s="53">
        <f>O174+O175</f>
        <v>82264</v>
      </c>
      <c r="P176" s="53">
        <f>P175+P174</f>
        <v>8281</v>
      </c>
      <c r="Q176" s="25"/>
      <c r="R176" s="53">
        <f>O176+P176</f>
        <v>90545</v>
      </c>
      <c r="S176" s="25"/>
      <c r="T176" s="5"/>
    </row>
    <row r="177" spans="1:20" ht="15.6" x14ac:dyDescent="0.3">
      <c r="A177" s="24"/>
      <c r="B177" s="25" t="s">
        <v>72</v>
      </c>
      <c r="C177" s="25"/>
      <c r="D177" s="25"/>
      <c r="E177" s="25"/>
      <c r="F177" s="25"/>
      <c r="G177" s="25"/>
      <c r="H177" s="25"/>
      <c r="I177" s="25"/>
      <c r="J177" s="25"/>
      <c r="K177" s="25"/>
      <c r="L177" s="25"/>
      <c r="M177" s="25"/>
      <c r="N177" s="25"/>
      <c r="O177" s="53">
        <f>O173-O176-P176</f>
        <v>69455</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2.3730569948186528</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1.42</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4.3521897810218979</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2.5299999999999998</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JUNE 2009</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39994</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4.079E-2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1.8353244135075556E-2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2.2436755864924444E-2</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1.2083133883847295E-2</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16.41</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1.1948943602027676E-2</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0.16289999999999999</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2</v>
      </c>
      <c r="P206" s="86">
        <v>79</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102</v>
      </c>
      <c r="P207" s="86">
        <f>+P245</f>
        <v>14358</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f>+N257</f>
        <v>3</v>
      </c>
      <c r="P208" s="86">
        <f>+P257</f>
        <v>97</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743</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'March 09'!P213+P212</f>
        <v>1281</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2</v>
      </c>
      <c r="P215" s="86">
        <v>84</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28.13</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9.99</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7</v>
      </c>
      <c r="P219" s="86">
        <v>1619</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9.58</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4056</v>
      </c>
      <c r="O224" s="95">
        <f t="shared" ref="O224:O231" si="1">N224/$N$233</f>
        <v>0.9764082811747713</v>
      </c>
      <c r="P224" s="53">
        <v>465006</v>
      </c>
      <c r="Q224" s="135">
        <f t="shared" ref="Q224:Q231" si="2">P224/$P$233</f>
        <v>0.96938452173477985</v>
      </c>
      <c r="R224" s="80"/>
      <c r="S224" s="89"/>
      <c r="T224" s="5"/>
    </row>
    <row r="225" spans="1:21" ht="15.6" x14ac:dyDescent="0.3">
      <c r="A225" s="24"/>
      <c r="B225" s="54" t="s">
        <v>100</v>
      </c>
      <c r="C225" s="94"/>
      <c r="D225" s="94"/>
      <c r="E225" s="94"/>
      <c r="F225" s="25"/>
      <c r="G225" s="95"/>
      <c r="H225" s="94"/>
      <c r="I225" s="94"/>
      <c r="J225" s="94"/>
      <c r="K225" s="94"/>
      <c r="L225" s="94"/>
      <c r="M225" s="94"/>
      <c r="N225" s="54">
        <v>66</v>
      </c>
      <c r="O225" s="95">
        <f t="shared" si="1"/>
        <v>1.5888300433317286E-2</v>
      </c>
      <c r="P225" s="53">
        <v>10777</v>
      </c>
      <c r="Q225" s="135">
        <f t="shared" si="2"/>
        <v>2.2466499337074623E-2</v>
      </c>
      <c r="R225" s="80"/>
      <c r="S225" s="89"/>
      <c r="T225" s="5"/>
      <c r="U225" s="110"/>
    </row>
    <row r="226" spans="1:21" ht="15.6" x14ac:dyDescent="0.3">
      <c r="A226" s="24"/>
      <c r="B226" s="54" t="s">
        <v>101</v>
      </c>
      <c r="C226" s="94"/>
      <c r="D226" s="94"/>
      <c r="E226" s="94"/>
      <c r="F226" s="25"/>
      <c r="G226" s="95"/>
      <c r="H226" s="94"/>
      <c r="I226" s="94"/>
      <c r="J226" s="94"/>
      <c r="K226" s="94"/>
      <c r="L226" s="94"/>
      <c r="M226" s="94"/>
      <c r="N226" s="54">
        <v>10</v>
      </c>
      <c r="O226" s="95">
        <f t="shared" si="1"/>
        <v>2.4073182474723159E-3</v>
      </c>
      <c r="P226" s="53">
        <v>672</v>
      </c>
      <c r="Q226" s="135">
        <f t="shared" si="2"/>
        <v>1.4008989101340027E-3</v>
      </c>
      <c r="R226" s="80"/>
      <c r="S226" s="89"/>
      <c r="T226" s="5"/>
    </row>
    <row r="227" spans="1:21" ht="15.6" x14ac:dyDescent="0.3">
      <c r="A227" s="24"/>
      <c r="B227" s="54" t="s">
        <v>210</v>
      </c>
      <c r="C227" s="94"/>
      <c r="D227" s="94"/>
      <c r="E227" s="94"/>
      <c r="F227" s="25"/>
      <c r="G227" s="95"/>
      <c r="H227" s="94"/>
      <c r="I227" s="94"/>
      <c r="J227" s="94"/>
      <c r="K227" s="94"/>
      <c r="L227" s="94"/>
      <c r="M227" s="94"/>
      <c r="N227" s="54">
        <v>5</v>
      </c>
      <c r="O227" s="95">
        <f t="shared" si="1"/>
        <v>1.203659123736158E-3</v>
      </c>
      <c r="P227" s="53">
        <v>417</v>
      </c>
      <c r="Q227" s="135">
        <f t="shared" si="2"/>
        <v>8.6930780584208202E-4</v>
      </c>
      <c r="R227" s="80"/>
      <c r="S227" s="89"/>
      <c r="T227" s="5"/>
      <c r="U227" s="110"/>
    </row>
    <row r="228" spans="1:21" ht="15.6" x14ac:dyDescent="0.3">
      <c r="A228" s="24"/>
      <c r="B228" s="54" t="s">
        <v>211</v>
      </c>
      <c r="C228" s="94"/>
      <c r="D228" s="94"/>
      <c r="E228" s="94"/>
      <c r="F228" s="25"/>
      <c r="G228" s="95"/>
      <c r="H228" s="94"/>
      <c r="I228" s="94"/>
      <c r="J228" s="94"/>
      <c r="K228" s="94"/>
      <c r="L228" s="94"/>
      <c r="M228" s="94"/>
      <c r="N228" s="54">
        <v>7</v>
      </c>
      <c r="O228" s="95">
        <f t="shared" si="1"/>
        <v>1.6851227732306211E-3</v>
      </c>
      <c r="P228" s="53">
        <v>1145</v>
      </c>
      <c r="Q228" s="135">
        <f t="shared" si="2"/>
        <v>2.3869482918205849E-3</v>
      </c>
      <c r="R228" s="80"/>
      <c r="S228" s="89"/>
      <c r="T228" s="5"/>
    </row>
    <row r="229" spans="1:21" ht="15.6" x14ac:dyDescent="0.3">
      <c r="A229" s="24"/>
      <c r="B229" s="54" t="s">
        <v>212</v>
      </c>
      <c r="C229" s="94"/>
      <c r="D229" s="94"/>
      <c r="E229" s="94"/>
      <c r="F229" s="25"/>
      <c r="G229" s="95"/>
      <c r="H229" s="94"/>
      <c r="I229" s="94"/>
      <c r="J229" s="94"/>
      <c r="K229" s="94"/>
      <c r="L229" s="94"/>
      <c r="M229" s="94"/>
      <c r="N229" s="54">
        <v>2</v>
      </c>
      <c r="O229" s="95">
        <f t="shared" si="1"/>
        <v>4.8146364949446316E-4</v>
      </c>
      <c r="P229" s="53">
        <v>933</v>
      </c>
      <c r="Q229" s="135">
        <f t="shared" si="2"/>
        <v>1.9449980404092626E-3</v>
      </c>
      <c r="R229" s="80"/>
      <c r="S229" s="89"/>
      <c r="T229" s="5"/>
      <c r="U229" s="110"/>
    </row>
    <row r="230" spans="1:21" ht="15.6" x14ac:dyDescent="0.3">
      <c r="A230" s="24"/>
      <c r="B230" s="54" t="s">
        <v>213</v>
      </c>
      <c r="C230" s="94"/>
      <c r="D230" s="94"/>
      <c r="E230" s="94"/>
      <c r="F230" s="25"/>
      <c r="G230" s="95"/>
      <c r="H230" s="94"/>
      <c r="I230" s="94"/>
      <c r="J230" s="94"/>
      <c r="K230" s="94"/>
      <c r="L230" s="94"/>
      <c r="M230" s="94"/>
      <c r="N230" s="54">
        <v>3</v>
      </c>
      <c r="O230" s="95">
        <f t="shared" si="1"/>
        <v>7.2219547424169476E-4</v>
      </c>
      <c r="P230" s="53">
        <v>389</v>
      </c>
      <c r="Q230" s="135">
        <f t="shared" si="2"/>
        <v>8.1093701791983192E-4</v>
      </c>
      <c r="R230" s="80"/>
      <c r="S230" s="89"/>
      <c r="T230" s="5"/>
    </row>
    <row r="231" spans="1:21" ht="15.6" x14ac:dyDescent="0.3">
      <c r="A231" s="24"/>
      <c r="B231" s="54" t="s">
        <v>214</v>
      </c>
      <c r="C231" s="94"/>
      <c r="D231" s="94"/>
      <c r="E231" s="94"/>
      <c r="F231" s="25"/>
      <c r="G231" s="95"/>
      <c r="H231" s="94"/>
      <c r="I231" s="94"/>
      <c r="J231" s="94"/>
      <c r="K231" s="94"/>
      <c r="L231" s="94"/>
      <c r="M231" s="94"/>
      <c r="N231" s="54">
        <v>5</v>
      </c>
      <c r="O231" s="95">
        <f t="shared" si="1"/>
        <v>1.203659123736158E-3</v>
      </c>
      <c r="P231" s="53">
        <v>353</v>
      </c>
      <c r="Q231" s="135">
        <f t="shared" si="2"/>
        <v>7.3588886201979601E-4</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4154</v>
      </c>
      <c r="O233" s="135">
        <f>SUM(O224:O232)</f>
        <v>1</v>
      </c>
      <c r="P233" s="53">
        <f>SUM(P224:P232)</f>
        <v>479692</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7</v>
      </c>
      <c r="O236" s="95">
        <f t="shared" ref="O236:O243" si="3">N236/$N$245</f>
        <v>6.8627450980392163E-2</v>
      </c>
      <c r="P236" s="53">
        <v>965</v>
      </c>
      <c r="Q236" s="135">
        <f t="shared" ref="Q236:Q243" si="4">P236/$P$245</f>
        <v>6.7209917815851797E-2</v>
      </c>
      <c r="R236" s="25"/>
      <c r="S236" s="25"/>
      <c r="T236" s="5"/>
    </row>
    <row r="237" spans="1:21" ht="15.6" x14ac:dyDescent="0.3">
      <c r="A237" s="24"/>
      <c r="B237" s="54" t="s">
        <v>100</v>
      </c>
      <c r="C237" s="94"/>
      <c r="D237" s="94"/>
      <c r="E237" s="94"/>
      <c r="F237" s="25"/>
      <c r="G237" s="95"/>
      <c r="H237" s="94"/>
      <c r="I237" s="94"/>
      <c r="J237" s="94"/>
      <c r="K237" s="94"/>
      <c r="L237" s="94"/>
      <c r="M237" s="94"/>
      <c r="N237" s="54">
        <v>43</v>
      </c>
      <c r="O237" s="95">
        <f t="shared" si="3"/>
        <v>0.42156862745098039</v>
      </c>
      <c r="P237" s="53">
        <v>6318</v>
      </c>
      <c r="Q237" s="135">
        <f t="shared" si="4"/>
        <v>0.44003343083994984</v>
      </c>
      <c r="R237" s="25"/>
      <c r="S237" s="25"/>
      <c r="T237" s="5"/>
    </row>
    <row r="238" spans="1:21" ht="15.6" x14ac:dyDescent="0.3">
      <c r="A238" s="24"/>
      <c r="B238" s="54" t="s">
        <v>101</v>
      </c>
      <c r="C238" s="94"/>
      <c r="D238" s="94"/>
      <c r="E238" s="94"/>
      <c r="F238" s="25"/>
      <c r="G238" s="95"/>
      <c r="H238" s="94"/>
      <c r="I238" s="94"/>
      <c r="J238" s="94"/>
      <c r="K238" s="94"/>
      <c r="L238" s="94"/>
      <c r="M238" s="94"/>
      <c r="N238" s="54">
        <v>11</v>
      </c>
      <c r="O238" s="95">
        <f t="shared" si="3"/>
        <v>0.10784313725490197</v>
      </c>
      <c r="P238" s="53">
        <v>1212</v>
      </c>
      <c r="Q238" s="135">
        <f t="shared" si="4"/>
        <v>8.4412870873380688E-2</v>
      </c>
      <c r="R238" s="25"/>
      <c r="S238" s="25"/>
      <c r="T238" s="5"/>
    </row>
    <row r="239" spans="1:21" ht="15.6" x14ac:dyDescent="0.3">
      <c r="A239" s="24"/>
      <c r="B239" s="54" t="s">
        <v>210</v>
      </c>
      <c r="C239" s="94"/>
      <c r="D239" s="94"/>
      <c r="E239" s="94"/>
      <c r="F239" s="25"/>
      <c r="G239" s="95"/>
      <c r="H239" s="94"/>
      <c r="I239" s="94"/>
      <c r="J239" s="94"/>
      <c r="K239" s="94"/>
      <c r="L239" s="94"/>
      <c r="M239" s="94"/>
      <c r="N239" s="54">
        <v>4</v>
      </c>
      <c r="O239" s="95">
        <f t="shared" si="3"/>
        <v>3.9215686274509803E-2</v>
      </c>
      <c r="P239" s="53">
        <v>701</v>
      </c>
      <c r="Q239" s="135">
        <f t="shared" si="4"/>
        <v>4.8822955843432235E-2</v>
      </c>
      <c r="R239" s="25"/>
      <c r="S239" s="25"/>
      <c r="T239" s="5"/>
    </row>
    <row r="240" spans="1:21" ht="15.6" x14ac:dyDescent="0.3">
      <c r="A240" s="24"/>
      <c r="B240" s="54" t="s">
        <v>211</v>
      </c>
      <c r="C240" s="94"/>
      <c r="D240" s="94"/>
      <c r="E240" s="94"/>
      <c r="F240" s="25"/>
      <c r="G240" s="95"/>
      <c r="H240" s="94"/>
      <c r="I240" s="94"/>
      <c r="J240" s="94"/>
      <c r="K240" s="94"/>
      <c r="L240" s="94"/>
      <c r="M240" s="94"/>
      <c r="N240" s="54">
        <v>2</v>
      </c>
      <c r="O240" s="95">
        <f t="shared" si="3"/>
        <v>1.9607843137254902E-2</v>
      </c>
      <c r="P240" s="53">
        <v>690</v>
      </c>
      <c r="Q240" s="135">
        <f t="shared" si="4"/>
        <v>4.8056832427914753E-2</v>
      </c>
      <c r="R240" s="25"/>
      <c r="S240" s="25"/>
      <c r="T240" s="5"/>
    </row>
    <row r="241" spans="1:20" ht="15.6" x14ac:dyDescent="0.3">
      <c r="A241" s="24"/>
      <c r="B241" s="54" t="s">
        <v>212</v>
      </c>
      <c r="C241" s="94"/>
      <c r="D241" s="94"/>
      <c r="E241" s="94"/>
      <c r="F241" s="25"/>
      <c r="G241" s="95"/>
      <c r="H241" s="94"/>
      <c r="I241" s="94"/>
      <c r="J241" s="94"/>
      <c r="K241" s="94"/>
      <c r="L241" s="94"/>
      <c r="M241" s="94"/>
      <c r="N241" s="54">
        <v>2</v>
      </c>
      <c r="O241" s="95">
        <f t="shared" si="3"/>
        <v>1.9607843137254902E-2</v>
      </c>
      <c r="P241" s="53">
        <v>273</v>
      </c>
      <c r="Q241" s="135">
        <f t="shared" si="4"/>
        <v>1.9013790221479313E-2</v>
      </c>
      <c r="R241" s="25"/>
      <c r="S241" s="25"/>
      <c r="T241" s="5"/>
    </row>
    <row r="242" spans="1:20" ht="15.6" x14ac:dyDescent="0.3">
      <c r="A242" s="24"/>
      <c r="B242" s="54" t="s">
        <v>213</v>
      </c>
      <c r="C242" s="94"/>
      <c r="D242" s="94"/>
      <c r="E242" s="94"/>
      <c r="F242" s="25"/>
      <c r="G242" s="95"/>
      <c r="H242" s="94"/>
      <c r="I242" s="94"/>
      <c r="J242" s="94"/>
      <c r="K242" s="94"/>
      <c r="L242" s="94"/>
      <c r="M242" s="94"/>
      <c r="N242" s="54">
        <v>9</v>
      </c>
      <c r="O242" s="95">
        <f t="shared" si="3"/>
        <v>8.8235294117647065E-2</v>
      </c>
      <c r="P242" s="53">
        <v>1275</v>
      </c>
      <c r="Q242" s="135">
        <f t="shared" si="4"/>
        <v>8.8800668616799E-2</v>
      </c>
      <c r="R242" s="25"/>
      <c r="S242" s="25"/>
      <c r="T242" s="5"/>
    </row>
    <row r="243" spans="1:20" ht="15.6" x14ac:dyDescent="0.3">
      <c r="A243" s="24"/>
      <c r="B243" s="54" t="s">
        <v>214</v>
      </c>
      <c r="C243" s="94"/>
      <c r="D243" s="94"/>
      <c r="E243" s="94"/>
      <c r="F243" s="25"/>
      <c r="G243" s="95"/>
      <c r="H243" s="94"/>
      <c r="I243" s="94"/>
      <c r="J243" s="94"/>
      <c r="K243" s="94"/>
      <c r="L243" s="94"/>
      <c r="M243" s="94"/>
      <c r="N243" s="54">
        <v>24</v>
      </c>
      <c r="O243" s="95">
        <f t="shared" si="3"/>
        <v>0.23529411764705882</v>
      </c>
      <c r="P243" s="53">
        <v>2924</v>
      </c>
      <c r="Q243" s="135">
        <f t="shared" si="4"/>
        <v>0.20364953336119238</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102</v>
      </c>
      <c r="O245" s="135">
        <f>SUM(O236:O244)</f>
        <v>1.0000000000000002</v>
      </c>
      <c r="P245" s="53">
        <f>SUM(P236:P244)</f>
        <v>14358</v>
      </c>
      <c r="Q245" s="135">
        <f>SUM(Q236:Q244)</f>
        <v>1</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f t="shared" ref="O248:O255" si="5">N248/$N$257</f>
        <v>0</v>
      </c>
      <c r="P248" s="53">
        <v>0</v>
      </c>
      <c r="Q248" s="95">
        <f t="shared" ref="Q248:Q255" si="6">P248/$P$257</f>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f t="shared" si="5"/>
        <v>0</v>
      </c>
      <c r="P249" s="53">
        <v>0</v>
      </c>
      <c r="Q249" s="95">
        <f t="shared" si="6"/>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f t="shared" si="5"/>
        <v>0</v>
      </c>
      <c r="P250" s="53">
        <v>0</v>
      </c>
      <c r="Q250" s="95">
        <f t="shared" si="6"/>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f t="shared" si="5"/>
        <v>0</v>
      </c>
      <c r="P251" s="53">
        <v>0</v>
      </c>
      <c r="Q251" s="95">
        <f t="shared" si="6"/>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f t="shared" si="5"/>
        <v>0</v>
      </c>
      <c r="P252" s="53">
        <v>0</v>
      </c>
      <c r="Q252" s="95">
        <f t="shared" si="6"/>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f t="shared" si="5"/>
        <v>0</v>
      </c>
      <c r="P253" s="53">
        <v>0</v>
      </c>
      <c r="Q253" s="95">
        <f t="shared" si="6"/>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2</v>
      </c>
      <c r="O254" s="95">
        <f t="shared" si="5"/>
        <v>0.66666666666666663</v>
      </c>
      <c r="P254" s="53">
        <v>53</v>
      </c>
      <c r="Q254" s="95">
        <f t="shared" si="6"/>
        <v>0.54639175257731953</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1</v>
      </c>
      <c r="O255" s="95">
        <f t="shared" si="5"/>
        <v>0.33333333333333331</v>
      </c>
      <c r="P255" s="53">
        <v>44</v>
      </c>
      <c r="Q255" s="95">
        <f t="shared" si="6"/>
        <v>0.45360824742268041</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3</v>
      </c>
      <c r="O257" s="95">
        <f>SUM(O248:O255)</f>
        <v>1</v>
      </c>
      <c r="P257" s="53">
        <f>SUM(P248:P255)</f>
        <v>97</v>
      </c>
      <c r="Q257" s="135">
        <f>SUM(Q248:Q255)</f>
        <v>1</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4259</v>
      </c>
      <c r="O259" s="158"/>
      <c r="P259" s="159">
        <f>+P257+P245+P233</f>
        <v>494147</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JUNE 2009</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0.88039999999999996</v>
      </c>
      <c r="P16" s="17" t="s">
        <v>161</v>
      </c>
      <c r="Q16" s="140">
        <v>0.1196</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40106</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193895.08799999999</v>
      </c>
      <c r="I31" s="31"/>
      <c r="J31" s="125">
        <f>J30*J37</f>
        <v>287981.8848</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192948.67300000001</v>
      </c>
      <c r="I32" s="36"/>
      <c r="J32" s="126">
        <f>J36*J30</f>
        <v>286576.22580000001</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193895.08799999999</v>
      </c>
      <c r="I34" s="31"/>
      <c r="J34" s="31">
        <f>J33*J37</f>
        <v>200252.304</v>
      </c>
      <c r="K34" s="31"/>
      <c r="L34" s="31">
        <v>65000</v>
      </c>
      <c r="M34" s="31"/>
      <c r="N34" s="31">
        <v>35000</v>
      </c>
      <c r="O34" s="31"/>
      <c r="P34" s="31"/>
      <c r="Q34" s="147"/>
      <c r="R34" s="31">
        <f>SUM(C34:N34)</f>
        <v>494147.39199999999</v>
      </c>
      <c r="S34" s="34"/>
      <c r="T34" s="5"/>
    </row>
    <row r="35" spans="1:20" ht="15.6" x14ac:dyDescent="0.3">
      <c r="A35" s="28"/>
      <c r="B35" s="29" t="s">
        <v>287</v>
      </c>
      <c r="C35" s="36"/>
      <c r="D35" s="35">
        <f>D36*D33</f>
        <v>0</v>
      </c>
      <c r="E35" s="36"/>
      <c r="F35" s="35">
        <f>F36*F33</f>
        <v>0</v>
      </c>
      <c r="G35" s="35"/>
      <c r="H35" s="35">
        <f>H36*H33</f>
        <v>192948.67300000001</v>
      </c>
      <c r="I35" s="36"/>
      <c r="J35" s="35">
        <f>J36*J33</f>
        <v>199274.859</v>
      </c>
      <c r="K35" s="35"/>
      <c r="L35" s="35">
        <v>65000</v>
      </c>
      <c r="M35" s="35"/>
      <c r="N35" s="35">
        <v>35000</v>
      </c>
      <c r="O35" s="35"/>
      <c r="P35" s="35"/>
      <c r="Q35" s="37"/>
      <c r="R35" s="35">
        <f>SUM(C35:N35)</f>
        <v>492223.53200000001</v>
      </c>
      <c r="S35" s="34"/>
      <c r="T35" s="5"/>
    </row>
    <row r="36" spans="1:20" ht="15.6" x14ac:dyDescent="0.3">
      <c r="A36" s="28"/>
      <c r="B36" s="123" t="s">
        <v>149</v>
      </c>
      <c r="C36" s="127"/>
      <c r="D36" s="172">
        <v>0</v>
      </c>
      <c r="E36" s="139"/>
      <c r="F36" s="172">
        <v>0</v>
      </c>
      <c r="G36" s="138"/>
      <c r="H36" s="172">
        <v>0.63261860000000003</v>
      </c>
      <c r="I36" s="138"/>
      <c r="J36" s="172">
        <v>0.63261860000000003</v>
      </c>
      <c r="K36" s="138"/>
      <c r="L36" s="172">
        <v>1</v>
      </c>
      <c r="M36" s="138"/>
      <c r="N36" s="172">
        <v>1</v>
      </c>
      <c r="O36" s="31"/>
      <c r="P36" s="31"/>
      <c r="Q36" s="147"/>
      <c r="R36" s="31"/>
      <c r="S36" s="34"/>
      <c r="T36" s="5"/>
    </row>
    <row r="37" spans="1:20" ht="15.6" x14ac:dyDescent="0.3">
      <c r="A37" s="28"/>
      <c r="B37" s="123" t="s">
        <v>150</v>
      </c>
      <c r="C37" s="127"/>
      <c r="D37" s="172">
        <v>0</v>
      </c>
      <c r="E37" s="139"/>
      <c r="F37" s="172">
        <v>0</v>
      </c>
      <c r="G37" s="138"/>
      <c r="H37" s="172">
        <v>0.6357216</v>
      </c>
      <c r="I37" s="138"/>
      <c r="J37" s="172">
        <v>0.6357216</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1.18213E-2</v>
      </c>
      <c r="I39" s="39"/>
      <c r="J39" s="38">
        <v>1.176E-2</v>
      </c>
      <c r="K39" s="39"/>
      <c r="L39" s="38">
        <v>1.64213E-2</v>
      </c>
      <c r="M39" s="39"/>
      <c r="N39" s="38">
        <v>1.5959999999999998E-2</v>
      </c>
      <c r="O39" s="39"/>
      <c r="P39" s="38"/>
      <c r="Q39" s="146"/>
      <c r="R39" s="39"/>
      <c r="S39" s="25"/>
      <c r="T39" s="5"/>
    </row>
    <row r="40" spans="1:20" ht="15.6" x14ac:dyDescent="0.3">
      <c r="A40" s="24"/>
      <c r="B40" s="25" t="s">
        <v>14</v>
      </c>
      <c r="C40" s="25"/>
      <c r="D40" s="38">
        <v>0</v>
      </c>
      <c r="E40" s="25"/>
      <c r="F40" s="38">
        <v>0</v>
      </c>
      <c r="G40" s="39"/>
      <c r="H40" s="38">
        <v>1.72438E-2</v>
      </c>
      <c r="I40" s="39"/>
      <c r="J40" s="38">
        <v>1.6150000000000001E-2</v>
      </c>
      <c r="K40" s="39"/>
      <c r="L40" s="38">
        <v>2.18438E-2</v>
      </c>
      <c r="M40" s="39"/>
      <c r="N40" s="38">
        <v>2.035E-2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1.18213E-2</v>
      </c>
      <c r="I42" s="39"/>
      <c r="J42" s="38">
        <v>1.2219300000000001E-2</v>
      </c>
      <c r="K42" s="39"/>
      <c r="L42" s="38">
        <f>+L39</f>
        <v>1.64213E-2</v>
      </c>
      <c r="M42" s="39"/>
      <c r="N42" s="38">
        <v>1.6798299999999999E-2</v>
      </c>
      <c r="O42" s="39"/>
      <c r="P42" s="38"/>
      <c r="Q42" s="146"/>
      <c r="R42" s="39">
        <f>SUMPRODUCT(D42:N42,D34:N34)/R34</f>
        <v>1.2940187655673389E-2</v>
      </c>
      <c r="S42" s="25"/>
      <c r="T42" s="5"/>
    </row>
    <row r="43" spans="1:20" ht="15.6" x14ac:dyDescent="0.3">
      <c r="A43" s="24"/>
      <c r="B43" s="25" t="s">
        <v>290</v>
      </c>
      <c r="C43" s="25"/>
      <c r="D43" s="38">
        <f>+D40</f>
        <v>0</v>
      </c>
      <c r="E43" s="25"/>
      <c r="F43" s="38">
        <v>0</v>
      </c>
      <c r="G43" s="39"/>
      <c r="H43" s="38">
        <f>+H40</f>
        <v>1.72438E-2</v>
      </c>
      <c r="I43" s="39"/>
      <c r="J43" s="38">
        <v>1.7641799999999999E-2</v>
      </c>
      <c r="K43" s="39"/>
      <c r="L43" s="38">
        <f>+L40</f>
        <v>2.18438E-2</v>
      </c>
      <c r="M43" s="39"/>
      <c r="N43" s="38">
        <v>2.2220799999999999E-2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0.25495665568581949</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40101</v>
      </c>
      <c r="S54" s="25"/>
      <c r="T54" s="5"/>
    </row>
    <row r="55" spans="1:21" ht="15.6" x14ac:dyDescent="0.3">
      <c r="A55" s="24"/>
      <c r="B55" s="25" t="s">
        <v>140</v>
      </c>
      <c r="C55" s="25"/>
      <c r="D55" s="25"/>
      <c r="E55" s="25"/>
      <c r="F55" s="25"/>
      <c r="G55" s="25"/>
      <c r="H55" s="58"/>
      <c r="I55" s="58"/>
      <c r="J55" s="58"/>
      <c r="K55" s="58"/>
      <c r="L55" s="58"/>
      <c r="M55" s="58"/>
      <c r="N55" s="25">
        <f>+R55-P55+1</f>
        <v>91</v>
      </c>
      <c r="O55" s="58"/>
      <c r="P55" s="45">
        <v>39918</v>
      </c>
      <c r="Q55" s="46"/>
      <c r="R55" s="45">
        <v>40008</v>
      </c>
      <c r="S55" s="25"/>
      <c r="T55" s="5"/>
    </row>
    <row r="56" spans="1:21" ht="15.6" x14ac:dyDescent="0.3">
      <c r="A56" s="24"/>
      <c r="B56" s="25" t="s">
        <v>141</v>
      </c>
      <c r="C56" s="25"/>
      <c r="D56" s="25"/>
      <c r="E56" s="25"/>
      <c r="F56" s="25"/>
      <c r="G56" s="25"/>
      <c r="H56" s="25"/>
      <c r="I56" s="25"/>
      <c r="J56" s="25"/>
      <c r="K56" s="25"/>
      <c r="L56" s="25"/>
      <c r="M56" s="25"/>
      <c r="N56" s="25">
        <f>+R56-P56+1</f>
        <v>92</v>
      </c>
      <c r="O56" s="25"/>
      <c r="P56" s="45">
        <v>40009</v>
      </c>
      <c r="Q56" s="46"/>
      <c r="R56" s="45">
        <v>40100</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40087</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292</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494147</v>
      </c>
      <c r="K67" s="34"/>
      <c r="L67" s="34">
        <f>1923+1222+13</f>
        <v>3158</v>
      </c>
      <c r="M67" s="34"/>
      <c r="N67" s="34">
        <f>1222+13</f>
        <v>1235</v>
      </c>
      <c r="O67" s="34"/>
      <c r="P67" s="34">
        <v>0</v>
      </c>
      <c r="Q67" s="34"/>
      <c r="R67" s="53">
        <f>+J67-L67+N67-P67</f>
        <v>492224</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494147</v>
      </c>
      <c r="K70" s="34"/>
      <c r="L70" s="34">
        <f>SUM(L67:L69)</f>
        <v>3158</v>
      </c>
      <c r="M70" s="34"/>
      <c r="N70" s="34">
        <f>SUM(N67:N69)</f>
        <v>1235</v>
      </c>
      <c r="O70" s="34"/>
      <c r="P70" s="34">
        <f>SUM(P67:P69)</f>
        <v>0</v>
      </c>
      <c r="Q70" s="34"/>
      <c r="R70" s="54">
        <f>SUM(R67:R69)</f>
        <v>492224</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494147</v>
      </c>
      <c r="K83" s="34"/>
      <c r="L83" s="34"/>
      <c r="M83" s="34"/>
      <c r="N83" s="34"/>
      <c r="O83" s="34"/>
      <c r="P83" s="54"/>
      <c r="Q83" s="34"/>
      <c r="R83" s="54">
        <f>SUM(R70:R82)</f>
        <v>492224</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+P189</f>
        <v>40086</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3158-100</f>
        <v>3058</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4774+630-845-129+40+10</f>
        <v>4480</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72+6</f>
        <v>78</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71</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0</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64</v>
      </c>
      <c r="S94" s="25"/>
      <c r="T94" s="5"/>
    </row>
    <row r="95" spans="1:20" ht="15.6" x14ac:dyDescent="0.3">
      <c r="A95" s="24"/>
      <c r="B95" s="25" t="s">
        <v>35</v>
      </c>
      <c r="C95" s="25"/>
      <c r="D95" s="25"/>
      <c r="E95" s="25"/>
      <c r="F95" s="25"/>
      <c r="G95" s="25"/>
      <c r="H95" s="25"/>
      <c r="I95" s="25"/>
      <c r="J95" s="25"/>
      <c r="K95" s="25"/>
      <c r="L95" s="25"/>
      <c r="M95" s="25"/>
      <c r="N95" s="25"/>
      <c r="O95" s="25"/>
      <c r="P95" s="34">
        <f>SUM(P87:P94)</f>
        <v>3058</v>
      </c>
      <c r="Q95" s="25"/>
      <c r="R95" s="54">
        <f>SUM(R87:R94)</f>
        <v>4693</v>
      </c>
      <c r="S95" s="25"/>
      <c r="T95" s="5"/>
    </row>
    <row r="96" spans="1:20" ht="15.6" x14ac:dyDescent="0.3">
      <c r="A96" s="24"/>
      <c r="B96" s="25" t="s">
        <v>235</v>
      </c>
      <c r="C96" s="25"/>
      <c r="D96" s="25"/>
      <c r="E96" s="25"/>
      <c r="F96" s="25"/>
      <c r="G96" s="25"/>
      <c r="H96" s="25"/>
      <c r="I96" s="25"/>
      <c r="J96" s="25"/>
      <c r="K96" s="25"/>
      <c r="L96" s="25"/>
      <c r="M96" s="25"/>
      <c r="N96" s="25"/>
      <c r="O96" s="25"/>
      <c r="P96" s="34">
        <v>-5</v>
      </c>
      <c r="Q96" s="25"/>
      <c r="R96" s="54">
        <f>-P96</f>
        <v>5</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-258</v>
      </c>
      <c r="S98" s="25"/>
      <c r="T98" s="5"/>
    </row>
    <row r="99" spans="1:21" ht="15.6" x14ac:dyDescent="0.3">
      <c r="A99" s="24"/>
      <c r="B99" s="25" t="s">
        <v>37</v>
      </c>
      <c r="C99" s="25"/>
      <c r="D99" s="25"/>
      <c r="E99" s="25"/>
      <c r="F99" s="25"/>
      <c r="G99" s="25"/>
      <c r="H99" s="25"/>
      <c r="I99" s="25"/>
      <c r="J99" s="25"/>
      <c r="K99" s="25"/>
      <c r="L99" s="25"/>
      <c r="M99" s="25"/>
      <c r="N99" s="25"/>
      <c r="O99" s="25"/>
      <c r="P99" s="34">
        <f>P95+P97+P96</f>
        <v>3053</v>
      </c>
      <c r="Q99" s="25"/>
      <c r="R99" s="54">
        <f>R95+R97+R96+R98</f>
        <v>4440</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-124-172-6</f>
        <v>-302</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-1404</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-2</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-578</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v>-617</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-269</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v>-148</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100</v>
      </c>
      <c r="Q113" s="25"/>
      <c r="R113" s="53">
        <v>-100</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34"/>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-252</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-758</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0</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-O175</f>
        <v>-1230</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-946</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-977</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0</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-3153</v>
      </c>
      <c r="Q128" s="34"/>
      <c r="R128" s="34">
        <f>SUM(R100:R127)</f>
        <v>-4440</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SEPTEMBER 2009</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265</v>
      </c>
      <c r="C149" s="25"/>
      <c r="D149" s="25"/>
      <c r="E149" s="25"/>
      <c r="F149" s="25"/>
      <c r="G149" s="25"/>
      <c r="H149" s="25"/>
      <c r="I149" s="25"/>
      <c r="J149" s="25"/>
      <c r="K149" s="25"/>
      <c r="L149" s="25"/>
      <c r="M149" s="25"/>
      <c r="N149" s="25"/>
      <c r="O149" s="25"/>
      <c r="P149" s="25"/>
      <c r="Q149" s="25"/>
      <c r="R149" s="53">
        <v>5000</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100</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100</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-100</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6.2" thickBot="1" x14ac:dyDescent="0.35">
      <c r="A164" s="24"/>
      <c r="B164" s="25"/>
      <c r="C164" s="25"/>
      <c r="D164" s="25"/>
      <c r="E164" s="25"/>
      <c r="F164" s="25"/>
      <c r="G164" s="25"/>
      <c r="H164" s="25"/>
      <c r="I164" s="25"/>
      <c r="J164" s="25"/>
      <c r="K164" s="25"/>
      <c r="L164" s="25"/>
      <c r="M164" s="25"/>
      <c r="N164" s="25"/>
      <c r="O164" s="25"/>
      <c r="P164" s="25"/>
      <c r="Q164" s="25"/>
      <c r="R164" s="61"/>
      <c r="S164" s="25"/>
      <c r="T164" s="5"/>
    </row>
    <row r="165" spans="1:20" ht="15.6" x14ac:dyDescent="0.3">
      <c r="A165" s="2"/>
      <c r="B165" s="4"/>
      <c r="C165" s="4"/>
      <c r="D165" s="4"/>
      <c r="E165" s="4"/>
      <c r="F165" s="4"/>
      <c r="G165" s="4"/>
      <c r="H165" s="4"/>
      <c r="I165" s="4"/>
      <c r="J165" s="4"/>
      <c r="K165" s="4"/>
      <c r="L165" s="4"/>
      <c r="M165" s="4"/>
      <c r="N165" s="4"/>
      <c r="O165" s="4"/>
      <c r="P165" s="4"/>
      <c r="Q165" s="4"/>
      <c r="R165" s="50"/>
      <c r="S165" s="4"/>
      <c r="T165" s="5"/>
    </row>
    <row r="166" spans="1:20" ht="15.6" x14ac:dyDescent="0.3">
      <c r="A166" s="6"/>
      <c r="B166" s="120" t="s">
        <v>64</v>
      </c>
      <c r="C166" s="8"/>
      <c r="D166" s="8"/>
      <c r="E166" s="8"/>
      <c r="F166" s="8"/>
      <c r="G166" s="8"/>
      <c r="H166" s="8"/>
      <c r="I166" s="8"/>
      <c r="J166" s="8"/>
      <c r="K166" s="8"/>
      <c r="L166" s="8"/>
      <c r="M166" s="8"/>
      <c r="N166" s="8"/>
      <c r="O166" s="8"/>
      <c r="P166" s="8"/>
      <c r="Q166" s="8"/>
      <c r="R166" s="52"/>
      <c r="S166" s="8"/>
      <c r="T166" s="5"/>
    </row>
    <row r="167" spans="1:20" ht="15.6" x14ac:dyDescent="0.3">
      <c r="A167" s="6"/>
      <c r="B167" s="21"/>
      <c r="C167" s="8"/>
      <c r="D167" s="8"/>
      <c r="E167" s="8"/>
      <c r="F167" s="8"/>
      <c r="G167" s="8"/>
      <c r="H167" s="8"/>
      <c r="I167" s="8"/>
      <c r="J167" s="8"/>
      <c r="K167" s="8"/>
      <c r="L167" s="8"/>
      <c r="M167" s="8"/>
      <c r="N167" s="8"/>
      <c r="O167" s="8"/>
      <c r="P167" s="8"/>
      <c r="Q167" s="8"/>
      <c r="R167" s="52"/>
      <c r="S167" s="8"/>
      <c r="T167" s="5"/>
    </row>
    <row r="168" spans="1:20" ht="15.6" x14ac:dyDescent="0.3">
      <c r="A168" s="24"/>
      <c r="B168" s="25" t="s">
        <v>65</v>
      </c>
      <c r="C168" s="25"/>
      <c r="D168" s="25"/>
      <c r="E168" s="25"/>
      <c r="F168" s="25"/>
      <c r="G168" s="25"/>
      <c r="H168" s="25"/>
      <c r="I168" s="25"/>
      <c r="J168" s="25"/>
      <c r="K168" s="25"/>
      <c r="L168" s="25"/>
      <c r="M168" s="25"/>
      <c r="N168" s="25"/>
      <c r="O168" s="25"/>
      <c r="P168" s="25"/>
      <c r="Q168" s="25"/>
      <c r="R168" s="53">
        <f>R70</f>
        <v>492224</v>
      </c>
      <c r="S168" s="25"/>
      <c r="T168" s="5"/>
    </row>
    <row r="169" spans="1:20" ht="15.6" x14ac:dyDescent="0.3">
      <c r="A169" s="24"/>
      <c r="B169" s="25" t="s">
        <v>66</v>
      </c>
      <c r="C169" s="25"/>
      <c r="D169" s="25"/>
      <c r="E169" s="25"/>
      <c r="F169" s="25"/>
      <c r="G169" s="25"/>
      <c r="H169" s="25"/>
      <c r="I169" s="25"/>
      <c r="J169" s="25"/>
      <c r="K169" s="25"/>
      <c r="L169" s="25"/>
      <c r="M169" s="25"/>
      <c r="N169" s="25"/>
      <c r="O169" s="25"/>
      <c r="P169" s="25"/>
      <c r="Q169" s="25"/>
      <c r="R169" s="53">
        <f>R83</f>
        <v>492224</v>
      </c>
      <c r="S169" s="25"/>
      <c r="T169" s="5"/>
    </row>
    <row r="170" spans="1:20" ht="16.2" thickBot="1" x14ac:dyDescent="0.35">
      <c r="A170" s="24"/>
      <c r="B170" s="25"/>
      <c r="C170" s="25"/>
      <c r="D170" s="25"/>
      <c r="E170" s="25"/>
      <c r="F170" s="25"/>
      <c r="G170" s="25"/>
      <c r="H170" s="25"/>
      <c r="I170" s="25"/>
      <c r="J170" s="25"/>
      <c r="K170" s="25"/>
      <c r="L170" s="25"/>
      <c r="M170" s="25"/>
      <c r="N170" s="25"/>
      <c r="O170" s="25"/>
      <c r="P170" s="25"/>
      <c r="Q170" s="25"/>
      <c r="R170" s="61"/>
      <c r="S170" s="25"/>
      <c r="T170" s="5"/>
    </row>
    <row r="171" spans="1:20" ht="15.6" x14ac:dyDescent="0.3">
      <c r="A171" s="2"/>
      <c r="B171" s="4"/>
      <c r="C171" s="4"/>
      <c r="D171" s="4"/>
      <c r="E171" s="4"/>
      <c r="F171" s="4"/>
      <c r="G171" s="4"/>
      <c r="H171" s="4"/>
      <c r="I171" s="4"/>
      <c r="J171" s="4"/>
      <c r="K171" s="4"/>
      <c r="L171" s="4"/>
      <c r="M171" s="4"/>
      <c r="N171" s="4"/>
      <c r="O171" s="4"/>
      <c r="P171" s="4"/>
      <c r="Q171" s="4"/>
      <c r="R171" s="50"/>
      <c r="S171" s="4"/>
      <c r="T171" s="5"/>
    </row>
    <row r="172" spans="1:20" ht="15.6" x14ac:dyDescent="0.3">
      <c r="A172" s="6"/>
      <c r="B172" s="120" t="s">
        <v>67</v>
      </c>
      <c r="C172" s="118"/>
      <c r="D172" s="118"/>
      <c r="E172" s="118"/>
      <c r="F172" s="118"/>
      <c r="G172" s="118"/>
      <c r="H172" s="121"/>
      <c r="I172" s="121"/>
      <c r="J172" s="121"/>
      <c r="K172" s="121"/>
      <c r="L172" s="121"/>
      <c r="M172" s="121"/>
      <c r="N172" s="121"/>
      <c r="O172" s="121" t="s">
        <v>112</v>
      </c>
      <c r="P172" s="121" t="s">
        <v>120</v>
      </c>
      <c r="Q172" s="112"/>
      <c r="R172" s="122" t="s">
        <v>129</v>
      </c>
      <c r="S172" s="10"/>
      <c r="T172" s="5"/>
    </row>
    <row r="173" spans="1:20" ht="15.6" x14ac:dyDescent="0.3">
      <c r="A173" s="24"/>
      <c r="B173" s="25" t="s">
        <v>68</v>
      </c>
      <c r="C173" s="25"/>
      <c r="D173" s="25"/>
      <c r="E173" s="25"/>
      <c r="F173" s="25"/>
      <c r="G173" s="25"/>
      <c r="H173" s="25"/>
      <c r="I173" s="25"/>
      <c r="J173" s="25"/>
      <c r="K173" s="25"/>
      <c r="L173" s="25"/>
      <c r="M173" s="25"/>
      <c r="N173" s="25"/>
      <c r="O173" s="53">
        <v>160000</v>
      </c>
      <c r="P173" s="40"/>
      <c r="Q173" s="25"/>
      <c r="R173" s="53"/>
      <c r="S173" s="25"/>
      <c r="T173" s="5"/>
    </row>
    <row r="174" spans="1:20" ht="15.6" x14ac:dyDescent="0.3">
      <c r="A174" s="24"/>
      <c r="B174" s="25" t="s">
        <v>69</v>
      </c>
      <c r="C174" s="25"/>
      <c r="D174" s="25"/>
      <c r="E174" s="25"/>
      <c r="F174" s="25"/>
      <c r="G174" s="25"/>
      <c r="H174" s="25"/>
      <c r="I174" s="25"/>
      <c r="J174" s="25"/>
      <c r="K174" s="25"/>
      <c r="L174" s="25"/>
      <c r="M174" s="25"/>
      <c r="N174" s="25"/>
      <c r="O174" s="53">
        <f>+'June 09'!O176</f>
        <v>82264</v>
      </c>
      <c r="P174" s="53">
        <f>+'June 09'!P176</f>
        <v>8281</v>
      </c>
      <c r="Q174" s="25"/>
      <c r="R174" s="53">
        <f>O174+P174</f>
        <v>90545</v>
      </c>
      <c r="S174" s="25"/>
      <c r="T174" s="5"/>
    </row>
    <row r="175" spans="1:20" ht="15.6" x14ac:dyDescent="0.3">
      <c r="A175" s="24"/>
      <c r="B175" s="25" t="s">
        <v>70</v>
      </c>
      <c r="C175" s="25"/>
      <c r="D175" s="25"/>
      <c r="E175" s="25"/>
      <c r="F175" s="25"/>
      <c r="G175" s="25"/>
      <c r="H175" s="25"/>
      <c r="I175" s="25"/>
      <c r="J175" s="25"/>
      <c r="K175" s="25"/>
      <c r="L175" s="25"/>
      <c r="M175" s="25"/>
      <c r="N175" s="25"/>
      <c r="O175" s="34">
        <f>1222+8</f>
        <v>1230</v>
      </c>
      <c r="P175" s="34">
        <f>-P96-P120</f>
        <v>5</v>
      </c>
      <c r="Q175" s="25"/>
      <c r="R175" s="53">
        <f>O175+P175</f>
        <v>1235</v>
      </c>
      <c r="S175" s="25"/>
      <c r="T175" s="5"/>
    </row>
    <row r="176" spans="1:20" ht="15.6" x14ac:dyDescent="0.3">
      <c r="A176" s="24"/>
      <c r="B176" s="25" t="s">
        <v>71</v>
      </c>
      <c r="C176" s="25"/>
      <c r="D176" s="25"/>
      <c r="E176" s="25"/>
      <c r="F176" s="25"/>
      <c r="G176" s="25"/>
      <c r="H176" s="25"/>
      <c r="I176" s="25"/>
      <c r="J176" s="25"/>
      <c r="K176" s="25"/>
      <c r="L176" s="25"/>
      <c r="M176" s="25"/>
      <c r="N176" s="25"/>
      <c r="O176" s="53">
        <f>O174+O175</f>
        <v>83494</v>
      </c>
      <c r="P176" s="53">
        <f>P175+P174</f>
        <v>8286</v>
      </c>
      <c r="Q176" s="25"/>
      <c r="R176" s="53">
        <f>O176+P176</f>
        <v>91780</v>
      </c>
      <c r="S176" s="25"/>
      <c r="T176" s="5"/>
    </row>
    <row r="177" spans="1:20" ht="15.6" x14ac:dyDescent="0.3">
      <c r="A177" s="24"/>
      <c r="B177" s="25" t="s">
        <v>72</v>
      </c>
      <c r="C177" s="25"/>
      <c r="D177" s="25"/>
      <c r="E177" s="25"/>
      <c r="F177" s="25"/>
      <c r="G177" s="25"/>
      <c r="H177" s="25"/>
      <c r="I177" s="25"/>
      <c r="J177" s="25"/>
      <c r="K177" s="25"/>
      <c r="L177" s="25"/>
      <c r="M177" s="25"/>
      <c r="N177" s="25"/>
      <c r="O177" s="53">
        <f>O173-O176-P176</f>
        <v>68220</v>
      </c>
      <c r="P177" s="40"/>
      <c r="Q177" s="25"/>
      <c r="R177" s="53"/>
      <c r="S177" s="25"/>
      <c r="T177" s="5"/>
    </row>
    <row r="178" spans="1:20" ht="16.2" thickBot="1" x14ac:dyDescent="0.35">
      <c r="A178" s="24"/>
      <c r="B178" s="25"/>
      <c r="C178" s="25"/>
      <c r="D178" s="25"/>
      <c r="E178" s="25"/>
      <c r="F178" s="25"/>
      <c r="G178" s="25"/>
      <c r="H178" s="25"/>
      <c r="I178" s="25"/>
      <c r="J178" s="25"/>
      <c r="K178" s="25"/>
      <c r="L178" s="25"/>
      <c r="M178" s="25"/>
      <c r="N178" s="25"/>
      <c r="O178" s="25"/>
      <c r="P178" s="25"/>
      <c r="Q178" s="25"/>
      <c r="R178" s="61"/>
      <c r="S178" s="25"/>
      <c r="T178" s="5"/>
    </row>
    <row r="179" spans="1:20" ht="15.6" x14ac:dyDescent="0.3">
      <c r="A179" s="2"/>
      <c r="B179" s="4"/>
      <c r="C179" s="4"/>
      <c r="D179" s="4"/>
      <c r="E179" s="4"/>
      <c r="F179" s="4"/>
      <c r="G179" s="4"/>
      <c r="H179" s="4"/>
      <c r="I179" s="4"/>
      <c r="J179" s="4"/>
      <c r="K179" s="4"/>
      <c r="L179" s="4"/>
      <c r="M179" s="4"/>
      <c r="N179" s="4"/>
      <c r="O179" s="4"/>
      <c r="P179" s="4"/>
      <c r="Q179" s="4"/>
      <c r="R179" s="50"/>
      <c r="S179" s="4"/>
      <c r="T179" s="5"/>
    </row>
    <row r="180" spans="1:20" ht="15.6" x14ac:dyDescent="0.3">
      <c r="A180" s="6"/>
      <c r="B180" s="120" t="s">
        <v>73</v>
      </c>
      <c r="C180" s="8"/>
      <c r="D180" s="8"/>
      <c r="E180" s="8"/>
      <c r="F180" s="8"/>
      <c r="G180" s="8"/>
      <c r="H180" s="8"/>
      <c r="I180" s="8"/>
      <c r="J180" s="8"/>
      <c r="K180" s="8"/>
      <c r="L180" s="8"/>
      <c r="M180" s="8"/>
      <c r="N180" s="8"/>
      <c r="O180" s="8"/>
      <c r="P180" s="8"/>
      <c r="Q180" s="8"/>
      <c r="R180" s="65"/>
      <c r="S180" s="8"/>
      <c r="T180" s="5"/>
    </row>
    <row r="181" spans="1:20" ht="15.6" x14ac:dyDescent="0.3">
      <c r="A181" s="24"/>
      <c r="B181" s="25" t="s">
        <v>74</v>
      </c>
      <c r="C181" s="25"/>
      <c r="D181" s="25"/>
      <c r="E181" s="25"/>
      <c r="F181" s="25"/>
      <c r="G181" s="25"/>
      <c r="H181" s="25"/>
      <c r="I181" s="25"/>
      <c r="J181" s="25"/>
      <c r="K181" s="25"/>
      <c r="L181" s="25"/>
      <c r="M181" s="25"/>
      <c r="N181" s="25"/>
      <c r="O181" s="25"/>
      <c r="P181" s="25"/>
      <c r="Q181" s="25"/>
      <c r="R181" s="59">
        <f>(R99+R101+R102+R103+R104+R105)/-(R106+R107+R108+R109)</f>
        <v>2.2845188284518829</v>
      </c>
      <c r="S181" s="25" t="s">
        <v>130</v>
      </c>
      <c r="T181" s="5"/>
    </row>
    <row r="182" spans="1:20" ht="15.6" x14ac:dyDescent="0.3">
      <c r="A182" s="24"/>
      <c r="B182" s="25" t="s">
        <v>75</v>
      </c>
      <c r="C182" s="25"/>
      <c r="D182" s="25"/>
      <c r="E182" s="25"/>
      <c r="F182" s="25"/>
      <c r="G182" s="25"/>
      <c r="H182" s="25"/>
      <c r="I182" s="25"/>
      <c r="J182" s="25"/>
      <c r="K182" s="25"/>
      <c r="L182" s="25"/>
      <c r="M182" s="25"/>
      <c r="N182" s="25"/>
      <c r="O182" s="25"/>
      <c r="P182" s="25"/>
      <c r="Q182" s="25"/>
      <c r="R182" s="59">
        <v>1.43</v>
      </c>
      <c r="S182" s="25" t="s">
        <v>130</v>
      </c>
      <c r="T182" s="5"/>
    </row>
    <row r="183" spans="1:20" ht="15.6" x14ac:dyDescent="0.3">
      <c r="A183" s="24"/>
      <c r="B183" s="25" t="s">
        <v>76</v>
      </c>
      <c r="C183" s="25"/>
      <c r="D183" s="25"/>
      <c r="E183" s="25"/>
      <c r="F183" s="25"/>
      <c r="G183" s="25"/>
      <c r="H183" s="25"/>
      <c r="I183" s="25"/>
      <c r="J183" s="25"/>
      <c r="K183" s="25"/>
      <c r="L183" s="25"/>
      <c r="M183" s="25"/>
      <c r="N183" s="25"/>
      <c r="O183" s="25"/>
      <c r="P183" s="25"/>
      <c r="Q183" s="25"/>
      <c r="R183" s="59">
        <f>(R99+R101+R102+R103+R104+R105+R106+R107+R108+R109)/-(R110+R111)</f>
        <v>3.6810551558753</v>
      </c>
      <c r="S183" s="25" t="s">
        <v>130</v>
      </c>
      <c r="T183" s="5"/>
    </row>
    <row r="184" spans="1:20" ht="15.6" x14ac:dyDescent="0.3">
      <c r="A184" s="24"/>
      <c r="B184" s="25" t="s">
        <v>77</v>
      </c>
      <c r="C184" s="25"/>
      <c r="D184" s="25"/>
      <c r="E184" s="25"/>
      <c r="F184" s="25"/>
      <c r="G184" s="25"/>
      <c r="H184" s="25"/>
      <c r="I184" s="25"/>
      <c r="J184" s="25"/>
      <c r="K184" s="25"/>
      <c r="L184" s="25"/>
      <c r="M184" s="25"/>
      <c r="N184" s="25"/>
      <c r="O184" s="25"/>
      <c r="P184" s="25"/>
      <c r="Q184" s="25"/>
      <c r="R184" s="67">
        <v>2.5499999999999998</v>
      </c>
      <c r="S184" s="25" t="s">
        <v>130</v>
      </c>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6"/>
      <c r="B187" s="8"/>
      <c r="C187" s="8"/>
      <c r="D187" s="8"/>
      <c r="E187" s="8"/>
      <c r="F187" s="8"/>
      <c r="G187" s="8"/>
      <c r="H187" s="8"/>
      <c r="I187" s="8"/>
      <c r="J187" s="8"/>
      <c r="K187" s="8"/>
      <c r="L187" s="8"/>
      <c r="M187" s="8"/>
      <c r="N187" s="8"/>
      <c r="O187" s="8"/>
      <c r="P187" s="8"/>
      <c r="Q187" s="8"/>
      <c r="R187" s="8"/>
      <c r="S187" s="8"/>
      <c r="T187" s="5"/>
    </row>
    <row r="188" spans="1:20" ht="18" thickBot="1" x14ac:dyDescent="0.35">
      <c r="A188" s="102"/>
      <c r="B188" s="103" t="str">
        <f>B132</f>
        <v>PM8 INVESTOR REPORT QUARTER ENDING SEPTEMBER 2009</v>
      </c>
      <c r="C188" s="148"/>
      <c r="D188" s="148"/>
      <c r="E188" s="148"/>
      <c r="F188" s="148"/>
      <c r="G188" s="148"/>
      <c r="H188" s="148"/>
      <c r="I188" s="148"/>
      <c r="J188" s="148"/>
      <c r="K188" s="148"/>
      <c r="L188" s="148"/>
      <c r="M188" s="148"/>
      <c r="N188" s="148"/>
      <c r="O188" s="148"/>
      <c r="P188" s="148"/>
      <c r="Q188" s="148"/>
      <c r="R188" s="148"/>
      <c r="S188" s="149"/>
      <c r="T188" s="5"/>
    </row>
    <row r="189" spans="1:20" ht="15.6" x14ac:dyDescent="0.3">
      <c r="A189" s="68"/>
      <c r="B189" s="60" t="s">
        <v>78</v>
      </c>
      <c r="C189" s="69"/>
      <c r="D189" s="69"/>
      <c r="E189" s="69"/>
      <c r="F189" s="69"/>
      <c r="G189" s="70"/>
      <c r="H189" s="70"/>
      <c r="I189" s="70"/>
      <c r="J189" s="70"/>
      <c r="K189" s="70"/>
      <c r="L189" s="70"/>
      <c r="M189" s="70"/>
      <c r="N189" s="70"/>
      <c r="O189" s="70"/>
      <c r="P189" s="71">
        <v>40086</v>
      </c>
      <c r="Q189" s="4"/>
      <c r="R189" s="4"/>
      <c r="S189" s="4"/>
      <c r="T189" s="5"/>
    </row>
    <row r="190" spans="1:20" ht="15.6" x14ac:dyDescent="0.3">
      <c r="A190" s="72"/>
      <c r="B190" s="73"/>
      <c r="C190" s="74"/>
      <c r="D190" s="74"/>
      <c r="E190" s="74"/>
      <c r="F190" s="74"/>
      <c r="G190" s="75"/>
      <c r="H190" s="75"/>
      <c r="I190" s="75"/>
      <c r="J190" s="75"/>
      <c r="K190" s="75"/>
      <c r="L190" s="75"/>
      <c r="M190" s="75"/>
      <c r="N190" s="75"/>
      <c r="O190" s="75"/>
      <c r="P190" s="75"/>
      <c r="Q190" s="8"/>
      <c r="R190" s="8"/>
      <c r="S190" s="8"/>
      <c r="T190" s="5"/>
    </row>
    <row r="191" spans="1:20" ht="15.6" x14ac:dyDescent="0.3">
      <c r="A191" s="76"/>
      <c r="B191" s="77" t="s">
        <v>79</v>
      </c>
      <c r="C191" s="78"/>
      <c r="D191" s="78"/>
      <c r="E191" s="78"/>
      <c r="F191" s="78"/>
      <c r="G191" s="64"/>
      <c r="H191" s="64"/>
      <c r="I191" s="64"/>
      <c r="J191" s="64"/>
      <c r="K191" s="64"/>
      <c r="L191" s="64"/>
      <c r="M191" s="64"/>
      <c r="N191" s="64"/>
      <c r="O191" s="64"/>
      <c r="P191" s="79">
        <v>6.2039999999999998E-2</v>
      </c>
      <c r="Q191" s="25"/>
      <c r="R191" s="25"/>
      <c r="S191" s="25"/>
      <c r="T191" s="5"/>
    </row>
    <row r="192" spans="1:20" ht="15.6" x14ac:dyDescent="0.3">
      <c r="A192" s="76"/>
      <c r="B192" s="77" t="s">
        <v>178</v>
      </c>
      <c r="C192" s="78"/>
      <c r="D192" s="78"/>
      <c r="E192" s="78"/>
      <c r="F192" s="78"/>
      <c r="G192" s="64"/>
      <c r="H192" s="64"/>
      <c r="I192" s="64"/>
      <c r="J192" s="64"/>
      <c r="K192" s="64"/>
      <c r="L192" s="64"/>
      <c r="M192" s="64"/>
      <c r="N192" s="64"/>
      <c r="O192" s="64"/>
      <c r="P192" s="39">
        <v>5.1733455000000005E-2</v>
      </c>
      <c r="Q192" s="25"/>
      <c r="R192" s="25"/>
      <c r="S192" s="25"/>
      <c r="T192" s="5"/>
    </row>
    <row r="193" spans="1:20" ht="15.6" x14ac:dyDescent="0.3">
      <c r="A193" s="76"/>
      <c r="B193" s="77" t="s">
        <v>80</v>
      </c>
      <c r="C193" s="78"/>
      <c r="D193" s="78"/>
      <c r="E193" s="78"/>
      <c r="F193" s="78"/>
      <c r="G193" s="64"/>
      <c r="H193" s="64"/>
      <c r="I193" s="64"/>
      <c r="J193" s="64"/>
      <c r="K193" s="64"/>
      <c r="L193" s="64"/>
      <c r="M193" s="64"/>
      <c r="N193" s="64"/>
      <c r="O193" s="64"/>
      <c r="P193" s="79">
        <f>P191-P192</f>
        <v>1.0306544999999993E-2</v>
      </c>
      <c r="Q193" s="25"/>
      <c r="R193" s="25"/>
      <c r="S193" s="25"/>
      <c r="T193" s="5"/>
    </row>
    <row r="194" spans="1:20" ht="15.6" x14ac:dyDescent="0.3">
      <c r="A194" s="76"/>
      <c r="B194" s="77" t="s">
        <v>81</v>
      </c>
      <c r="C194" s="78"/>
      <c r="D194" s="78"/>
      <c r="E194" s="78"/>
      <c r="F194" s="78"/>
      <c r="G194" s="64"/>
      <c r="H194" s="64"/>
      <c r="I194" s="64"/>
      <c r="J194" s="64"/>
      <c r="K194" s="64"/>
      <c r="L194" s="64"/>
      <c r="M194" s="64"/>
      <c r="N194" s="64"/>
      <c r="O194" s="64"/>
      <c r="P194" s="79">
        <v>3.5430000000000003E-2</v>
      </c>
      <c r="Q194" s="25"/>
      <c r="R194" s="25"/>
      <c r="S194" s="25"/>
      <c r="T194" s="5"/>
    </row>
    <row r="195" spans="1:20" ht="15.6" x14ac:dyDescent="0.3">
      <c r="A195" s="76"/>
      <c r="B195" s="77" t="s">
        <v>261</v>
      </c>
      <c r="C195" s="78"/>
      <c r="D195" s="78"/>
      <c r="E195" s="78"/>
      <c r="F195" s="78"/>
      <c r="G195" s="64"/>
      <c r="H195" s="64"/>
      <c r="I195" s="64"/>
      <c r="J195" s="64"/>
      <c r="K195" s="64"/>
      <c r="L195" s="64"/>
      <c r="M195" s="64"/>
      <c r="N195" s="64"/>
      <c r="O195" s="64"/>
      <c r="P195" s="79">
        <f>+R42</f>
        <v>1.2940187655673389E-2</v>
      </c>
      <c r="Q195" s="25"/>
      <c r="R195" s="25"/>
      <c r="S195" s="25"/>
      <c r="T195" s="5"/>
    </row>
    <row r="196" spans="1:20" ht="15.6" x14ac:dyDescent="0.3">
      <c r="A196" s="76"/>
      <c r="B196" s="77" t="s">
        <v>82</v>
      </c>
      <c r="C196" s="78"/>
      <c r="D196" s="78"/>
      <c r="E196" s="78"/>
      <c r="F196" s="78"/>
      <c r="G196" s="64"/>
      <c r="H196" s="64"/>
      <c r="I196" s="64"/>
      <c r="J196" s="64"/>
      <c r="K196" s="64"/>
      <c r="L196" s="64"/>
      <c r="M196" s="64"/>
      <c r="N196" s="64"/>
      <c r="O196" s="64"/>
      <c r="P196" s="79">
        <f>P194-P195</f>
        <v>2.2489812344326614E-2</v>
      </c>
      <c r="Q196" s="25"/>
      <c r="R196" s="25"/>
      <c r="S196" s="25"/>
      <c r="T196" s="5"/>
    </row>
    <row r="197" spans="1:20" ht="15.6" x14ac:dyDescent="0.3">
      <c r="A197" s="76"/>
      <c r="B197" s="77" t="s">
        <v>267</v>
      </c>
      <c r="C197" s="78"/>
      <c r="D197" s="78"/>
      <c r="E197" s="78"/>
      <c r="F197" s="78"/>
      <c r="G197" s="64"/>
      <c r="H197" s="64"/>
      <c r="I197" s="64"/>
      <c r="J197" s="64"/>
      <c r="K197" s="64"/>
      <c r="L197" s="64"/>
      <c r="M197" s="64"/>
      <c r="N197" s="64"/>
      <c r="O197" s="64"/>
      <c r="P197" s="79">
        <f>+R99/J70</f>
        <v>8.985180523204633E-3</v>
      </c>
      <c r="Q197" s="25"/>
      <c r="R197" s="25"/>
      <c r="S197" s="25"/>
      <c r="T197" s="5"/>
    </row>
    <row r="198" spans="1:20" ht="15.6" x14ac:dyDescent="0.3">
      <c r="A198" s="76"/>
      <c r="B198" s="77" t="s">
        <v>208</v>
      </c>
      <c r="C198" s="78"/>
      <c r="D198" s="78"/>
      <c r="E198" s="78"/>
      <c r="F198" s="78"/>
      <c r="G198" s="64"/>
      <c r="H198" s="64"/>
      <c r="I198" s="64"/>
      <c r="J198" s="64"/>
      <c r="K198" s="64"/>
      <c r="L198" s="64"/>
      <c r="M198" s="64"/>
      <c r="N198" s="64"/>
      <c r="O198" s="64"/>
      <c r="P198" s="132">
        <v>12875</v>
      </c>
      <c r="Q198" s="25"/>
      <c r="R198" s="25"/>
      <c r="S198" s="25"/>
      <c r="T198" s="5"/>
    </row>
    <row r="199" spans="1:20" ht="15.6" x14ac:dyDescent="0.3">
      <c r="A199" s="76"/>
      <c r="B199" s="77" t="s">
        <v>209</v>
      </c>
      <c r="C199" s="78"/>
      <c r="D199" s="78"/>
      <c r="E199" s="78"/>
      <c r="F199" s="78"/>
      <c r="G199" s="64"/>
      <c r="H199" s="64"/>
      <c r="I199" s="64"/>
      <c r="J199" s="64"/>
      <c r="K199" s="64"/>
      <c r="L199" s="64"/>
      <c r="M199" s="64"/>
      <c r="N199" s="64"/>
      <c r="O199" s="64"/>
      <c r="P199" s="132">
        <v>16163</v>
      </c>
      <c r="Q199" s="25"/>
      <c r="R199" s="25"/>
      <c r="S199" s="25"/>
      <c r="T199" s="5"/>
    </row>
    <row r="200" spans="1:20" ht="15.6" x14ac:dyDescent="0.3">
      <c r="A200" s="76"/>
      <c r="B200" s="77" t="s">
        <v>83</v>
      </c>
      <c r="C200" s="78"/>
      <c r="D200" s="78"/>
      <c r="E200" s="78"/>
      <c r="F200" s="78"/>
      <c r="G200" s="64"/>
      <c r="H200" s="64"/>
      <c r="I200" s="64"/>
      <c r="J200" s="64"/>
      <c r="K200" s="64"/>
      <c r="L200" s="64"/>
      <c r="M200" s="64"/>
      <c r="N200" s="64"/>
      <c r="O200" s="64"/>
      <c r="P200" s="136">
        <v>19.739999999999998</v>
      </c>
      <c r="Q200" s="25" t="s">
        <v>125</v>
      </c>
      <c r="R200" s="25"/>
      <c r="S200" s="25"/>
      <c r="T200" s="5"/>
    </row>
    <row r="201" spans="1:20" ht="15.6" x14ac:dyDescent="0.3">
      <c r="A201" s="76"/>
      <c r="B201" s="77" t="s">
        <v>84</v>
      </c>
      <c r="C201" s="78"/>
      <c r="D201" s="78"/>
      <c r="E201" s="78"/>
      <c r="F201" s="78"/>
      <c r="G201" s="64"/>
      <c r="H201" s="64"/>
      <c r="I201" s="64"/>
      <c r="J201" s="64"/>
      <c r="K201" s="64"/>
      <c r="L201" s="64"/>
      <c r="M201" s="64"/>
      <c r="N201" s="64"/>
      <c r="O201" s="64"/>
      <c r="P201" s="136">
        <v>16.16</v>
      </c>
      <c r="Q201" s="25" t="s">
        <v>125</v>
      </c>
      <c r="R201" s="25"/>
      <c r="S201" s="25"/>
      <c r="T201" s="5"/>
    </row>
    <row r="202" spans="1:20" ht="15.6" x14ac:dyDescent="0.3">
      <c r="A202" s="76"/>
      <c r="B202" s="77" t="s">
        <v>85</v>
      </c>
      <c r="C202" s="78"/>
      <c r="D202" s="78"/>
      <c r="E202" s="78"/>
      <c r="F202" s="78"/>
      <c r="G202" s="64"/>
      <c r="H202" s="64"/>
      <c r="I202" s="64"/>
      <c r="J202" s="64"/>
      <c r="K202" s="64"/>
      <c r="L202" s="64"/>
      <c r="M202" s="64"/>
      <c r="N202" s="64"/>
      <c r="O202" s="64"/>
      <c r="P202" s="79">
        <f>+L67/J67</f>
        <v>6.3908108315946467E-3</v>
      </c>
      <c r="Q202" s="25"/>
      <c r="R202" s="25"/>
      <c r="S202" s="25"/>
      <c r="T202" s="5"/>
    </row>
    <row r="203" spans="1:20" ht="15.6" x14ac:dyDescent="0.3">
      <c r="A203" s="76"/>
      <c r="B203" s="77" t="s">
        <v>86</v>
      </c>
      <c r="C203" s="78"/>
      <c r="D203" s="78"/>
      <c r="E203" s="78"/>
      <c r="F203" s="78"/>
      <c r="G203" s="64"/>
      <c r="H203" s="64"/>
      <c r="I203" s="64"/>
      <c r="J203" s="64"/>
      <c r="K203" s="64"/>
      <c r="L203" s="64"/>
      <c r="M203" s="64"/>
      <c r="N203" s="64"/>
      <c r="O203" s="64"/>
      <c r="P203" s="79">
        <v>0.15640000000000001</v>
      </c>
      <c r="Q203" s="25"/>
      <c r="R203" s="25"/>
      <c r="S203" s="25"/>
      <c r="T203" s="5"/>
    </row>
    <row r="204" spans="1:20" ht="15.6" x14ac:dyDescent="0.3">
      <c r="A204" s="76"/>
      <c r="B204" s="77"/>
      <c r="C204" s="77"/>
      <c r="D204" s="77"/>
      <c r="E204" s="77"/>
      <c r="F204" s="77"/>
      <c r="G204" s="25"/>
      <c r="H204" s="25"/>
      <c r="I204" s="25"/>
      <c r="J204" s="25"/>
      <c r="K204" s="25"/>
      <c r="L204" s="25"/>
      <c r="M204" s="25"/>
      <c r="N204" s="25"/>
      <c r="O204" s="25"/>
      <c r="P204" s="61"/>
      <c r="Q204" s="25"/>
      <c r="R204" s="80"/>
      <c r="S204" s="25"/>
      <c r="T204" s="5"/>
    </row>
    <row r="205" spans="1:20" ht="15.6" x14ac:dyDescent="0.3">
      <c r="A205" s="81"/>
      <c r="B205" s="14" t="s">
        <v>87</v>
      </c>
      <c r="C205" s="82"/>
      <c r="D205" s="82"/>
      <c r="E205" s="82"/>
      <c r="F205" s="83"/>
      <c r="G205" s="82"/>
      <c r="H205" s="17"/>
      <c r="I205" s="17"/>
      <c r="J205" s="17"/>
      <c r="K205" s="17"/>
      <c r="L205" s="17"/>
      <c r="M205" s="17"/>
      <c r="N205" s="17"/>
      <c r="O205" s="17" t="s">
        <v>113</v>
      </c>
      <c r="P205" s="84" t="s">
        <v>121</v>
      </c>
      <c r="Q205" s="8"/>
      <c r="R205" s="8"/>
      <c r="S205" s="8"/>
      <c r="T205" s="5"/>
    </row>
    <row r="206" spans="1:20" ht="15.6" x14ac:dyDescent="0.3">
      <c r="A206" s="85"/>
      <c r="B206" s="77" t="s">
        <v>88</v>
      </c>
      <c r="C206" s="54"/>
      <c r="D206" s="54"/>
      <c r="E206" s="54"/>
      <c r="F206" s="25"/>
      <c r="G206" s="25"/>
      <c r="H206" s="30"/>
      <c r="I206" s="30"/>
      <c r="J206" s="30"/>
      <c r="K206" s="30"/>
      <c r="L206" s="30"/>
      <c r="M206" s="30"/>
      <c r="N206" s="30"/>
      <c r="O206" s="30">
        <v>1</v>
      </c>
      <c r="P206" s="86">
        <v>55</v>
      </c>
      <c r="Q206" s="25"/>
      <c r="R206" s="80"/>
      <c r="S206" s="87"/>
      <c r="T206" s="5"/>
    </row>
    <row r="207" spans="1:20" ht="15.6" x14ac:dyDescent="0.3">
      <c r="A207" s="85"/>
      <c r="B207" s="77" t="s">
        <v>169</v>
      </c>
      <c r="C207" s="54"/>
      <c r="D207" s="54"/>
      <c r="E207" s="54"/>
      <c r="F207" s="25"/>
      <c r="G207" s="25"/>
      <c r="H207" s="30"/>
      <c r="I207" s="30"/>
      <c r="J207" s="30"/>
      <c r="K207" s="30"/>
      <c r="L207" s="30"/>
      <c r="M207" s="30"/>
      <c r="N207" s="30"/>
      <c r="O207" s="163">
        <f>+N245</f>
        <v>114</v>
      </c>
      <c r="P207" s="86">
        <f>+P245</f>
        <v>15413</v>
      </c>
      <c r="Q207" s="25"/>
      <c r="R207" s="80"/>
      <c r="S207" s="87"/>
      <c r="T207" s="5"/>
    </row>
    <row r="208" spans="1:20" ht="15.6" x14ac:dyDescent="0.3">
      <c r="A208" s="85"/>
      <c r="B208" s="77" t="s">
        <v>89</v>
      </c>
      <c r="C208" s="54"/>
      <c r="D208" s="54"/>
      <c r="E208" s="54"/>
      <c r="F208" s="25"/>
      <c r="G208" s="25"/>
      <c r="H208" s="30"/>
      <c r="I208" s="30"/>
      <c r="J208" s="30"/>
      <c r="K208" s="30"/>
      <c r="L208" s="30"/>
      <c r="M208" s="30"/>
      <c r="N208" s="30"/>
      <c r="O208" s="163">
        <f>+N257</f>
        <v>3</v>
      </c>
      <c r="P208" s="86">
        <f>+P257</f>
        <v>76</v>
      </c>
      <c r="Q208" s="25"/>
      <c r="R208" s="80"/>
      <c r="S208" s="87"/>
      <c r="T208" s="5"/>
    </row>
    <row r="209" spans="1:20" ht="15.6" x14ac:dyDescent="0.3">
      <c r="A209" s="85"/>
      <c r="B209" s="123" t="s">
        <v>90</v>
      </c>
      <c r="C209" s="54"/>
      <c r="D209" s="54"/>
      <c r="E209" s="54"/>
      <c r="F209" s="25"/>
      <c r="G209" s="25"/>
      <c r="H209" s="25"/>
      <c r="I209" s="25"/>
      <c r="J209" s="25"/>
      <c r="K209" s="25"/>
      <c r="L209" s="25"/>
      <c r="M209" s="25"/>
      <c r="N209" s="25"/>
      <c r="O209" s="25"/>
      <c r="P209" s="86">
        <v>0</v>
      </c>
      <c r="Q209" s="25"/>
      <c r="R209" s="80"/>
      <c r="S209" s="87"/>
      <c r="T209" s="5"/>
    </row>
    <row r="210" spans="1:20" ht="15.6" x14ac:dyDescent="0.3">
      <c r="A210" s="85"/>
      <c r="B210" s="123" t="s">
        <v>91</v>
      </c>
      <c r="C210" s="54"/>
      <c r="D210" s="54"/>
      <c r="E210" s="54"/>
      <c r="F210" s="25"/>
      <c r="G210" s="25"/>
      <c r="H210" s="25"/>
      <c r="I210" s="25"/>
      <c r="J210" s="25"/>
      <c r="K210" s="25"/>
      <c r="L210" s="25"/>
      <c r="M210" s="25"/>
      <c r="N210" s="25"/>
      <c r="O210" s="25"/>
      <c r="P210" s="62" t="s">
        <v>122</v>
      </c>
      <c r="Q210" s="25"/>
      <c r="R210" s="80"/>
      <c r="S210" s="87"/>
      <c r="T210" s="5"/>
    </row>
    <row r="211" spans="1:20" ht="15.6" x14ac:dyDescent="0.3">
      <c r="A211" s="88"/>
      <c r="B211" s="123" t="s">
        <v>92</v>
      </c>
      <c r="C211" s="77"/>
      <c r="D211" s="77"/>
      <c r="E211" s="77"/>
      <c r="F211" s="77"/>
      <c r="G211" s="25"/>
      <c r="H211" s="25"/>
      <c r="I211" s="25"/>
      <c r="J211" s="25"/>
      <c r="K211" s="25"/>
      <c r="L211" s="25"/>
      <c r="M211" s="25"/>
      <c r="N211" s="25"/>
      <c r="O211" s="25"/>
      <c r="P211" s="86"/>
      <c r="Q211" s="25"/>
      <c r="R211" s="80"/>
      <c r="S211" s="89"/>
      <c r="T211" s="5"/>
    </row>
    <row r="212" spans="1:20" ht="15.6" x14ac:dyDescent="0.3">
      <c r="A212" s="88"/>
      <c r="B212" s="134" t="s">
        <v>93</v>
      </c>
      <c r="C212" s="77"/>
      <c r="D212" s="77"/>
      <c r="E212" s="77"/>
      <c r="F212" s="77"/>
      <c r="G212" s="25"/>
      <c r="H212" s="25"/>
      <c r="I212" s="25"/>
      <c r="J212" s="25"/>
      <c r="K212" s="25"/>
      <c r="L212" s="25"/>
      <c r="M212" s="25"/>
      <c r="N212" s="25"/>
      <c r="O212" s="30"/>
      <c r="P212" s="86">
        <f>R160</f>
        <v>100</v>
      </c>
      <c r="Q212" s="25"/>
      <c r="R212" s="80"/>
      <c r="S212" s="89"/>
      <c r="T212" s="5"/>
    </row>
    <row r="213" spans="1:20" ht="15.6" x14ac:dyDescent="0.3">
      <c r="A213" s="85"/>
      <c r="B213" s="77" t="s">
        <v>94</v>
      </c>
      <c r="C213" s="54"/>
      <c r="D213" s="54"/>
      <c r="E213" s="54"/>
      <c r="F213" s="54"/>
      <c r="G213" s="25"/>
      <c r="H213" s="25"/>
      <c r="I213" s="25"/>
      <c r="J213" s="25"/>
      <c r="K213" s="25"/>
      <c r="L213" s="25"/>
      <c r="M213" s="25"/>
      <c r="N213" s="25"/>
      <c r="O213" s="30"/>
      <c r="P213" s="86">
        <f>'June 09'!P213+P212</f>
        <v>1381</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1</v>
      </c>
      <c r="P215" s="86">
        <v>44</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16.059999999999999</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12.45</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4</v>
      </c>
      <c r="P219" s="86">
        <v>288</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9.33</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4009</v>
      </c>
      <c r="O224" s="95">
        <f t="shared" ref="O224:O231" si="1">N224/$N$233</f>
        <v>0.97708993419449186</v>
      </c>
      <c r="P224" s="53">
        <v>461841</v>
      </c>
      <c r="Q224" s="135">
        <f t="shared" ref="Q224:Q231" si="2">P224/$P$233</f>
        <v>0.96875832485552771</v>
      </c>
      <c r="R224" s="80"/>
      <c r="S224" s="89"/>
      <c r="T224" s="5"/>
    </row>
    <row r="225" spans="1:21" ht="15.6" x14ac:dyDescent="0.3">
      <c r="A225" s="24"/>
      <c r="B225" s="54" t="s">
        <v>100</v>
      </c>
      <c r="C225" s="94"/>
      <c r="D225" s="94"/>
      <c r="E225" s="94"/>
      <c r="F225" s="25"/>
      <c r="G225" s="95"/>
      <c r="H225" s="94"/>
      <c r="I225" s="94"/>
      <c r="J225" s="94"/>
      <c r="K225" s="94"/>
      <c r="L225" s="94"/>
      <c r="M225" s="94"/>
      <c r="N225" s="54">
        <v>69</v>
      </c>
      <c r="O225" s="95">
        <f t="shared" si="1"/>
        <v>1.681696319766025E-2</v>
      </c>
      <c r="P225" s="53">
        <v>11752</v>
      </c>
      <c r="Q225" s="135">
        <f t="shared" si="2"/>
        <v>2.465101156827168E-2</v>
      </c>
      <c r="R225" s="80"/>
      <c r="S225" s="89"/>
      <c r="T225" s="5"/>
      <c r="U225" s="110"/>
    </row>
    <row r="226" spans="1:21" ht="15.6" x14ac:dyDescent="0.3">
      <c r="A226" s="24"/>
      <c r="B226" s="54" t="s">
        <v>101</v>
      </c>
      <c r="C226" s="94"/>
      <c r="D226" s="94"/>
      <c r="E226" s="94"/>
      <c r="F226" s="25"/>
      <c r="G226" s="95"/>
      <c r="H226" s="94"/>
      <c r="I226" s="94"/>
      <c r="J226" s="94"/>
      <c r="K226" s="94"/>
      <c r="L226" s="94"/>
      <c r="M226" s="94"/>
      <c r="N226" s="54">
        <v>9</v>
      </c>
      <c r="O226" s="95">
        <f t="shared" si="1"/>
        <v>2.1935169388252497E-3</v>
      </c>
      <c r="P226" s="53">
        <v>1063</v>
      </c>
      <c r="Q226" s="135">
        <f t="shared" si="2"/>
        <v>2.2297502805541862E-3</v>
      </c>
      <c r="R226" s="80"/>
      <c r="S226" s="89"/>
      <c r="T226" s="5"/>
    </row>
    <row r="227" spans="1:21" ht="15.6" x14ac:dyDescent="0.3">
      <c r="A227" s="24"/>
      <c r="B227" s="54" t="s">
        <v>210</v>
      </c>
      <c r="C227" s="94"/>
      <c r="D227" s="94"/>
      <c r="E227" s="94"/>
      <c r="F227" s="25"/>
      <c r="G227" s="95"/>
      <c r="H227" s="94"/>
      <c r="I227" s="94"/>
      <c r="J227" s="94"/>
      <c r="K227" s="94"/>
      <c r="L227" s="94"/>
      <c r="M227" s="94"/>
      <c r="N227" s="54">
        <v>6</v>
      </c>
      <c r="O227" s="95">
        <f t="shared" si="1"/>
        <v>1.4623446258834999E-3</v>
      </c>
      <c r="P227" s="53">
        <v>1212</v>
      </c>
      <c r="Q227" s="135">
        <f t="shared" si="2"/>
        <v>2.5422928880824776E-3</v>
      </c>
      <c r="R227" s="80"/>
      <c r="S227" s="89"/>
      <c r="T227" s="5"/>
      <c r="U227" s="110"/>
    </row>
    <row r="228" spans="1:21" ht="15.6" x14ac:dyDescent="0.3">
      <c r="A228" s="24"/>
      <c r="B228" s="54" t="s">
        <v>211</v>
      </c>
      <c r="C228" s="94"/>
      <c r="D228" s="94"/>
      <c r="E228" s="94"/>
      <c r="F228" s="25"/>
      <c r="G228" s="95"/>
      <c r="H228" s="94"/>
      <c r="I228" s="94"/>
      <c r="J228" s="94"/>
      <c r="K228" s="94"/>
      <c r="L228" s="94"/>
      <c r="M228" s="94"/>
      <c r="N228" s="54">
        <v>1</v>
      </c>
      <c r="O228" s="95">
        <f t="shared" si="1"/>
        <v>2.4372410431391665E-4</v>
      </c>
      <c r="P228" s="53">
        <v>24</v>
      </c>
      <c r="Q228" s="135">
        <f t="shared" si="2"/>
        <v>5.0342433427375798E-5</v>
      </c>
      <c r="R228" s="80"/>
      <c r="S228" s="89"/>
      <c r="T228" s="5"/>
    </row>
    <row r="229" spans="1:21" ht="15.6" x14ac:dyDescent="0.3">
      <c r="A229" s="24"/>
      <c r="B229" s="54" t="s">
        <v>212</v>
      </c>
      <c r="C229" s="94"/>
      <c r="D229" s="94"/>
      <c r="E229" s="94"/>
      <c r="F229" s="25"/>
      <c r="G229" s="95"/>
      <c r="H229" s="94"/>
      <c r="I229" s="94"/>
      <c r="J229" s="94"/>
      <c r="K229" s="94"/>
      <c r="L229" s="94"/>
      <c r="M229" s="94"/>
      <c r="N229" s="54">
        <v>3</v>
      </c>
      <c r="O229" s="95">
        <f t="shared" si="1"/>
        <v>7.3117231294174997E-4</v>
      </c>
      <c r="P229" s="53">
        <v>169</v>
      </c>
      <c r="Q229" s="135">
        <f t="shared" si="2"/>
        <v>3.5449463538443789E-4</v>
      </c>
      <c r="R229" s="80"/>
      <c r="S229" s="89"/>
      <c r="T229" s="5"/>
      <c r="U229" s="110"/>
    </row>
    <row r="230" spans="1:21" ht="15.6" x14ac:dyDescent="0.3">
      <c r="A230" s="24"/>
      <c r="B230" s="54" t="s">
        <v>213</v>
      </c>
      <c r="C230" s="94"/>
      <c r="D230" s="94"/>
      <c r="E230" s="94"/>
      <c r="F230" s="25"/>
      <c r="G230" s="95"/>
      <c r="H230" s="94"/>
      <c r="I230" s="94"/>
      <c r="J230" s="94"/>
      <c r="K230" s="94"/>
      <c r="L230" s="94"/>
      <c r="M230" s="94"/>
      <c r="N230" s="54">
        <v>3</v>
      </c>
      <c r="O230" s="95">
        <f t="shared" si="1"/>
        <v>7.3117231294174997E-4</v>
      </c>
      <c r="P230" s="53">
        <v>383</v>
      </c>
      <c r="Q230" s="135">
        <f t="shared" si="2"/>
        <v>8.0338133344520541E-4</v>
      </c>
      <c r="R230" s="80"/>
      <c r="S230" s="89"/>
      <c r="T230" s="5"/>
    </row>
    <row r="231" spans="1:21" ht="15.6" x14ac:dyDescent="0.3">
      <c r="A231" s="24"/>
      <c r="B231" s="54" t="s">
        <v>214</v>
      </c>
      <c r="C231" s="94"/>
      <c r="D231" s="94"/>
      <c r="E231" s="94"/>
      <c r="F231" s="25"/>
      <c r="G231" s="95"/>
      <c r="H231" s="94"/>
      <c r="I231" s="94"/>
      <c r="J231" s="94"/>
      <c r="K231" s="94"/>
      <c r="L231" s="94"/>
      <c r="M231" s="94"/>
      <c r="N231" s="54">
        <v>3</v>
      </c>
      <c r="O231" s="95">
        <f t="shared" si="1"/>
        <v>7.3117231294174997E-4</v>
      </c>
      <c r="P231" s="53">
        <v>291</v>
      </c>
      <c r="Q231" s="135">
        <f t="shared" si="2"/>
        <v>6.1040200530693156E-4</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4103</v>
      </c>
      <c r="O233" s="135">
        <f>SUM(O224:O232)</f>
        <v>1</v>
      </c>
      <c r="P233" s="53">
        <f>SUM(P224:P232)</f>
        <v>476735</v>
      </c>
      <c r="Q233" s="135">
        <f>SUM(Q224:Q232)</f>
        <v>0.99999999999999989</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18</v>
      </c>
      <c r="O236" s="95">
        <f t="shared" ref="O236:O243" si="3">N236/$N$245</f>
        <v>0.15789473684210525</v>
      </c>
      <c r="P236" s="53">
        <v>2393</v>
      </c>
      <c r="Q236" s="135">
        <f t="shared" ref="Q236:Q243" si="4">P236/$P$245</f>
        <v>0.15525854797897878</v>
      </c>
      <c r="R236" s="25"/>
      <c r="S236" s="25"/>
      <c r="T236" s="5"/>
    </row>
    <row r="237" spans="1:21" ht="15.6" x14ac:dyDescent="0.3">
      <c r="A237" s="24"/>
      <c r="B237" s="54" t="s">
        <v>100</v>
      </c>
      <c r="C237" s="94"/>
      <c r="D237" s="94"/>
      <c r="E237" s="94"/>
      <c r="F237" s="25"/>
      <c r="G237" s="95"/>
      <c r="H237" s="94"/>
      <c r="I237" s="94"/>
      <c r="J237" s="94"/>
      <c r="K237" s="94"/>
      <c r="L237" s="94"/>
      <c r="M237" s="94"/>
      <c r="N237" s="54">
        <v>42</v>
      </c>
      <c r="O237" s="95">
        <f t="shared" si="3"/>
        <v>0.36842105263157893</v>
      </c>
      <c r="P237" s="53">
        <v>5971</v>
      </c>
      <c r="Q237" s="135">
        <f t="shared" si="4"/>
        <v>0.38740024654512423</v>
      </c>
      <c r="R237" s="25"/>
      <c r="S237" s="25"/>
      <c r="T237" s="5"/>
    </row>
    <row r="238" spans="1:21" ht="15.6" x14ac:dyDescent="0.3">
      <c r="A238" s="24"/>
      <c r="B238" s="54" t="s">
        <v>101</v>
      </c>
      <c r="C238" s="94"/>
      <c r="D238" s="94"/>
      <c r="E238" s="94"/>
      <c r="F238" s="25"/>
      <c r="G238" s="95"/>
      <c r="H238" s="94"/>
      <c r="I238" s="94"/>
      <c r="J238" s="94"/>
      <c r="K238" s="94"/>
      <c r="L238" s="94"/>
      <c r="M238" s="94"/>
      <c r="N238" s="54">
        <v>8</v>
      </c>
      <c r="O238" s="95">
        <f t="shared" si="3"/>
        <v>7.0175438596491224E-2</v>
      </c>
      <c r="P238" s="53">
        <v>770</v>
      </c>
      <c r="Q238" s="135">
        <f t="shared" si="4"/>
        <v>4.9957827807694803E-2</v>
      </c>
      <c r="R238" s="25"/>
      <c r="S238" s="25"/>
      <c r="T238" s="5"/>
    </row>
    <row r="239" spans="1:21" ht="15.6" x14ac:dyDescent="0.3">
      <c r="A239" s="24"/>
      <c r="B239" s="54" t="s">
        <v>210</v>
      </c>
      <c r="C239" s="94"/>
      <c r="D239" s="94"/>
      <c r="E239" s="94"/>
      <c r="F239" s="25"/>
      <c r="G239" s="95"/>
      <c r="H239" s="94"/>
      <c r="I239" s="94"/>
      <c r="J239" s="94"/>
      <c r="K239" s="94"/>
      <c r="L239" s="94"/>
      <c r="M239" s="94"/>
      <c r="N239" s="54">
        <v>1</v>
      </c>
      <c r="O239" s="95">
        <f t="shared" si="3"/>
        <v>8.771929824561403E-3</v>
      </c>
      <c r="P239" s="53">
        <v>216</v>
      </c>
      <c r="Q239" s="135">
        <f t="shared" si="4"/>
        <v>1.4014143904496205E-2</v>
      </c>
      <c r="R239" s="25"/>
      <c r="S239" s="25"/>
      <c r="T239" s="5"/>
    </row>
    <row r="240" spans="1:21" ht="15.6" x14ac:dyDescent="0.3">
      <c r="A240" s="24"/>
      <c r="B240" s="54" t="s">
        <v>211</v>
      </c>
      <c r="C240" s="94"/>
      <c r="D240" s="94"/>
      <c r="E240" s="94"/>
      <c r="F240" s="25"/>
      <c r="G240" s="95"/>
      <c r="H240" s="94"/>
      <c r="I240" s="94"/>
      <c r="J240" s="94"/>
      <c r="K240" s="94"/>
      <c r="L240" s="94"/>
      <c r="M240" s="94"/>
      <c r="N240" s="54">
        <v>6</v>
      </c>
      <c r="O240" s="95">
        <f t="shared" si="3"/>
        <v>5.2631578947368418E-2</v>
      </c>
      <c r="P240" s="53">
        <v>327</v>
      </c>
      <c r="Q240" s="135">
        <f t="shared" si="4"/>
        <v>2.1215856744306753E-2</v>
      </c>
      <c r="R240" s="25"/>
      <c r="S240" s="25"/>
      <c r="T240" s="5"/>
    </row>
    <row r="241" spans="1:20" ht="15.6" x14ac:dyDescent="0.3">
      <c r="A241" s="24"/>
      <c r="B241" s="54" t="s">
        <v>212</v>
      </c>
      <c r="C241" s="94"/>
      <c r="D241" s="94"/>
      <c r="E241" s="94"/>
      <c r="F241" s="25"/>
      <c r="G241" s="95"/>
      <c r="H241" s="94"/>
      <c r="I241" s="94"/>
      <c r="J241" s="94"/>
      <c r="K241" s="94"/>
      <c r="L241" s="94"/>
      <c r="M241" s="94"/>
      <c r="N241" s="54">
        <v>4</v>
      </c>
      <c r="O241" s="95">
        <f t="shared" si="3"/>
        <v>3.5087719298245612E-2</v>
      </c>
      <c r="P241" s="53">
        <v>745</v>
      </c>
      <c r="Q241" s="135">
        <f t="shared" si="4"/>
        <v>4.8335820411341074E-2</v>
      </c>
      <c r="R241" s="25"/>
      <c r="S241" s="25"/>
      <c r="T241" s="5"/>
    </row>
    <row r="242" spans="1:20" ht="15.6" x14ac:dyDescent="0.3">
      <c r="A242" s="24"/>
      <c r="B242" s="54" t="s">
        <v>213</v>
      </c>
      <c r="C242" s="94"/>
      <c r="D242" s="94"/>
      <c r="E242" s="94"/>
      <c r="F242" s="25"/>
      <c r="G242" s="95"/>
      <c r="H242" s="94"/>
      <c r="I242" s="94"/>
      <c r="J242" s="94"/>
      <c r="K242" s="94"/>
      <c r="L242" s="94"/>
      <c r="M242" s="94"/>
      <c r="N242" s="54">
        <v>9</v>
      </c>
      <c r="O242" s="95">
        <f t="shared" si="3"/>
        <v>7.8947368421052627E-2</v>
      </c>
      <c r="P242" s="53">
        <v>1567</v>
      </c>
      <c r="Q242" s="135">
        <f t="shared" si="4"/>
        <v>0.10166742360345163</v>
      </c>
      <c r="R242" s="25"/>
      <c r="S242" s="25"/>
      <c r="T242" s="5"/>
    </row>
    <row r="243" spans="1:20" ht="15.6" x14ac:dyDescent="0.3">
      <c r="A243" s="24"/>
      <c r="B243" s="54" t="s">
        <v>214</v>
      </c>
      <c r="C243" s="94"/>
      <c r="D243" s="94"/>
      <c r="E243" s="94"/>
      <c r="F243" s="25"/>
      <c r="G243" s="95"/>
      <c r="H243" s="94"/>
      <c r="I243" s="94"/>
      <c r="J243" s="94"/>
      <c r="K243" s="94"/>
      <c r="L243" s="94"/>
      <c r="M243" s="94"/>
      <c r="N243" s="54">
        <v>26</v>
      </c>
      <c r="O243" s="95">
        <f t="shared" si="3"/>
        <v>0.22807017543859648</v>
      </c>
      <c r="P243" s="53">
        <v>3424</v>
      </c>
      <c r="Q243" s="135">
        <f t="shared" si="4"/>
        <v>0.22215013300460651</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114</v>
      </c>
      <c r="O245" s="135">
        <f>SUM(O236:O244)</f>
        <v>1</v>
      </c>
      <c r="P245" s="53">
        <f>SUM(P236:P244)</f>
        <v>15413</v>
      </c>
      <c r="Q245" s="135">
        <f>SUM(Q236:Q244)</f>
        <v>0.99999999999999989</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f t="shared" ref="O248:O255" si="5">N248/$N$257</f>
        <v>0</v>
      </c>
      <c r="P248" s="53">
        <v>0</v>
      </c>
      <c r="Q248" s="95">
        <f t="shared" ref="Q248:Q255" si="6">P248/$P$257</f>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f t="shared" si="5"/>
        <v>0</v>
      </c>
      <c r="P249" s="53">
        <v>0</v>
      </c>
      <c r="Q249" s="95">
        <f t="shared" si="6"/>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f t="shared" si="5"/>
        <v>0</v>
      </c>
      <c r="P250" s="53">
        <v>0</v>
      </c>
      <c r="Q250" s="95">
        <f t="shared" si="6"/>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f t="shared" si="5"/>
        <v>0</v>
      </c>
      <c r="P251" s="53">
        <v>0</v>
      </c>
      <c r="Q251" s="95">
        <f t="shared" si="6"/>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f t="shared" si="5"/>
        <v>0</v>
      </c>
      <c r="P252" s="53">
        <v>0</v>
      </c>
      <c r="Q252" s="95">
        <f t="shared" si="6"/>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f t="shared" si="5"/>
        <v>0</v>
      </c>
      <c r="P253" s="53">
        <v>0</v>
      </c>
      <c r="Q253" s="95">
        <f t="shared" si="6"/>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1</v>
      </c>
      <c r="O254" s="95">
        <f t="shared" si="5"/>
        <v>0.33333333333333331</v>
      </c>
      <c r="P254" s="53">
        <v>27</v>
      </c>
      <c r="Q254" s="95">
        <f t="shared" si="6"/>
        <v>0.35526315789473684</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2</v>
      </c>
      <c r="O255" s="95">
        <f t="shared" si="5"/>
        <v>0.66666666666666663</v>
      </c>
      <c r="P255" s="53">
        <v>49</v>
      </c>
      <c r="Q255" s="95">
        <f t="shared" si="6"/>
        <v>0.64473684210526316</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3</v>
      </c>
      <c r="O257" s="95">
        <f>SUM(O248:O255)</f>
        <v>1</v>
      </c>
      <c r="P257" s="53">
        <f>SUM(P248:P255)</f>
        <v>76</v>
      </c>
      <c r="Q257" s="135">
        <f>SUM(Q248:Q255)</f>
        <v>1</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73">
        <f>+N233+N245+N257</f>
        <v>4220</v>
      </c>
      <c r="O259" s="158"/>
      <c r="P259" s="159">
        <f>+P257+P245+P233</f>
        <v>492224</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B188</f>
        <v>PM8 INVESTOR REPORT QUARTER ENDING SEPTEMBER 2009</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8"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3"/>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9.36328125" style="1" customWidth="1"/>
    <col min="5" max="5" width="2.08984375" style="1" customWidth="1"/>
    <col min="6" max="6" width="35.54296875" style="1" customWidth="1"/>
    <col min="7" max="7" width="2.08984375" style="1" customWidth="1"/>
    <col min="8" max="8" width="27.63281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242</v>
      </c>
      <c r="C9" s="8"/>
      <c r="D9" s="8"/>
      <c r="E9" s="8"/>
      <c r="F9" s="8"/>
      <c r="G9" s="8"/>
      <c r="H9" s="8"/>
      <c r="I9" s="8"/>
      <c r="J9" s="8"/>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0.82189999999999996</v>
      </c>
      <c r="P16" s="17" t="s">
        <v>161</v>
      </c>
      <c r="Q16" s="140">
        <v>0.17810000000000001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38551</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44409.3</v>
      </c>
      <c r="E31" s="32"/>
      <c r="F31" s="125">
        <f>F37*F30</f>
        <v>293108.64</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39908.450000000004</v>
      </c>
      <c r="E32" s="36"/>
      <c r="F32" s="126">
        <f>F36*F30</f>
        <v>263408.96999999997</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44409.3</v>
      </c>
      <c r="E34" s="32"/>
      <c r="F34" s="31">
        <f>+F31*0.696969697</f>
        <v>204287.84000888208</v>
      </c>
      <c r="G34" s="31"/>
      <c r="H34" s="31">
        <v>305000</v>
      </c>
      <c r="I34" s="31"/>
      <c r="J34" s="31">
        <v>315000</v>
      </c>
      <c r="K34" s="31"/>
      <c r="L34" s="31">
        <v>65000</v>
      </c>
      <c r="M34" s="31"/>
      <c r="N34" s="31">
        <v>35000</v>
      </c>
      <c r="O34" s="31"/>
      <c r="P34" s="31"/>
      <c r="Q34" s="147"/>
      <c r="R34" s="31">
        <f>SUM(C34:N34)</f>
        <v>968697.14000888215</v>
      </c>
      <c r="S34" s="34"/>
      <c r="T34" s="5"/>
    </row>
    <row r="35" spans="1:20" ht="15.6" x14ac:dyDescent="0.3">
      <c r="A35" s="28"/>
      <c r="B35" s="29" t="s">
        <v>287</v>
      </c>
      <c r="C35" s="36"/>
      <c r="D35" s="35">
        <f>D36*D33</f>
        <v>39908.450000000004</v>
      </c>
      <c r="E35" s="36"/>
      <c r="F35" s="35">
        <f>F36*F33</f>
        <v>183588.06999999998</v>
      </c>
      <c r="G35" s="35"/>
      <c r="H35" s="35">
        <v>305000</v>
      </c>
      <c r="I35" s="35"/>
      <c r="J35" s="35">
        <v>315000</v>
      </c>
      <c r="K35" s="35"/>
      <c r="L35" s="35">
        <v>65000</v>
      </c>
      <c r="M35" s="35"/>
      <c r="N35" s="35">
        <v>35000</v>
      </c>
      <c r="O35" s="35"/>
      <c r="P35" s="35"/>
      <c r="Q35" s="37"/>
      <c r="R35" s="35">
        <f>SUM(C35:N35)</f>
        <v>943496.52</v>
      </c>
      <c r="S35" s="34"/>
      <c r="T35" s="5"/>
    </row>
    <row r="36" spans="1:20" ht="15.6" x14ac:dyDescent="0.3">
      <c r="A36" s="28"/>
      <c r="B36" s="123" t="s">
        <v>149</v>
      </c>
      <c r="C36" s="127"/>
      <c r="D36" s="138">
        <v>0.79816900000000002</v>
      </c>
      <c r="E36" s="139"/>
      <c r="F36" s="138">
        <v>0.79820899999999995</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0.88818600000000003</v>
      </c>
      <c r="E37" s="139"/>
      <c r="F37" s="138">
        <v>0.888208</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5.0406300000000001E-2</v>
      </c>
      <c r="E39" s="25"/>
      <c r="F39" s="38">
        <v>2.248E-2</v>
      </c>
      <c r="G39" s="39"/>
      <c r="H39" s="38">
        <v>5.1206300000000003E-2</v>
      </c>
      <c r="I39" s="39"/>
      <c r="J39" s="38">
        <v>2.3179999999999999E-2</v>
      </c>
      <c r="K39" s="39"/>
      <c r="L39" s="38">
        <v>5.5806300000000003E-2</v>
      </c>
      <c r="M39" s="39"/>
      <c r="N39" s="38">
        <v>2.7380000000000002E-2</v>
      </c>
      <c r="O39" s="39"/>
      <c r="P39" s="38"/>
      <c r="Q39" s="146"/>
      <c r="R39" s="39"/>
      <c r="S39" s="25"/>
      <c r="T39" s="5"/>
    </row>
    <row r="40" spans="1:20" ht="15.6" x14ac:dyDescent="0.3">
      <c r="A40" s="24"/>
      <c r="B40" s="25" t="s">
        <v>14</v>
      </c>
      <c r="C40" s="25"/>
      <c r="D40" s="38">
        <v>5.0509900000000003E-2</v>
      </c>
      <c r="E40" s="25"/>
      <c r="F40" s="38">
        <v>2.282E-2</v>
      </c>
      <c r="G40" s="39"/>
      <c r="H40" s="38">
        <v>5.1309899999999999E-2</v>
      </c>
      <c r="I40" s="39"/>
      <c r="J40" s="38">
        <v>2.3519999999999999E-2</v>
      </c>
      <c r="K40" s="39"/>
      <c r="L40" s="38">
        <v>5.5909899999999998E-2</v>
      </c>
      <c r="M40" s="39"/>
      <c r="N40" s="38">
        <v>2.7720000000000002E-2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5.0406300000000001E-2</v>
      </c>
      <c r="E42" s="25"/>
      <c r="F42" s="38">
        <v>5.0619299999999999E-2</v>
      </c>
      <c r="G42" s="39"/>
      <c r="H42" s="38">
        <f>+H39</f>
        <v>5.1206300000000003E-2</v>
      </c>
      <c r="I42" s="39"/>
      <c r="J42" s="38">
        <v>5.1604299999999999E-2</v>
      </c>
      <c r="K42" s="39"/>
      <c r="L42" s="38">
        <f>+L39</f>
        <v>5.5806300000000003E-2</v>
      </c>
      <c r="M42" s="39"/>
      <c r="N42" s="38">
        <v>5.6183299999999999E-2</v>
      </c>
      <c r="O42" s="39"/>
      <c r="P42" s="38"/>
      <c r="Q42" s="146"/>
      <c r="R42" s="39">
        <f>SUMPRODUCT(D42:N42,D34:N34)/R34</f>
        <v>5.1663739771021441E-2</v>
      </c>
      <c r="S42" s="25"/>
      <c r="T42" s="5"/>
    </row>
    <row r="43" spans="1:20" ht="15.6" x14ac:dyDescent="0.3">
      <c r="A43" s="24"/>
      <c r="B43" s="25" t="s">
        <v>290</v>
      </c>
      <c r="C43" s="25"/>
      <c r="D43" s="38">
        <f>+D40</f>
        <v>5.0509900000000003E-2</v>
      </c>
      <c r="E43" s="25"/>
      <c r="F43" s="38">
        <v>5.0722900000000001E-2</v>
      </c>
      <c r="G43" s="39"/>
      <c r="H43" s="38">
        <f>+H40</f>
        <v>5.1309899999999999E-2</v>
      </c>
      <c r="I43" s="39"/>
      <c r="J43" s="38">
        <v>5.1707900000000001E-2</v>
      </c>
      <c r="K43" s="39"/>
      <c r="L43" s="38">
        <f>+L40</f>
        <v>5.5909899999999998E-2</v>
      </c>
      <c r="M43" s="39"/>
      <c r="N43" s="38">
        <v>5.6286900000000001E-2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0.11855413463946478</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38548</v>
      </c>
      <c r="S54" s="25"/>
      <c r="T54" s="5"/>
    </row>
    <row r="55" spans="1:21" ht="15.6" x14ac:dyDescent="0.3">
      <c r="A55" s="24"/>
      <c r="B55" s="25" t="s">
        <v>140</v>
      </c>
      <c r="C55" s="25"/>
      <c r="D55" s="25"/>
      <c r="E55" s="25"/>
      <c r="F55" s="25"/>
      <c r="G55" s="25"/>
      <c r="H55" s="58"/>
      <c r="I55" s="58"/>
      <c r="J55" s="58"/>
      <c r="K55" s="58"/>
      <c r="L55" s="58"/>
      <c r="M55" s="58"/>
      <c r="N55" s="25">
        <f>+R55-P55+1</f>
        <v>170</v>
      </c>
      <c r="O55" s="58"/>
      <c r="P55" s="45">
        <v>38287</v>
      </c>
      <c r="Q55" s="46"/>
      <c r="R55" s="45">
        <v>38456</v>
      </c>
      <c r="S55" s="25"/>
      <c r="T55" s="5"/>
    </row>
    <row r="56" spans="1:21" ht="15.6" x14ac:dyDescent="0.3">
      <c r="A56" s="24"/>
      <c r="B56" s="25" t="s">
        <v>141</v>
      </c>
      <c r="C56" s="25"/>
      <c r="D56" s="25"/>
      <c r="E56" s="25"/>
      <c r="F56" s="25"/>
      <c r="G56" s="25"/>
      <c r="H56" s="25"/>
      <c r="I56" s="25"/>
      <c r="J56" s="25"/>
      <c r="K56" s="25"/>
      <c r="L56" s="25"/>
      <c r="M56" s="25"/>
      <c r="N56" s="25">
        <f>+R56-P56+1</f>
        <v>91</v>
      </c>
      <c r="O56" s="25"/>
      <c r="P56" s="45">
        <v>38457</v>
      </c>
      <c r="Q56" s="46"/>
      <c r="R56" s="45">
        <v>38547</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38534</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238</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968697</v>
      </c>
      <c r="K67" s="34"/>
      <c r="L67" s="34">
        <f>25201+8817-1</f>
        <v>34017</v>
      </c>
      <c r="M67" s="34"/>
      <c r="N67" s="34">
        <v>8817</v>
      </c>
      <c r="O67" s="34"/>
      <c r="P67" s="34">
        <v>0</v>
      </c>
      <c r="Q67" s="34"/>
      <c r="R67" s="53">
        <f>+J67-L67+N67-P67</f>
        <v>943497</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968697</v>
      </c>
      <c r="K70" s="34"/>
      <c r="L70" s="34">
        <f>SUM(L67:L69)</f>
        <v>34017</v>
      </c>
      <c r="M70" s="34"/>
      <c r="N70" s="34">
        <f>SUM(N67:N69)</f>
        <v>8817</v>
      </c>
      <c r="O70" s="34"/>
      <c r="P70" s="34">
        <f>SUM(P67:P69)</f>
        <v>0</v>
      </c>
      <c r="Q70" s="34"/>
      <c r="R70" s="54">
        <f>SUM(R67:R69)</f>
        <v>943497</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v>0</v>
      </c>
      <c r="O80" s="34"/>
      <c r="P80" s="34"/>
      <c r="Q80" s="34"/>
      <c r="R80" s="54">
        <f>SUM(J80:N80)</f>
        <v>0</v>
      </c>
      <c r="S80" s="25"/>
      <c r="T80" s="5"/>
    </row>
    <row r="81" spans="1:20" ht="15.6" x14ac:dyDescent="0.3">
      <c r="A81" s="24"/>
      <c r="B81" s="25" t="s">
        <v>170</v>
      </c>
      <c r="C81" s="34"/>
      <c r="D81" s="34"/>
      <c r="E81" s="34"/>
      <c r="F81" s="34"/>
      <c r="G81" s="34"/>
      <c r="H81" s="34">
        <v>0</v>
      </c>
      <c r="I81" s="34"/>
      <c r="J81" s="34"/>
      <c r="K81" s="34"/>
      <c r="L81" s="34"/>
      <c r="M81" s="34"/>
      <c r="N81" s="34"/>
      <c r="O81" s="34"/>
      <c r="P81" s="34"/>
      <c r="Q81" s="34"/>
      <c r="R81" s="54"/>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968697</v>
      </c>
      <c r="K83" s="34"/>
      <c r="L83" s="34"/>
      <c r="M83" s="34"/>
      <c r="N83" s="34"/>
      <c r="O83" s="34"/>
      <c r="P83" s="54"/>
      <c r="Q83" s="34"/>
      <c r="R83" s="54">
        <f>SUM(R70:R82)</f>
        <v>943497</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
      <c r="I86" s="17"/>
      <c r="J86" s="17"/>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106</v>
      </c>
      <c r="I88" s="57"/>
      <c r="J88" s="128">
        <f>+P185</f>
        <v>38533</v>
      </c>
      <c r="K88" s="25"/>
      <c r="L88" s="25"/>
      <c r="M88" s="25"/>
      <c r="N88" s="25"/>
      <c r="O88" s="25"/>
      <c r="P88" s="34">
        <v>34017</v>
      </c>
      <c r="Q88" s="25"/>
      <c r="R88" s="53"/>
      <c r="S88" s="25"/>
      <c r="T88" s="5"/>
    </row>
    <row r="89" spans="1:20" ht="15.6" x14ac:dyDescent="0.3">
      <c r="A89" s="24"/>
      <c r="B89" s="25" t="s">
        <v>34</v>
      </c>
      <c r="C89" s="25"/>
      <c r="D89" s="25"/>
      <c r="E89" s="25"/>
      <c r="F89" s="25"/>
      <c r="G89" s="25"/>
      <c r="H89" s="25"/>
      <c r="I89" s="25"/>
      <c r="J89" s="25"/>
      <c r="K89" s="25"/>
      <c r="L89" s="25"/>
      <c r="M89" s="25"/>
      <c r="N89" s="25"/>
      <c r="O89" s="25"/>
      <c r="P89" s="34"/>
      <c r="Q89" s="25"/>
      <c r="R89" s="53">
        <f>15780-13</f>
        <v>15767</v>
      </c>
      <c r="S89" s="25"/>
      <c r="T89" s="5"/>
    </row>
    <row r="90" spans="1:20" ht="15.6" x14ac:dyDescent="0.3">
      <c r="A90" s="24"/>
      <c r="B90" s="25" t="s">
        <v>154</v>
      </c>
      <c r="C90" s="25"/>
      <c r="D90" s="25"/>
      <c r="E90" s="25"/>
      <c r="F90" s="25"/>
      <c r="G90" s="25"/>
      <c r="H90" s="25"/>
      <c r="I90" s="25"/>
      <c r="J90" s="25"/>
      <c r="K90" s="25"/>
      <c r="L90" s="25"/>
      <c r="M90" s="25"/>
      <c r="N90" s="25"/>
      <c r="O90" s="25"/>
      <c r="P90" s="34"/>
      <c r="Q90" s="25"/>
      <c r="R90" s="53">
        <v>0</v>
      </c>
      <c r="S90" s="25"/>
      <c r="T90" s="5"/>
    </row>
    <row r="91" spans="1:20" ht="15.6" x14ac:dyDescent="0.3">
      <c r="A91" s="24"/>
      <c r="B91" s="25" t="s">
        <v>199</v>
      </c>
      <c r="C91" s="25"/>
      <c r="D91" s="25"/>
      <c r="E91" s="25"/>
      <c r="F91" s="25"/>
      <c r="G91" s="25"/>
      <c r="H91" s="25"/>
      <c r="I91" s="25"/>
      <c r="J91" s="25"/>
      <c r="K91" s="25"/>
      <c r="L91" s="25"/>
      <c r="M91" s="25"/>
      <c r="N91" s="25"/>
      <c r="O91" s="25"/>
      <c r="P91" s="34"/>
      <c r="Q91" s="25"/>
      <c r="R91" s="53">
        <v>389</v>
      </c>
      <c r="S91" s="25"/>
      <c r="T91" s="5"/>
    </row>
    <row r="92" spans="1:20" ht="15.6" x14ac:dyDescent="0.3">
      <c r="A92" s="24"/>
      <c r="B92" s="25" t="s">
        <v>35</v>
      </c>
      <c r="C92" s="25"/>
      <c r="D92" s="25"/>
      <c r="E92" s="25"/>
      <c r="F92" s="25"/>
      <c r="G92" s="25"/>
      <c r="H92" s="25"/>
      <c r="I92" s="25"/>
      <c r="J92" s="25"/>
      <c r="K92" s="25"/>
      <c r="L92" s="25"/>
      <c r="M92" s="25"/>
      <c r="N92" s="25"/>
      <c r="O92" s="25"/>
      <c r="P92" s="34">
        <f>SUM(P87:P91)</f>
        <v>34017</v>
      </c>
      <c r="Q92" s="25"/>
      <c r="R92" s="54">
        <f>SUM(R87:R91)</f>
        <v>16156</v>
      </c>
      <c r="S92" s="25"/>
      <c r="T92" s="5"/>
    </row>
    <row r="93" spans="1:20" ht="15.6" x14ac:dyDescent="0.3">
      <c r="A93" s="24"/>
      <c r="B93" s="25" t="s">
        <v>235</v>
      </c>
      <c r="C93" s="25"/>
      <c r="D93" s="25"/>
      <c r="E93" s="25"/>
      <c r="F93" s="25"/>
      <c r="G93" s="25"/>
      <c r="H93" s="25"/>
      <c r="I93" s="25"/>
      <c r="J93" s="25"/>
      <c r="K93" s="25"/>
      <c r="L93" s="25"/>
      <c r="M93" s="25"/>
      <c r="N93" s="25"/>
      <c r="O93" s="25"/>
      <c r="P93" s="34">
        <v>-13</v>
      </c>
      <c r="Q93" s="25"/>
      <c r="R93" s="54">
        <f>-P93</f>
        <v>13</v>
      </c>
      <c r="S93" s="25"/>
      <c r="T93" s="5"/>
    </row>
    <row r="94" spans="1:20" ht="15.6" x14ac:dyDescent="0.3">
      <c r="A94" s="24"/>
      <c r="B94" s="25" t="s">
        <v>36</v>
      </c>
      <c r="C94" s="25"/>
      <c r="D94" s="25"/>
      <c r="E94" s="25"/>
      <c r="F94" s="25"/>
      <c r="G94" s="25"/>
      <c r="H94" s="25"/>
      <c r="I94" s="25"/>
      <c r="J94" s="25"/>
      <c r="K94" s="25"/>
      <c r="L94" s="25"/>
      <c r="M94" s="25"/>
      <c r="N94" s="25"/>
      <c r="O94" s="25"/>
      <c r="P94" s="34">
        <f>-R94</f>
        <v>0</v>
      </c>
      <c r="Q94" s="25"/>
      <c r="R94" s="53">
        <v>0</v>
      </c>
      <c r="S94" s="25"/>
      <c r="T94" s="5"/>
    </row>
    <row r="95" spans="1:20" ht="15.6" x14ac:dyDescent="0.3">
      <c r="A95" s="24"/>
      <c r="B95" s="25" t="s">
        <v>37</v>
      </c>
      <c r="C95" s="25"/>
      <c r="D95" s="25"/>
      <c r="E95" s="25"/>
      <c r="F95" s="25"/>
      <c r="G95" s="25"/>
      <c r="H95" s="25"/>
      <c r="I95" s="25"/>
      <c r="J95" s="25"/>
      <c r="K95" s="25"/>
      <c r="L95" s="25"/>
      <c r="M95" s="25"/>
      <c r="N95" s="25"/>
      <c r="O95" s="25"/>
      <c r="P95" s="34">
        <f>P92+P94+P93</f>
        <v>34004</v>
      </c>
      <c r="Q95" s="25"/>
      <c r="R95" s="54">
        <f>R92+R94+R93</f>
        <v>16169</v>
      </c>
      <c r="S95" s="25"/>
      <c r="T95" s="5"/>
    </row>
    <row r="96" spans="1:20" ht="15.6" x14ac:dyDescent="0.3">
      <c r="A96" s="24"/>
      <c r="B96" s="119" t="s">
        <v>38</v>
      </c>
      <c r="C96" s="25"/>
      <c r="D96" s="25"/>
      <c r="E96" s="25"/>
      <c r="F96" s="25"/>
      <c r="G96" s="25"/>
      <c r="H96" s="25"/>
      <c r="I96" s="25"/>
      <c r="J96" s="25"/>
      <c r="K96" s="25"/>
      <c r="L96" s="25"/>
      <c r="M96" s="25"/>
      <c r="N96" s="25"/>
      <c r="O96" s="25"/>
      <c r="P96" s="34"/>
      <c r="Q96" s="25"/>
      <c r="R96" s="53"/>
      <c r="S96" s="25"/>
      <c r="T96" s="5"/>
    </row>
    <row r="97" spans="1:21" ht="15.6" x14ac:dyDescent="0.3">
      <c r="A97" s="24">
        <v>1</v>
      </c>
      <c r="B97" s="25" t="s">
        <v>39</v>
      </c>
      <c r="C97" s="25"/>
      <c r="D97" s="25"/>
      <c r="E97" s="25"/>
      <c r="F97" s="25"/>
      <c r="G97" s="25"/>
      <c r="H97" s="25"/>
      <c r="I97" s="25"/>
      <c r="J97" s="25"/>
      <c r="K97" s="25"/>
      <c r="L97" s="25"/>
      <c r="M97" s="25"/>
      <c r="N97" s="25"/>
      <c r="O97" s="25"/>
      <c r="P97" s="25"/>
      <c r="Q97" s="25"/>
      <c r="R97" s="53">
        <v>0</v>
      </c>
      <c r="S97" s="25"/>
      <c r="T97" s="5"/>
    </row>
    <row r="98" spans="1:21" ht="15.6" x14ac:dyDescent="0.3">
      <c r="A98" s="24">
        <f>+A97+1</f>
        <v>2</v>
      </c>
      <c r="B98" s="25" t="s">
        <v>40</v>
      </c>
      <c r="C98" s="25"/>
      <c r="D98" s="25"/>
      <c r="E98" s="25"/>
      <c r="F98" s="25"/>
      <c r="G98" s="25"/>
      <c r="H98" s="25"/>
      <c r="I98" s="25"/>
      <c r="J98" s="25"/>
      <c r="K98" s="25"/>
      <c r="L98" s="25"/>
      <c r="M98" s="25"/>
      <c r="N98" s="25"/>
      <c r="O98" s="25"/>
      <c r="P98" s="25"/>
      <c r="Q98" s="25"/>
      <c r="R98" s="53">
        <v>-2</v>
      </c>
      <c r="S98" s="25"/>
      <c r="T98" s="5"/>
    </row>
    <row r="99" spans="1:21" ht="15.6" x14ac:dyDescent="0.3">
      <c r="A99" s="24">
        <f>+A98+1</f>
        <v>3</v>
      </c>
      <c r="B99" s="25" t="s">
        <v>174</v>
      </c>
      <c r="C99" s="25"/>
      <c r="D99" s="25"/>
      <c r="E99" s="25"/>
      <c r="F99" s="25"/>
      <c r="G99" s="25"/>
      <c r="H99" s="25"/>
      <c r="I99" s="25"/>
      <c r="J99" s="25"/>
      <c r="K99" s="25"/>
      <c r="L99" s="25"/>
      <c r="M99" s="25"/>
      <c r="N99" s="25"/>
      <c r="O99" s="25"/>
      <c r="P99" s="25"/>
      <c r="Q99" s="25"/>
      <c r="R99" s="53">
        <f>-239-17-18</f>
        <v>-274</v>
      </c>
      <c r="S99" s="25"/>
      <c r="T99" s="5"/>
    </row>
    <row r="100" spans="1:21" ht="15.6" x14ac:dyDescent="0.3">
      <c r="A100" s="24" t="s">
        <v>146</v>
      </c>
      <c r="B100" s="25" t="s">
        <v>131</v>
      </c>
      <c r="C100" s="25"/>
      <c r="D100" s="25"/>
      <c r="E100" s="25"/>
      <c r="F100" s="25"/>
      <c r="G100" s="25"/>
      <c r="H100" s="25"/>
      <c r="I100" s="25"/>
      <c r="J100" s="25"/>
      <c r="K100" s="25"/>
      <c r="L100" s="25"/>
      <c r="M100" s="25"/>
      <c r="N100" s="25"/>
      <c r="O100" s="25"/>
      <c r="P100" s="25"/>
      <c r="Q100" s="25"/>
      <c r="R100" s="53">
        <v>-215</v>
      </c>
      <c r="S100" s="25"/>
      <c r="T100" s="5"/>
    </row>
    <row r="101" spans="1:21" ht="15.6" x14ac:dyDescent="0.3">
      <c r="A101" s="24" t="s">
        <v>147</v>
      </c>
      <c r="B101" s="25" t="s">
        <v>218</v>
      </c>
      <c r="C101" s="25"/>
      <c r="D101" s="25"/>
      <c r="E101" s="25"/>
      <c r="F101" s="25"/>
      <c r="G101" s="25"/>
      <c r="H101" s="25"/>
      <c r="I101" s="25"/>
      <c r="J101" s="25"/>
      <c r="K101" s="25"/>
      <c r="L101" s="25"/>
      <c r="M101" s="25"/>
      <c r="N101" s="25"/>
      <c r="O101" s="25"/>
      <c r="P101" s="25"/>
      <c r="Q101" s="25"/>
      <c r="R101" s="53">
        <v>-2</v>
      </c>
      <c r="S101" s="25"/>
      <c r="T101" s="5"/>
    </row>
    <row r="102" spans="1:21" ht="15.6" x14ac:dyDescent="0.3">
      <c r="A102" s="24" t="s">
        <v>176</v>
      </c>
      <c r="B102" s="25" t="s">
        <v>230</v>
      </c>
      <c r="C102" s="25"/>
      <c r="D102" s="25"/>
      <c r="E102" s="25"/>
      <c r="F102" s="25"/>
      <c r="G102" s="25"/>
      <c r="H102" s="25"/>
      <c r="I102" s="25"/>
      <c r="J102" s="25"/>
      <c r="K102" s="25"/>
      <c r="L102" s="25"/>
      <c r="M102" s="25"/>
      <c r="N102" s="25"/>
      <c r="O102" s="25"/>
      <c r="P102" s="25"/>
      <c r="Q102" s="25"/>
      <c r="R102" s="53">
        <v>-558</v>
      </c>
      <c r="S102" s="25"/>
      <c r="T102" s="5"/>
      <c r="U102" s="110"/>
    </row>
    <row r="103" spans="1:21" ht="15.6" x14ac:dyDescent="0.3">
      <c r="A103" s="24" t="s">
        <v>177</v>
      </c>
      <c r="B103" s="25" t="s">
        <v>231</v>
      </c>
      <c r="C103" s="25"/>
      <c r="D103" s="25"/>
      <c r="E103" s="25"/>
      <c r="F103" s="25"/>
      <c r="G103" s="25"/>
      <c r="H103" s="25"/>
      <c r="I103" s="25"/>
      <c r="J103" s="25"/>
      <c r="K103" s="25"/>
      <c r="L103" s="25"/>
      <c r="M103" s="25"/>
      <c r="N103" s="25"/>
      <c r="O103" s="25"/>
      <c r="P103" s="25"/>
      <c r="Q103" s="25"/>
      <c r="R103" s="53">
        <v>-2579</v>
      </c>
      <c r="S103" s="25"/>
      <c r="T103" s="5"/>
      <c r="U103" s="110"/>
    </row>
    <row r="104" spans="1:21" ht="15.6" x14ac:dyDescent="0.3">
      <c r="A104" s="24" t="s">
        <v>248</v>
      </c>
      <c r="B104" s="25" t="s">
        <v>232</v>
      </c>
      <c r="C104" s="25"/>
      <c r="D104" s="25"/>
      <c r="E104" s="25"/>
      <c r="F104" s="25"/>
      <c r="G104" s="25"/>
      <c r="H104" s="25"/>
      <c r="I104" s="25"/>
      <c r="J104" s="25"/>
      <c r="K104" s="25"/>
      <c r="L104" s="25"/>
      <c r="M104" s="25"/>
      <c r="N104" s="25"/>
      <c r="O104" s="25"/>
      <c r="P104" s="25"/>
      <c r="Q104" s="25"/>
      <c r="R104" s="53">
        <v>-3894</v>
      </c>
      <c r="S104" s="25"/>
      <c r="T104" s="5"/>
    </row>
    <row r="105" spans="1:21" ht="15.6" x14ac:dyDescent="0.3">
      <c r="A105" s="24" t="s">
        <v>205</v>
      </c>
      <c r="B105" s="25" t="s">
        <v>233</v>
      </c>
      <c r="C105" s="25"/>
      <c r="D105" s="25"/>
      <c r="E105" s="25"/>
      <c r="F105" s="25"/>
      <c r="G105" s="25"/>
      <c r="H105" s="25"/>
      <c r="I105" s="25"/>
      <c r="J105" s="25"/>
      <c r="K105" s="25"/>
      <c r="L105" s="25"/>
      <c r="M105" s="25"/>
      <c r="N105" s="25"/>
      <c r="O105" s="25"/>
      <c r="P105" s="25"/>
      <c r="Q105" s="25"/>
      <c r="R105" s="53">
        <v>-4052</v>
      </c>
      <c r="S105" s="25"/>
      <c r="T105" s="5"/>
    </row>
    <row r="106" spans="1:21" ht="15.6" x14ac:dyDescent="0.3">
      <c r="A106" s="24" t="s">
        <v>249</v>
      </c>
      <c r="B106" s="25" t="s">
        <v>234</v>
      </c>
      <c r="C106" s="25"/>
      <c r="D106" s="25"/>
      <c r="E106" s="25"/>
      <c r="F106" s="25"/>
      <c r="G106" s="25"/>
      <c r="H106" s="25"/>
      <c r="I106" s="25"/>
      <c r="J106" s="25"/>
      <c r="K106" s="25"/>
      <c r="L106" s="25"/>
      <c r="M106" s="25"/>
      <c r="N106" s="25"/>
      <c r="O106" s="25"/>
      <c r="P106" s="25"/>
      <c r="Q106" s="25"/>
      <c r="R106" s="53">
        <v>-904</v>
      </c>
      <c r="S106" s="25"/>
      <c r="T106" s="5"/>
      <c r="U106" s="110"/>
    </row>
    <row r="107" spans="1:21" ht="15.6" x14ac:dyDescent="0.3">
      <c r="A107" s="24" t="s">
        <v>250</v>
      </c>
      <c r="B107" s="25" t="s">
        <v>168</v>
      </c>
      <c r="C107" s="25"/>
      <c r="D107" s="25"/>
      <c r="E107" s="25"/>
      <c r="F107" s="25"/>
      <c r="G107" s="25"/>
      <c r="H107" s="25"/>
      <c r="I107" s="25"/>
      <c r="J107" s="25"/>
      <c r="K107" s="25"/>
      <c r="L107" s="25"/>
      <c r="M107" s="25"/>
      <c r="N107" s="25"/>
      <c r="O107" s="25"/>
      <c r="P107" s="25"/>
      <c r="Q107" s="25"/>
      <c r="R107" s="53">
        <v>-491</v>
      </c>
      <c r="S107" s="25"/>
      <c r="T107" s="5"/>
    </row>
    <row r="108" spans="1:21" ht="15.6" x14ac:dyDescent="0.3">
      <c r="A108" s="24">
        <v>6</v>
      </c>
      <c r="B108" s="25" t="s">
        <v>41</v>
      </c>
      <c r="C108" s="25"/>
      <c r="D108" s="25"/>
      <c r="E108" s="25"/>
      <c r="F108" s="25"/>
      <c r="G108" s="25"/>
      <c r="H108" s="25"/>
      <c r="I108" s="25"/>
      <c r="J108" s="25"/>
      <c r="K108" s="25"/>
      <c r="L108" s="25"/>
      <c r="M108" s="25"/>
      <c r="N108" s="25"/>
      <c r="O108" s="25"/>
      <c r="P108" s="25"/>
      <c r="Q108" s="25"/>
      <c r="R108" s="53">
        <v>-5</v>
      </c>
      <c r="S108" s="25"/>
      <c r="T108" s="5"/>
    </row>
    <row r="109" spans="1:21" ht="15.6" x14ac:dyDescent="0.3">
      <c r="A109" s="24">
        <f t="shared" ref="A109:A114" si="0">+A108+1</f>
        <v>7</v>
      </c>
      <c r="B109" s="25" t="s">
        <v>53</v>
      </c>
      <c r="C109" s="25"/>
      <c r="D109" s="25"/>
      <c r="E109" s="25"/>
      <c r="F109" s="25"/>
      <c r="G109" s="25"/>
      <c r="H109" s="25"/>
      <c r="I109" s="25"/>
      <c r="J109" s="25"/>
      <c r="K109" s="25"/>
      <c r="L109" s="25"/>
      <c r="M109" s="25"/>
      <c r="N109" s="25"/>
      <c r="O109" s="25"/>
      <c r="P109" s="25"/>
      <c r="Q109" s="25"/>
      <c r="R109" s="53">
        <v>0</v>
      </c>
      <c r="S109" s="25"/>
      <c r="T109" s="5"/>
    </row>
    <row r="110" spans="1:21" ht="15.6" x14ac:dyDescent="0.3">
      <c r="A110" s="24">
        <f t="shared" si="0"/>
        <v>8</v>
      </c>
      <c r="B110" s="25" t="s">
        <v>144</v>
      </c>
      <c r="C110" s="25"/>
      <c r="D110" s="25"/>
      <c r="E110" s="25"/>
      <c r="F110" s="25"/>
      <c r="G110" s="25"/>
      <c r="H110" s="25"/>
      <c r="I110" s="25"/>
      <c r="J110" s="25"/>
      <c r="K110" s="25"/>
      <c r="L110" s="25"/>
      <c r="M110" s="25"/>
      <c r="N110" s="25"/>
      <c r="O110" s="25"/>
      <c r="P110" s="25"/>
      <c r="Q110" s="25"/>
      <c r="R110" s="53">
        <v>0</v>
      </c>
      <c r="S110" s="25"/>
      <c r="T110" s="5"/>
    </row>
    <row r="111" spans="1:21" ht="15.6" x14ac:dyDescent="0.3">
      <c r="A111" s="24">
        <f t="shared" si="0"/>
        <v>9</v>
      </c>
      <c r="B111" s="25" t="s">
        <v>42</v>
      </c>
      <c r="C111" s="25"/>
      <c r="D111" s="25"/>
      <c r="E111" s="25"/>
      <c r="F111" s="25"/>
      <c r="G111" s="25"/>
      <c r="H111" s="25"/>
      <c r="I111" s="25"/>
      <c r="J111" s="25"/>
      <c r="K111" s="25"/>
      <c r="L111" s="25"/>
      <c r="M111" s="25"/>
      <c r="N111" s="25"/>
      <c r="O111" s="25"/>
      <c r="P111" s="25"/>
      <c r="Q111" s="25"/>
      <c r="R111" s="53">
        <v>0</v>
      </c>
      <c r="S111" s="25"/>
      <c r="T111" s="5"/>
    </row>
    <row r="112" spans="1:21" ht="15.6" x14ac:dyDescent="0.3">
      <c r="A112" s="24">
        <f t="shared" si="0"/>
        <v>10</v>
      </c>
      <c r="B112" s="25" t="s">
        <v>43</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11</v>
      </c>
      <c r="B113" s="25" t="s">
        <v>175</v>
      </c>
      <c r="C113" s="25"/>
      <c r="D113" s="25"/>
      <c r="E113" s="25"/>
      <c r="F113" s="25"/>
      <c r="G113" s="25"/>
      <c r="H113" s="25"/>
      <c r="I113" s="25"/>
      <c r="J113" s="25"/>
      <c r="K113" s="25"/>
      <c r="L113" s="25"/>
      <c r="M113" s="25"/>
      <c r="N113" s="25"/>
      <c r="O113" s="25"/>
      <c r="P113" s="25"/>
      <c r="Q113" s="25"/>
      <c r="R113" s="53">
        <v>-486</v>
      </c>
      <c r="S113" s="25"/>
      <c r="T113" s="5"/>
    </row>
    <row r="114" spans="1:20" ht="15.6" x14ac:dyDescent="0.3">
      <c r="A114" s="24">
        <f t="shared" si="0"/>
        <v>12</v>
      </c>
      <c r="B114" s="25" t="s">
        <v>145</v>
      </c>
      <c r="C114" s="25"/>
      <c r="D114" s="25"/>
      <c r="E114" s="25"/>
      <c r="F114" s="25"/>
      <c r="G114" s="25"/>
      <c r="H114" s="25"/>
      <c r="I114" s="25"/>
      <c r="J114" s="25"/>
      <c r="K114" s="25"/>
      <c r="L114" s="25"/>
      <c r="M114" s="25"/>
      <c r="N114" s="25"/>
      <c r="O114" s="25"/>
      <c r="P114" s="25"/>
      <c r="Q114" s="25"/>
      <c r="R114" s="53">
        <f>-R95-SUM(R97:R113)</f>
        <v>-2707</v>
      </c>
      <c r="S114" s="25"/>
      <c r="T114" s="5"/>
    </row>
    <row r="115" spans="1:20" ht="15.6" x14ac:dyDescent="0.3">
      <c r="A115" s="24"/>
      <c r="B115" s="119" t="s">
        <v>44</v>
      </c>
      <c r="C115" s="25"/>
      <c r="D115" s="25"/>
      <c r="E115" s="25"/>
      <c r="F115" s="25"/>
      <c r="G115" s="25"/>
      <c r="H115" s="25"/>
      <c r="I115" s="25"/>
      <c r="J115" s="25"/>
      <c r="K115" s="25"/>
      <c r="L115" s="25"/>
      <c r="M115" s="25"/>
      <c r="N115" s="25"/>
      <c r="O115" s="25"/>
      <c r="P115" s="25"/>
      <c r="Q115" s="25"/>
      <c r="R115" s="59"/>
      <c r="S115" s="25"/>
      <c r="T115" s="5"/>
    </row>
    <row r="116" spans="1:20" ht="15.6" x14ac:dyDescent="0.3">
      <c r="A116" s="24"/>
      <c r="B116" s="25" t="s">
        <v>45</v>
      </c>
      <c r="C116" s="25"/>
      <c r="D116" s="25"/>
      <c r="E116" s="25"/>
      <c r="F116" s="25"/>
      <c r="G116" s="25"/>
      <c r="H116" s="25"/>
      <c r="I116" s="25"/>
      <c r="J116" s="25"/>
      <c r="K116" s="25"/>
      <c r="L116" s="25"/>
      <c r="M116" s="25"/>
      <c r="N116" s="25"/>
      <c r="O116" s="25"/>
      <c r="P116" s="34">
        <v>-1919</v>
      </c>
      <c r="Q116" s="34"/>
      <c r="R116" s="53"/>
      <c r="S116" s="25"/>
      <c r="T116" s="5"/>
    </row>
    <row r="117" spans="1:20" ht="15.6" x14ac:dyDescent="0.3">
      <c r="A117" s="24"/>
      <c r="B117" s="25" t="s">
        <v>46</v>
      </c>
      <c r="C117" s="25"/>
      <c r="D117" s="25"/>
      <c r="E117" s="25"/>
      <c r="F117" s="25"/>
      <c r="G117" s="25"/>
      <c r="H117" s="25"/>
      <c r="I117" s="25"/>
      <c r="J117" s="25"/>
      <c r="K117" s="25"/>
      <c r="L117" s="25"/>
      <c r="M117" s="25"/>
      <c r="N117" s="25"/>
      <c r="O117" s="25"/>
      <c r="P117" s="34">
        <f>-O171</f>
        <v>-6885</v>
      </c>
      <c r="Q117" s="34"/>
      <c r="R117" s="53"/>
      <c r="S117" s="25"/>
      <c r="T117" s="5"/>
    </row>
    <row r="118" spans="1:20" ht="15.6" x14ac:dyDescent="0.3">
      <c r="A118" s="24"/>
      <c r="B118" s="25" t="s">
        <v>219</v>
      </c>
      <c r="C118" s="25"/>
      <c r="D118" s="25"/>
      <c r="E118" s="25"/>
      <c r="F118" s="25"/>
      <c r="G118" s="25"/>
      <c r="H118" s="25"/>
      <c r="I118" s="25"/>
      <c r="J118" s="25"/>
      <c r="K118" s="25"/>
      <c r="L118" s="25"/>
      <c r="M118" s="25"/>
      <c r="N118" s="25"/>
      <c r="O118" s="25"/>
      <c r="P118" s="34">
        <v>-4501</v>
      </c>
      <c r="Q118" s="34"/>
      <c r="R118" s="53"/>
      <c r="S118" s="25"/>
      <c r="T118" s="5"/>
    </row>
    <row r="119" spans="1:20" ht="15.6" x14ac:dyDescent="0.3">
      <c r="A119" s="24"/>
      <c r="B119" s="25" t="s">
        <v>220</v>
      </c>
      <c r="C119" s="25"/>
      <c r="D119" s="25"/>
      <c r="E119" s="25"/>
      <c r="F119" s="25"/>
      <c r="G119" s="25"/>
      <c r="H119" s="25"/>
      <c r="I119" s="25"/>
      <c r="J119" s="25"/>
      <c r="K119" s="25"/>
      <c r="L119" s="25"/>
      <c r="M119" s="25"/>
      <c r="N119" s="25"/>
      <c r="O119" s="25"/>
      <c r="P119" s="34">
        <v>-20699</v>
      </c>
      <c r="Q119" s="34"/>
      <c r="R119" s="53"/>
      <c r="S119" s="25"/>
      <c r="T119" s="5"/>
    </row>
    <row r="120" spans="1:20" ht="15.6" x14ac:dyDescent="0.3">
      <c r="A120" s="24"/>
      <c r="B120" s="25" t="s">
        <v>221</v>
      </c>
      <c r="C120" s="25"/>
      <c r="D120" s="25"/>
      <c r="E120" s="25"/>
      <c r="F120" s="25"/>
      <c r="G120" s="25"/>
      <c r="H120" s="25"/>
      <c r="I120" s="25"/>
      <c r="J120" s="25"/>
      <c r="K120" s="25"/>
      <c r="L120" s="25"/>
      <c r="M120" s="25"/>
      <c r="N120" s="25"/>
      <c r="O120" s="25"/>
      <c r="P120" s="34">
        <v>0</v>
      </c>
      <c r="Q120" s="34"/>
      <c r="R120" s="53"/>
      <c r="S120" s="25"/>
      <c r="T120" s="5"/>
    </row>
    <row r="121" spans="1:20" ht="15.6" x14ac:dyDescent="0.3">
      <c r="A121" s="24"/>
      <c r="B121" s="25" t="s">
        <v>222</v>
      </c>
      <c r="C121" s="25"/>
      <c r="D121" s="25"/>
      <c r="E121" s="25"/>
      <c r="F121" s="25"/>
      <c r="G121" s="25"/>
      <c r="H121" s="25"/>
      <c r="I121" s="25"/>
      <c r="J121" s="25"/>
      <c r="K121" s="25"/>
      <c r="L121" s="25"/>
      <c r="M121" s="25"/>
      <c r="N121" s="25"/>
      <c r="O121" s="25"/>
      <c r="P121" s="34">
        <v>0</v>
      </c>
      <c r="Q121" s="34"/>
      <c r="R121" s="53"/>
      <c r="S121" s="25"/>
      <c r="T121" s="5"/>
    </row>
    <row r="122" spans="1:20" ht="15.6" x14ac:dyDescent="0.3">
      <c r="A122" s="24"/>
      <c r="B122" s="25" t="s">
        <v>223</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173</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47</v>
      </c>
      <c r="C124" s="25"/>
      <c r="D124" s="25"/>
      <c r="E124" s="25"/>
      <c r="F124" s="25"/>
      <c r="G124" s="25"/>
      <c r="H124" s="25"/>
      <c r="I124" s="25"/>
      <c r="J124" s="25"/>
      <c r="K124" s="25"/>
      <c r="L124" s="25"/>
      <c r="M124" s="25"/>
      <c r="N124" s="25"/>
      <c r="O124" s="25"/>
      <c r="P124" s="34">
        <f>SUM(P116:P123)</f>
        <v>-34004</v>
      </c>
      <c r="Q124" s="34"/>
      <c r="R124" s="34">
        <f>SUM(R96:R123)</f>
        <v>-16169</v>
      </c>
      <c r="S124" s="25"/>
      <c r="T124" s="5"/>
    </row>
    <row r="125" spans="1:20" ht="15.6" x14ac:dyDescent="0.3">
      <c r="A125" s="24"/>
      <c r="B125" s="25" t="s">
        <v>48</v>
      </c>
      <c r="C125" s="25"/>
      <c r="D125" s="25"/>
      <c r="E125" s="25"/>
      <c r="F125" s="25"/>
      <c r="G125" s="25"/>
      <c r="H125" s="25"/>
      <c r="I125" s="25"/>
      <c r="J125" s="25"/>
      <c r="K125" s="25"/>
      <c r="L125" s="25"/>
      <c r="M125" s="25"/>
      <c r="N125" s="25"/>
      <c r="O125" s="25"/>
      <c r="P125" s="34">
        <f>P95+P124</f>
        <v>0</v>
      </c>
      <c r="Q125" s="34"/>
      <c r="R125" s="34">
        <f>R95+R124</f>
        <v>0</v>
      </c>
      <c r="S125" s="25"/>
      <c r="T125" s="5"/>
    </row>
    <row r="126" spans="1:20" ht="15.6" x14ac:dyDescent="0.3">
      <c r="A126" s="24"/>
      <c r="B126" s="25"/>
      <c r="C126" s="25"/>
      <c r="D126" s="25"/>
      <c r="E126" s="25"/>
      <c r="F126" s="25"/>
      <c r="G126" s="25"/>
      <c r="H126" s="25"/>
      <c r="I126" s="25"/>
      <c r="J126" s="25"/>
      <c r="K126" s="25"/>
      <c r="L126" s="25"/>
      <c r="M126" s="25"/>
      <c r="N126" s="25"/>
      <c r="O126" s="25"/>
      <c r="P126" s="34"/>
      <c r="Q126" s="34"/>
      <c r="R126" s="34"/>
      <c r="S126" s="25"/>
      <c r="T126" s="5"/>
    </row>
    <row r="127" spans="1:20" ht="15.6" x14ac:dyDescent="0.3">
      <c r="A127" s="6"/>
      <c r="B127" s="8"/>
      <c r="C127" s="8"/>
      <c r="D127" s="8"/>
      <c r="E127" s="8"/>
      <c r="F127" s="8"/>
      <c r="G127" s="8"/>
      <c r="H127" s="8"/>
      <c r="I127" s="8"/>
      <c r="J127" s="8"/>
      <c r="K127" s="8"/>
      <c r="L127" s="8"/>
      <c r="M127" s="8"/>
      <c r="N127" s="8"/>
      <c r="O127" s="8"/>
      <c r="P127" s="8"/>
      <c r="Q127" s="8"/>
      <c r="R127" s="52"/>
      <c r="S127" s="8"/>
      <c r="T127" s="5"/>
    </row>
    <row r="128" spans="1:20" ht="18" thickBot="1" x14ac:dyDescent="0.35">
      <c r="A128" s="102"/>
      <c r="B128" s="103" t="str">
        <f>B62</f>
        <v>PM8 INVESTOR REPORT QUARTER ENDING JUNE 2005</v>
      </c>
      <c r="C128" s="104"/>
      <c r="D128" s="104"/>
      <c r="E128" s="104"/>
      <c r="F128" s="104"/>
      <c r="G128" s="104"/>
      <c r="H128" s="104"/>
      <c r="I128" s="104"/>
      <c r="J128" s="104"/>
      <c r="K128" s="104"/>
      <c r="L128" s="104"/>
      <c r="M128" s="104"/>
      <c r="N128" s="104"/>
      <c r="O128" s="104"/>
      <c r="P128" s="104"/>
      <c r="Q128" s="104"/>
      <c r="R128" s="107"/>
      <c r="S128" s="106"/>
      <c r="T128" s="5"/>
    </row>
    <row r="129" spans="1:21" ht="15.6" x14ac:dyDescent="0.3">
      <c r="A129" s="2"/>
      <c r="B129" s="60" t="s">
        <v>49</v>
      </c>
      <c r="C129" s="4"/>
      <c r="D129" s="4"/>
      <c r="E129" s="4"/>
      <c r="F129" s="4"/>
      <c r="G129" s="4"/>
      <c r="H129" s="4"/>
      <c r="I129" s="4"/>
      <c r="J129" s="4"/>
      <c r="K129" s="4"/>
      <c r="L129" s="4"/>
      <c r="M129" s="4"/>
      <c r="N129" s="4"/>
      <c r="O129" s="4"/>
      <c r="P129" s="4"/>
      <c r="Q129" s="4"/>
      <c r="R129" s="50"/>
      <c r="S129" s="4"/>
      <c r="T129" s="5"/>
    </row>
    <row r="130" spans="1:21" ht="15.6" x14ac:dyDescent="0.3">
      <c r="A130" s="6"/>
      <c r="B130" s="21"/>
      <c r="C130" s="8"/>
      <c r="D130" s="8"/>
      <c r="E130" s="8"/>
      <c r="F130" s="8"/>
      <c r="G130" s="8"/>
      <c r="H130" s="8"/>
      <c r="I130" s="8"/>
      <c r="J130" s="8"/>
      <c r="K130" s="8"/>
      <c r="L130" s="8"/>
      <c r="M130" s="8"/>
      <c r="N130" s="8"/>
      <c r="O130" s="8"/>
      <c r="P130" s="8"/>
      <c r="Q130" s="8"/>
      <c r="R130" s="52"/>
      <c r="S130" s="8"/>
      <c r="T130" s="5"/>
    </row>
    <row r="131" spans="1:21" ht="15.6" x14ac:dyDescent="0.3">
      <c r="A131" s="6"/>
      <c r="B131" s="120" t="s">
        <v>50</v>
      </c>
      <c r="C131" s="8"/>
      <c r="D131" s="8"/>
      <c r="E131" s="8"/>
      <c r="F131" s="8"/>
      <c r="G131" s="8"/>
      <c r="H131" s="8"/>
      <c r="I131" s="8"/>
      <c r="J131" s="8"/>
      <c r="K131" s="8"/>
      <c r="L131" s="8"/>
      <c r="M131" s="8"/>
      <c r="N131" s="8"/>
      <c r="O131" s="8"/>
      <c r="P131" s="8"/>
      <c r="Q131" s="8"/>
      <c r="R131" s="52"/>
      <c r="S131" s="8"/>
      <c r="T131" s="5"/>
    </row>
    <row r="132" spans="1:21" ht="15.6" x14ac:dyDescent="0.3">
      <c r="A132" s="24"/>
      <c r="B132" s="25" t="s">
        <v>51</v>
      </c>
      <c r="C132" s="25"/>
      <c r="D132" s="25"/>
      <c r="E132" s="25"/>
      <c r="F132" s="25"/>
      <c r="G132" s="25"/>
      <c r="H132" s="25"/>
      <c r="I132" s="25"/>
      <c r="J132" s="25"/>
      <c r="K132" s="25"/>
      <c r="L132" s="25"/>
      <c r="M132" s="25"/>
      <c r="N132" s="25"/>
      <c r="O132" s="25"/>
      <c r="P132" s="25"/>
      <c r="Q132" s="25"/>
      <c r="R132" s="53">
        <f>+R33*0.019</f>
        <v>19000</v>
      </c>
      <c r="S132" s="25"/>
      <c r="T132" s="5"/>
    </row>
    <row r="133" spans="1:21" ht="15.6" x14ac:dyDescent="0.3">
      <c r="A133" s="24"/>
      <c r="B133" s="25" t="s">
        <v>52</v>
      </c>
      <c r="C133" s="25"/>
      <c r="D133" s="25"/>
      <c r="E133" s="25"/>
      <c r="F133" s="25"/>
      <c r="G133" s="25"/>
      <c r="H133" s="25"/>
      <c r="I133" s="25"/>
      <c r="J133" s="25"/>
      <c r="K133" s="25"/>
      <c r="L133" s="25"/>
      <c r="M133" s="25"/>
      <c r="N133" s="25"/>
      <c r="O133" s="25"/>
      <c r="P133" s="25"/>
      <c r="Q133" s="25"/>
      <c r="R133" s="53">
        <v>0</v>
      </c>
      <c r="S133" s="25"/>
      <c r="T133" s="5"/>
    </row>
    <row r="134" spans="1:21" ht="15.6" x14ac:dyDescent="0.3">
      <c r="A134" s="24"/>
      <c r="B134" s="25" t="s">
        <v>155</v>
      </c>
      <c r="C134" s="25"/>
      <c r="D134" s="25"/>
      <c r="E134" s="25"/>
      <c r="F134" s="25"/>
      <c r="G134" s="25"/>
      <c r="H134" s="25"/>
      <c r="I134" s="25"/>
      <c r="J134" s="25"/>
      <c r="K134" s="25"/>
      <c r="L134" s="25"/>
      <c r="M134" s="25"/>
      <c r="N134" s="25"/>
      <c r="O134" s="25"/>
      <c r="P134" s="25"/>
      <c r="Q134" s="25"/>
      <c r="R134" s="53">
        <v>0</v>
      </c>
      <c r="S134" s="25"/>
      <c r="T134" s="5"/>
    </row>
    <row r="135" spans="1:21" ht="15.6" x14ac:dyDescent="0.3">
      <c r="A135" s="24"/>
      <c r="B135" s="25" t="s">
        <v>142</v>
      </c>
      <c r="C135" s="25"/>
      <c r="D135" s="25"/>
      <c r="E135" s="25"/>
      <c r="F135" s="25"/>
      <c r="G135" s="25"/>
      <c r="H135" s="25"/>
      <c r="I135" s="25"/>
      <c r="J135" s="25"/>
      <c r="K135" s="25"/>
      <c r="L135" s="25"/>
      <c r="M135" s="25"/>
      <c r="N135" s="25"/>
      <c r="O135" s="25"/>
      <c r="P135" s="25"/>
      <c r="Q135" s="25"/>
      <c r="R135" s="53">
        <v>0</v>
      </c>
      <c r="S135" s="25"/>
      <c r="T135" s="5"/>
    </row>
    <row r="136" spans="1:21" ht="15.6" x14ac:dyDescent="0.3">
      <c r="A136" s="24"/>
      <c r="B136" s="25" t="s">
        <v>143</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53</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148</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203</v>
      </c>
      <c r="C139" s="25"/>
      <c r="D139" s="25"/>
      <c r="E139" s="25"/>
      <c r="F139" s="25"/>
      <c r="G139" s="25"/>
      <c r="H139" s="25"/>
      <c r="I139" s="25"/>
      <c r="J139" s="25"/>
      <c r="K139" s="25"/>
      <c r="L139" s="25"/>
      <c r="M139" s="25"/>
      <c r="N139" s="25"/>
      <c r="O139" s="25"/>
      <c r="P139" s="25"/>
      <c r="Q139" s="25"/>
      <c r="R139" s="53">
        <v>0</v>
      </c>
      <c r="S139" s="25"/>
      <c r="T139" s="5"/>
      <c r="U139" s="110"/>
    </row>
    <row r="140" spans="1:21" ht="15.6" x14ac:dyDescent="0.3">
      <c r="A140" s="24"/>
      <c r="B140" s="25" t="s">
        <v>54</v>
      </c>
      <c r="C140" s="25"/>
      <c r="D140" s="25"/>
      <c r="E140" s="25"/>
      <c r="F140" s="25"/>
      <c r="G140" s="25"/>
      <c r="H140" s="25"/>
      <c r="I140" s="25"/>
      <c r="J140" s="25"/>
      <c r="K140" s="25"/>
      <c r="L140" s="25"/>
      <c r="M140" s="25"/>
      <c r="N140" s="25"/>
      <c r="O140" s="25"/>
      <c r="P140" s="25"/>
      <c r="Q140" s="25"/>
      <c r="R140" s="53">
        <f>SUM(R132:R139)</f>
        <v>19000</v>
      </c>
      <c r="S140" s="25"/>
      <c r="T140" s="5"/>
    </row>
    <row r="141" spans="1:21" ht="15.6" x14ac:dyDescent="0.3">
      <c r="A141" s="24"/>
      <c r="B141" s="25"/>
      <c r="C141" s="25"/>
      <c r="D141" s="25"/>
      <c r="E141" s="25"/>
      <c r="F141" s="25"/>
      <c r="G141" s="25"/>
      <c r="H141" s="25"/>
      <c r="I141" s="25"/>
      <c r="J141" s="25"/>
      <c r="K141" s="25"/>
      <c r="L141" s="25"/>
      <c r="M141" s="25"/>
      <c r="N141" s="25"/>
      <c r="O141" s="25"/>
      <c r="P141" s="25"/>
      <c r="Q141" s="25"/>
      <c r="R141" s="53"/>
      <c r="S141" s="25"/>
      <c r="T141" s="5"/>
    </row>
    <row r="142" spans="1:21" ht="15.6" x14ac:dyDescent="0.3">
      <c r="A142" s="24"/>
      <c r="B142" s="141" t="s">
        <v>264</v>
      </c>
      <c r="C142" s="25"/>
      <c r="D142" s="25"/>
      <c r="E142" s="25"/>
      <c r="F142" s="25"/>
      <c r="G142" s="25"/>
      <c r="H142" s="25"/>
      <c r="I142" s="25"/>
      <c r="J142" s="25"/>
      <c r="K142" s="25"/>
      <c r="L142" s="25"/>
      <c r="M142" s="25"/>
      <c r="N142" s="25"/>
      <c r="O142" s="25"/>
      <c r="P142" s="25"/>
      <c r="Q142" s="25"/>
      <c r="R142" s="53"/>
      <c r="S142" s="25"/>
      <c r="T142" s="5"/>
    </row>
    <row r="143" spans="1:21" ht="15.6" x14ac:dyDescent="0.3">
      <c r="A143" s="24"/>
      <c r="B143" s="25" t="s">
        <v>206</v>
      </c>
      <c r="C143" s="25"/>
      <c r="D143" s="25"/>
      <c r="E143" s="25"/>
      <c r="F143" s="25"/>
      <c r="G143" s="25"/>
      <c r="H143" s="25"/>
      <c r="I143" s="25"/>
      <c r="J143" s="25"/>
      <c r="K143" s="25"/>
      <c r="L143" s="25"/>
      <c r="M143" s="25"/>
      <c r="N143" s="25"/>
      <c r="O143" s="25"/>
      <c r="P143" s="25"/>
      <c r="Q143" s="25"/>
      <c r="R143" s="53">
        <f>+R33*0.005</f>
        <v>5000</v>
      </c>
      <c r="S143" s="25"/>
      <c r="T143" s="5"/>
    </row>
    <row r="144" spans="1:21" ht="15.6" x14ac:dyDescent="0.3">
      <c r="A144" s="24"/>
      <c r="B144" s="25" t="s">
        <v>260</v>
      </c>
      <c r="C144" s="25"/>
      <c r="D144" s="25"/>
      <c r="E144" s="25"/>
      <c r="F144" s="25"/>
      <c r="G144" s="25"/>
      <c r="H144" s="25"/>
      <c r="I144" s="25"/>
      <c r="J144" s="25"/>
      <c r="K144" s="25"/>
      <c r="L144" s="25"/>
      <c r="M144" s="25"/>
      <c r="N144" s="25"/>
      <c r="O144" s="25"/>
      <c r="P144" s="25"/>
      <c r="Q144" s="25"/>
      <c r="R144" s="53">
        <v>0</v>
      </c>
      <c r="S144" s="25"/>
      <c r="T144" s="5"/>
    </row>
    <row r="145" spans="1:20" ht="15.6" x14ac:dyDescent="0.3">
      <c r="A145" s="24"/>
      <c r="B145" s="25" t="s">
        <v>265</v>
      </c>
      <c r="C145" s="25"/>
      <c r="D145" s="25"/>
      <c r="E145" s="25"/>
      <c r="F145" s="25"/>
      <c r="G145" s="25"/>
      <c r="H145" s="25"/>
      <c r="I145" s="25"/>
      <c r="J145" s="25"/>
      <c r="K145" s="25"/>
      <c r="L145" s="25"/>
      <c r="M145" s="25"/>
      <c r="N145" s="25"/>
      <c r="O145" s="25"/>
      <c r="P145" s="25"/>
      <c r="Q145" s="25"/>
      <c r="R145" s="53">
        <f>SUM(R143:R144)</f>
        <v>5000</v>
      </c>
      <c r="S145" s="25"/>
      <c r="T145" s="5"/>
    </row>
    <row r="146" spans="1:20" ht="15.6" x14ac:dyDescent="0.3">
      <c r="A146" s="24"/>
      <c r="B146" s="25"/>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c r="C147" s="25"/>
      <c r="D147" s="25"/>
      <c r="E147" s="25"/>
      <c r="F147" s="25"/>
      <c r="G147" s="25"/>
      <c r="H147" s="25"/>
      <c r="I147" s="25"/>
      <c r="J147" s="25"/>
      <c r="K147" s="25"/>
      <c r="L147" s="25"/>
      <c r="M147" s="25"/>
      <c r="N147" s="25"/>
      <c r="O147" s="25"/>
      <c r="P147" s="25"/>
      <c r="Q147" s="25"/>
      <c r="R147" s="61"/>
      <c r="S147" s="25"/>
      <c r="T147" s="5"/>
    </row>
    <row r="148" spans="1:20" ht="15.6" x14ac:dyDescent="0.3">
      <c r="A148" s="6"/>
      <c r="B148" s="120" t="s">
        <v>28</v>
      </c>
      <c r="C148" s="8"/>
      <c r="D148" s="8"/>
      <c r="E148" s="8"/>
      <c r="F148" s="8"/>
      <c r="G148" s="8"/>
      <c r="H148" s="8"/>
      <c r="I148" s="8"/>
      <c r="J148" s="8"/>
      <c r="K148" s="8"/>
      <c r="L148" s="8"/>
      <c r="M148" s="8"/>
      <c r="N148" s="8"/>
      <c r="O148" s="8"/>
      <c r="P148" s="8"/>
      <c r="Q148" s="8"/>
      <c r="R148" s="52"/>
      <c r="S148" s="8"/>
      <c r="T148" s="5"/>
    </row>
    <row r="149" spans="1:20" ht="15.6" x14ac:dyDescent="0.3">
      <c r="A149" s="24"/>
      <c r="B149" s="25" t="s">
        <v>55</v>
      </c>
      <c r="C149" s="25"/>
      <c r="D149" s="25"/>
      <c r="E149" s="25"/>
      <c r="F149" s="25"/>
      <c r="G149" s="25"/>
      <c r="H149" s="25"/>
      <c r="I149" s="25"/>
      <c r="J149" s="25"/>
      <c r="K149" s="25"/>
      <c r="L149" s="25"/>
      <c r="M149" s="25"/>
      <c r="N149" s="25"/>
      <c r="O149" s="25"/>
      <c r="P149" s="25"/>
      <c r="Q149" s="25"/>
      <c r="R149" s="59" t="s">
        <v>137</v>
      </c>
      <c r="S149" s="25"/>
      <c r="T149" s="5"/>
    </row>
    <row r="150" spans="1:20" ht="15.6" x14ac:dyDescent="0.3">
      <c r="A150" s="24"/>
      <c r="B150" s="25" t="s">
        <v>56</v>
      </c>
      <c r="C150" s="146"/>
      <c r="D150" s="146"/>
      <c r="E150" s="146"/>
      <c r="F150" s="146"/>
      <c r="G150" s="146"/>
      <c r="H150" s="146"/>
      <c r="I150" s="146"/>
      <c r="J150" s="146"/>
      <c r="K150" s="146"/>
      <c r="L150" s="146"/>
      <c r="M150" s="146"/>
      <c r="N150" s="146"/>
      <c r="O150" s="146"/>
      <c r="P150" s="146"/>
      <c r="Q150" s="146"/>
      <c r="R150" s="59" t="s">
        <v>137</v>
      </c>
      <c r="S150" s="25"/>
      <c r="T150" s="5"/>
    </row>
    <row r="151" spans="1:20" ht="15.6" x14ac:dyDescent="0.3">
      <c r="A151" s="24"/>
      <c r="B151" s="25" t="s">
        <v>57</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58</v>
      </c>
      <c r="C152" s="25"/>
      <c r="D152" s="25"/>
      <c r="E152" s="25"/>
      <c r="F152" s="25"/>
      <c r="G152" s="25"/>
      <c r="H152" s="25"/>
      <c r="I152" s="25"/>
      <c r="J152" s="25"/>
      <c r="K152" s="25"/>
      <c r="L152" s="25"/>
      <c r="M152" s="25"/>
      <c r="N152" s="25"/>
      <c r="O152" s="25"/>
      <c r="P152" s="25"/>
      <c r="Q152" s="25"/>
      <c r="R152" s="59" t="s">
        <v>137</v>
      </c>
      <c r="S152" s="25"/>
      <c r="T152" s="5"/>
    </row>
    <row r="153" spans="1:20" ht="15.6" x14ac:dyDescent="0.3">
      <c r="A153" s="24"/>
      <c r="B153" s="25"/>
      <c r="C153" s="25"/>
      <c r="D153" s="25"/>
      <c r="E153" s="25"/>
      <c r="F153" s="25"/>
      <c r="G153" s="25"/>
      <c r="H153" s="25"/>
      <c r="I153" s="25"/>
      <c r="J153" s="25"/>
      <c r="K153" s="25"/>
      <c r="L153" s="25"/>
      <c r="M153" s="25"/>
      <c r="N153" s="25"/>
      <c r="O153" s="25"/>
      <c r="P153" s="25"/>
      <c r="Q153" s="25"/>
      <c r="R153" s="61"/>
      <c r="S153" s="25"/>
      <c r="T153" s="5"/>
    </row>
    <row r="154" spans="1:20" ht="15.6" x14ac:dyDescent="0.3">
      <c r="A154" s="6"/>
      <c r="B154" s="120" t="s">
        <v>59</v>
      </c>
      <c r="C154" s="8"/>
      <c r="D154" s="8"/>
      <c r="E154" s="8"/>
      <c r="F154" s="8"/>
      <c r="G154" s="8"/>
      <c r="H154" s="8"/>
      <c r="I154" s="8"/>
      <c r="J154" s="8"/>
      <c r="K154" s="8"/>
      <c r="L154" s="8"/>
      <c r="M154" s="8"/>
      <c r="N154" s="8"/>
      <c r="O154" s="8"/>
      <c r="P154" s="8"/>
      <c r="Q154" s="8"/>
      <c r="R154" s="63"/>
      <c r="S154" s="8"/>
      <c r="T154" s="5"/>
    </row>
    <row r="155" spans="1:20" ht="15.6" x14ac:dyDescent="0.3">
      <c r="A155" s="24"/>
      <c r="B155" s="25" t="s">
        <v>60</v>
      </c>
      <c r="C155" s="25"/>
      <c r="D155" s="25"/>
      <c r="E155" s="25"/>
      <c r="F155" s="25"/>
      <c r="G155" s="25"/>
      <c r="H155" s="25"/>
      <c r="I155" s="25"/>
      <c r="J155" s="25"/>
      <c r="K155" s="25"/>
      <c r="L155" s="25"/>
      <c r="M155" s="25"/>
      <c r="N155" s="25"/>
      <c r="O155" s="25"/>
      <c r="P155" s="25"/>
      <c r="Q155" s="25"/>
      <c r="R155" s="53">
        <v>0</v>
      </c>
      <c r="S155" s="25"/>
      <c r="T155" s="5"/>
    </row>
    <row r="156" spans="1:20" ht="15.6" x14ac:dyDescent="0.3">
      <c r="A156" s="24"/>
      <c r="B156" s="25" t="s">
        <v>61</v>
      </c>
      <c r="C156" s="25"/>
      <c r="D156" s="25"/>
      <c r="E156" s="25"/>
      <c r="F156" s="25"/>
      <c r="G156" s="25"/>
      <c r="H156" s="25"/>
      <c r="I156" s="25"/>
      <c r="J156" s="25"/>
      <c r="K156" s="25"/>
      <c r="L156" s="25"/>
      <c r="M156" s="25"/>
      <c r="N156" s="25"/>
      <c r="O156" s="25"/>
      <c r="P156" s="25"/>
      <c r="Q156" s="25"/>
      <c r="R156" s="53">
        <v>0</v>
      </c>
      <c r="S156" s="25"/>
      <c r="T156" s="5"/>
    </row>
    <row r="157" spans="1:20" ht="15.6" x14ac:dyDescent="0.3">
      <c r="A157" s="24"/>
      <c r="B157" s="25" t="s">
        <v>62</v>
      </c>
      <c r="C157" s="25"/>
      <c r="D157" s="25"/>
      <c r="E157" s="25"/>
      <c r="F157" s="25"/>
      <c r="G157" s="25"/>
      <c r="H157" s="25"/>
      <c r="I157" s="25"/>
      <c r="J157" s="25"/>
      <c r="K157" s="25"/>
      <c r="L157" s="25"/>
      <c r="M157" s="25"/>
      <c r="N157" s="25"/>
      <c r="O157" s="25"/>
      <c r="P157" s="25"/>
      <c r="Q157" s="25"/>
      <c r="R157" s="53">
        <f>R156+R155</f>
        <v>0</v>
      </c>
      <c r="S157" s="25"/>
      <c r="T157" s="5"/>
    </row>
    <row r="158" spans="1:20" ht="15.6" x14ac:dyDescent="0.3">
      <c r="A158" s="24"/>
      <c r="B158" s="155" t="s">
        <v>308</v>
      </c>
      <c r="C158" s="25"/>
      <c r="D158" s="25"/>
      <c r="E158" s="25"/>
      <c r="F158" s="25"/>
      <c r="G158" s="25"/>
      <c r="H158" s="25"/>
      <c r="I158" s="25"/>
      <c r="J158" s="25"/>
      <c r="K158" s="25"/>
      <c r="L158" s="25"/>
      <c r="M158" s="25"/>
      <c r="N158" s="25"/>
      <c r="O158" s="25"/>
      <c r="P158" s="25"/>
      <c r="Q158" s="25"/>
      <c r="R158" s="53">
        <f>R110</f>
        <v>0</v>
      </c>
      <c r="S158" s="25"/>
      <c r="T158" s="5"/>
    </row>
    <row r="159" spans="1:20" ht="15.6" x14ac:dyDescent="0.3">
      <c r="A159" s="24"/>
      <c r="B159" s="25" t="s">
        <v>63</v>
      </c>
      <c r="C159" s="25"/>
      <c r="D159" s="25"/>
      <c r="E159" s="25"/>
      <c r="F159" s="25"/>
      <c r="G159" s="25"/>
      <c r="H159" s="25"/>
      <c r="I159" s="25"/>
      <c r="J159" s="25"/>
      <c r="K159" s="25"/>
      <c r="L159" s="25"/>
      <c r="M159" s="25"/>
      <c r="N159" s="25"/>
      <c r="O159" s="25"/>
      <c r="P159" s="25"/>
      <c r="Q159" s="25"/>
      <c r="R159" s="53">
        <f>R157+R158</f>
        <v>0</v>
      </c>
      <c r="S159" s="25"/>
      <c r="T159" s="5"/>
    </row>
    <row r="160" spans="1:20" ht="16.2" thickBot="1" x14ac:dyDescent="0.35">
      <c r="A160" s="24"/>
      <c r="B160" s="25"/>
      <c r="C160" s="25"/>
      <c r="D160" s="25"/>
      <c r="E160" s="25"/>
      <c r="F160" s="25"/>
      <c r="G160" s="25"/>
      <c r="H160" s="25"/>
      <c r="I160" s="25"/>
      <c r="J160" s="25"/>
      <c r="K160" s="25"/>
      <c r="L160" s="25"/>
      <c r="M160" s="25"/>
      <c r="N160" s="25"/>
      <c r="O160" s="25"/>
      <c r="P160" s="25"/>
      <c r="Q160" s="25"/>
      <c r="R160" s="61"/>
      <c r="S160" s="25"/>
      <c r="T160" s="5"/>
    </row>
    <row r="161" spans="1:20" ht="15.6" x14ac:dyDescent="0.3">
      <c r="A161" s="2"/>
      <c r="B161" s="4"/>
      <c r="C161" s="4"/>
      <c r="D161" s="4"/>
      <c r="E161" s="4"/>
      <c r="F161" s="4"/>
      <c r="G161" s="4"/>
      <c r="H161" s="4"/>
      <c r="I161" s="4"/>
      <c r="J161" s="4"/>
      <c r="K161" s="4"/>
      <c r="L161" s="4"/>
      <c r="M161" s="4"/>
      <c r="N161" s="4"/>
      <c r="O161" s="4"/>
      <c r="P161" s="4"/>
      <c r="Q161" s="4"/>
      <c r="R161" s="50"/>
      <c r="S161" s="4"/>
      <c r="T161" s="5"/>
    </row>
    <row r="162" spans="1:20" ht="15.6" x14ac:dyDescent="0.3">
      <c r="A162" s="6"/>
      <c r="B162" s="120" t="s">
        <v>64</v>
      </c>
      <c r="C162" s="8"/>
      <c r="D162" s="8"/>
      <c r="E162" s="8"/>
      <c r="F162" s="8"/>
      <c r="G162" s="8"/>
      <c r="H162" s="8"/>
      <c r="I162" s="8"/>
      <c r="J162" s="8"/>
      <c r="K162" s="8"/>
      <c r="L162" s="8"/>
      <c r="M162" s="8"/>
      <c r="N162" s="8"/>
      <c r="O162" s="8"/>
      <c r="P162" s="8"/>
      <c r="Q162" s="8"/>
      <c r="R162" s="52"/>
      <c r="S162" s="8"/>
      <c r="T162" s="5"/>
    </row>
    <row r="163" spans="1:20" ht="15.6" x14ac:dyDescent="0.3">
      <c r="A163" s="6"/>
      <c r="B163" s="21"/>
      <c r="C163" s="8"/>
      <c r="D163" s="8"/>
      <c r="E163" s="8"/>
      <c r="F163" s="8"/>
      <c r="G163" s="8"/>
      <c r="H163" s="8"/>
      <c r="I163" s="8"/>
      <c r="J163" s="8"/>
      <c r="K163" s="8"/>
      <c r="L163" s="8"/>
      <c r="M163" s="8"/>
      <c r="N163" s="8"/>
      <c r="O163" s="8"/>
      <c r="P163" s="8"/>
      <c r="Q163" s="8"/>
      <c r="R163" s="52"/>
      <c r="S163" s="8"/>
      <c r="T163" s="5"/>
    </row>
    <row r="164" spans="1:20" ht="15.6" x14ac:dyDescent="0.3">
      <c r="A164" s="24"/>
      <c r="B164" s="25" t="s">
        <v>65</v>
      </c>
      <c r="C164" s="25"/>
      <c r="D164" s="25"/>
      <c r="E164" s="25"/>
      <c r="F164" s="25"/>
      <c r="G164" s="25"/>
      <c r="H164" s="25"/>
      <c r="I164" s="25"/>
      <c r="J164" s="25"/>
      <c r="K164" s="25"/>
      <c r="L164" s="25"/>
      <c r="M164" s="25"/>
      <c r="N164" s="25"/>
      <c r="O164" s="25"/>
      <c r="P164" s="25"/>
      <c r="Q164" s="25"/>
      <c r="R164" s="53">
        <f>R70</f>
        <v>943497</v>
      </c>
      <c r="S164" s="25"/>
      <c r="T164" s="5"/>
    </row>
    <row r="165" spans="1:20" ht="15.6" x14ac:dyDescent="0.3">
      <c r="A165" s="24"/>
      <c r="B165" s="25" t="s">
        <v>66</v>
      </c>
      <c r="C165" s="25"/>
      <c r="D165" s="25"/>
      <c r="E165" s="25"/>
      <c r="F165" s="25"/>
      <c r="G165" s="25"/>
      <c r="H165" s="25"/>
      <c r="I165" s="25"/>
      <c r="J165" s="25"/>
      <c r="K165" s="25"/>
      <c r="L165" s="25"/>
      <c r="M165" s="25"/>
      <c r="N165" s="25"/>
      <c r="O165" s="25"/>
      <c r="P165" s="25"/>
      <c r="Q165" s="25"/>
      <c r="R165" s="53">
        <f>R83</f>
        <v>943497</v>
      </c>
      <c r="S165" s="25"/>
      <c r="T165" s="5"/>
    </row>
    <row r="166" spans="1:20" ht="16.2" thickBot="1" x14ac:dyDescent="0.35">
      <c r="A166" s="24"/>
      <c r="B166" s="25"/>
      <c r="C166" s="25"/>
      <c r="D166" s="25"/>
      <c r="E166" s="25"/>
      <c r="F166" s="25"/>
      <c r="G166" s="25"/>
      <c r="H166" s="25"/>
      <c r="I166" s="25"/>
      <c r="J166" s="25"/>
      <c r="K166" s="25"/>
      <c r="L166" s="25"/>
      <c r="M166" s="25"/>
      <c r="N166" s="25"/>
      <c r="O166" s="25"/>
      <c r="P166" s="25"/>
      <c r="Q166" s="25"/>
      <c r="R166" s="61"/>
      <c r="S166" s="25"/>
      <c r="T166" s="5"/>
    </row>
    <row r="167" spans="1:20" ht="15.6" x14ac:dyDescent="0.3">
      <c r="A167" s="2"/>
      <c r="B167" s="4"/>
      <c r="C167" s="4"/>
      <c r="D167" s="4"/>
      <c r="E167" s="4"/>
      <c r="F167" s="4"/>
      <c r="G167" s="4"/>
      <c r="H167" s="4"/>
      <c r="I167" s="4"/>
      <c r="J167" s="4"/>
      <c r="K167" s="4"/>
      <c r="L167" s="4"/>
      <c r="M167" s="4"/>
      <c r="N167" s="4"/>
      <c r="O167" s="4"/>
      <c r="P167" s="4"/>
      <c r="Q167" s="4"/>
      <c r="R167" s="50"/>
      <c r="S167" s="4"/>
      <c r="T167" s="5"/>
    </row>
    <row r="168" spans="1:20" ht="15.6" x14ac:dyDescent="0.3">
      <c r="A168" s="6"/>
      <c r="B168" s="120" t="s">
        <v>67</v>
      </c>
      <c r="C168" s="118"/>
      <c r="D168" s="118"/>
      <c r="E168" s="118"/>
      <c r="F168" s="118"/>
      <c r="G168" s="118"/>
      <c r="H168" s="121"/>
      <c r="I168" s="121"/>
      <c r="J168" s="121"/>
      <c r="K168" s="121"/>
      <c r="L168" s="121"/>
      <c r="M168" s="121"/>
      <c r="N168" s="121"/>
      <c r="O168" s="121" t="s">
        <v>112</v>
      </c>
      <c r="P168" s="121" t="s">
        <v>120</v>
      </c>
      <c r="Q168" s="112"/>
      <c r="R168" s="122" t="s">
        <v>129</v>
      </c>
      <c r="S168" s="10"/>
      <c r="T168" s="5"/>
    </row>
    <row r="169" spans="1:20" ht="15.6" x14ac:dyDescent="0.3">
      <c r="A169" s="24"/>
      <c r="B169" s="25" t="s">
        <v>68</v>
      </c>
      <c r="C169" s="25"/>
      <c r="D169" s="25"/>
      <c r="E169" s="25"/>
      <c r="F169" s="25"/>
      <c r="G169" s="25"/>
      <c r="H169" s="25"/>
      <c r="I169" s="25"/>
      <c r="J169" s="25"/>
      <c r="K169" s="25"/>
      <c r="L169" s="25"/>
      <c r="M169" s="25"/>
      <c r="N169" s="25"/>
      <c r="O169" s="53">
        <v>160000</v>
      </c>
      <c r="P169" s="40"/>
      <c r="Q169" s="25"/>
      <c r="R169" s="53"/>
      <c r="S169" s="25"/>
      <c r="T169" s="5"/>
    </row>
    <row r="170" spans="1:20" ht="15.6" x14ac:dyDescent="0.3">
      <c r="A170" s="24"/>
      <c r="B170" s="25" t="s">
        <v>69</v>
      </c>
      <c r="C170" s="25"/>
      <c r="D170" s="25"/>
      <c r="E170" s="25"/>
      <c r="F170" s="25"/>
      <c r="G170" s="25"/>
      <c r="H170" s="25"/>
      <c r="I170" s="25"/>
      <c r="J170" s="25"/>
      <c r="K170" s="25"/>
      <c r="L170" s="25"/>
      <c r="M170" s="25"/>
      <c r="N170" s="25"/>
      <c r="O170" s="53">
        <f>+'March 05'!O172</f>
        <v>8494</v>
      </c>
      <c r="P170" s="53">
        <f>+'March 05'!P172</f>
        <v>2644</v>
      </c>
      <c r="Q170" s="25"/>
      <c r="R170" s="53">
        <f>O170+P170</f>
        <v>11138</v>
      </c>
      <c r="S170" s="25"/>
      <c r="T170" s="5"/>
    </row>
    <row r="171" spans="1:20" ht="15.6" x14ac:dyDescent="0.3">
      <c r="A171" s="24"/>
      <c r="B171" s="25" t="s">
        <v>70</v>
      </c>
      <c r="C171" s="25"/>
      <c r="D171" s="25"/>
      <c r="E171" s="25"/>
      <c r="F171" s="25"/>
      <c r="G171" s="25"/>
      <c r="H171" s="25"/>
      <c r="I171" s="25"/>
      <c r="J171" s="25"/>
      <c r="K171" s="25"/>
      <c r="L171" s="25"/>
      <c r="M171" s="25"/>
      <c r="N171" s="25"/>
      <c r="O171" s="34">
        <v>6885</v>
      </c>
      <c r="P171" s="34">
        <f>-P93-P116</f>
        <v>1932</v>
      </c>
      <c r="Q171" s="25"/>
      <c r="R171" s="53">
        <f>O171+P171</f>
        <v>8817</v>
      </c>
      <c r="S171" s="25"/>
      <c r="T171" s="5"/>
    </row>
    <row r="172" spans="1:20" ht="15.6" x14ac:dyDescent="0.3">
      <c r="A172" s="24"/>
      <c r="B172" s="25" t="s">
        <v>71</v>
      </c>
      <c r="C172" s="25"/>
      <c r="D172" s="25"/>
      <c r="E172" s="25"/>
      <c r="F172" s="25"/>
      <c r="G172" s="25"/>
      <c r="H172" s="25"/>
      <c r="I172" s="25"/>
      <c r="J172" s="25"/>
      <c r="K172" s="25"/>
      <c r="L172" s="25"/>
      <c r="M172" s="25"/>
      <c r="N172" s="25"/>
      <c r="O172" s="53">
        <f>O170+O171</f>
        <v>15379</v>
      </c>
      <c r="P172" s="53">
        <f>P171+P170</f>
        <v>4576</v>
      </c>
      <c r="Q172" s="25"/>
      <c r="R172" s="53">
        <f>O172+P172</f>
        <v>19955</v>
      </c>
      <c r="S172" s="25"/>
      <c r="T172" s="5"/>
    </row>
    <row r="173" spans="1:20" ht="15.6" x14ac:dyDescent="0.3">
      <c r="A173" s="24"/>
      <c r="B173" s="25" t="s">
        <v>72</v>
      </c>
      <c r="C173" s="25"/>
      <c r="D173" s="25"/>
      <c r="E173" s="25"/>
      <c r="F173" s="25"/>
      <c r="G173" s="25"/>
      <c r="H173" s="25"/>
      <c r="I173" s="25"/>
      <c r="J173" s="25"/>
      <c r="K173" s="25"/>
      <c r="L173" s="25"/>
      <c r="M173" s="25"/>
      <c r="N173" s="25"/>
      <c r="O173" s="53">
        <f>O169-O172-P172</f>
        <v>140045</v>
      </c>
      <c r="P173" s="40"/>
      <c r="Q173" s="25"/>
      <c r="R173" s="53"/>
      <c r="S173" s="25"/>
      <c r="T173" s="5"/>
    </row>
    <row r="174" spans="1:20" ht="16.2" thickBot="1" x14ac:dyDescent="0.35">
      <c r="A174" s="24"/>
      <c r="B174" s="25"/>
      <c r="C174" s="25"/>
      <c r="D174" s="25"/>
      <c r="E174" s="25"/>
      <c r="F174" s="25"/>
      <c r="G174" s="25"/>
      <c r="H174" s="25"/>
      <c r="I174" s="25"/>
      <c r="J174" s="25"/>
      <c r="K174" s="25"/>
      <c r="L174" s="25"/>
      <c r="M174" s="25"/>
      <c r="N174" s="25"/>
      <c r="O174" s="25"/>
      <c r="P174" s="25"/>
      <c r="Q174" s="25"/>
      <c r="R174" s="61"/>
      <c r="S174" s="25"/>
      <c r="T174" s="5"/>
    </row>
    <row r="175" spans="1:20" ht="15.6" x14ac:dyDescent="0.3">
      <c r="A175" s="2"/>
      <c r="B175" s="4"/>
      <c r="C175" s="4"/>
      <c r="D175" s="4"/>
      <c r="E175" s="4"/>
      <c r="F175" s="4"/>
      <c r="G175" s="4"/>
      <c r="H175" s="4"/>
      <c r="I175" s="4"/>
      <c r="J175" s="4"/>
      <c r="K175" s="4"/>
      <c r="L175" s="4"/>
      <c r="M175" s="4"/>
      <c r="N175" s="4"/>
      <c r="O175" s="4"/>
      <c r="P175" s="4"/>
      <c r="Q175" s="4"/>
      <c r="R175" s="50"/>
      <c r="S175" s="4"/>
      <c r="T175" s="5"/>
    </row>
    <row r="176" spans="1:20" ht="15.6" x14ac:dyDescent="0.3">
      <c r="A176" s="6"/>
      <c r="B176" s="120" t="s">
        <v>73</v>
      </c>
      <c r="C176" s="8"/>
      <c r="D176" s="8"/>
      <c r="E176" s="8"/>
      <c r="F176" s="8"/>
      <c r="G176" s="8"/>
      <c r="H176" s="8"/>
      <c r="I176" s="8"/>
      <c r="J176" s="8"/>
      <c r="K176" s="8"/>
      <c r="L176" s="8"/>
      <c r="M176" s="8"/>
      <c r="N176" s="8"/>
      <c r="O176" s="8"/>
      <c r="P176" s="8"/>
      <c r="Q176" s="8"/>
      <c r="R176" s="65"/>
      <c r="S176" s="8"/>
      <c r="T176" s="5"/>
    </row>
    <row r="177" spans="1:20" ht="15.6" x14ac:dyDescent="0.3">
      <c r="A177" s="24"/>
      <c r="B177" s="25" t="s">
        <v>74</v>
      </c>
      <c r="C177" s="25"/>
      <c r="D177" s="25"/>
      <c r="E177" s="25"/>
      <c r="F177" s="25"/>
      <c r="G177" s="25"/>
      <c r="H177" s="25"/>
      <c r="I177" s="25"/>
      <c r="J177" s="25"/>
      <c r="K177" s="25"/>
      <c r="L177" s="25"/>
      <c r="M177" s="25"/>
      <c r="N177" s="25"/>
      <c r="O177" s="25"/>
      <c r="P177" s="25"/>
      <c r="Q177" s="25"/>
      <c r="R177" s="59">
        <f>(R95+R97+R98+R99+R100+R101)/-(R102+R103+R104+R105)</f>
        <v>1.4144184787512406</v>
      </c>
      <c r="S177" s="25" t="s">
        <v>130</v>
      </c>
      <c r="T177" s="5"/>
    </row>
    <row r="178" spans="1:20" ht="15.6" x14ac:dyDescent="0.3">
      <c r="A178" s="24"/>
      <c r="B178" s="25" t="s">
        <v>75</v>
      </c>
      <c r="C178" s="25"/>
      <c r="D178" s="25"/>
      <c r="E178" s="25"/>
      <c r="F178" s="25"/>
      <c r="G178" s="25"/>
      <c r="H178" s="25"/>
      <c r="I178" s="25"/>
      <c r="J178" s="25"/>
      <c r="K178" s="25"/>
      <c r="L178" s="25"/>
      <c r="M178" s="25"/>
      <c r="N178" s="25"/>
      <c r="O178" s="25"/>
      <c r="P178" s="25"/>
      <c r="Q178" s="25"/>
      <c r="R178" s="66">
        <v>1.25</v>
      </c>
      <c r="S178" s="25" t="s">
        <v>130</v>
      </c>
      <c r="T178" s="5"/>
    </row>
    <row r="179" spans="1:20" ht="15.6" x14ac:dyDescent="0.3">
      <c r="A179" s="24"/>
      <c r="B179" s="25" t="s">
        <v>76</v>
      </c>
      <c r="C179" s="25"/>
      <c r="D179" s="25"/>
      <c r="E179" s="25"/>
      <c r="F179" s="25"/>
      <c r="G179" s="25"/>
      <c r="H179" s="25"/>
      <c r="I179" s="25"/>
      <c r="J179" s="25"/>
      <c r="K179" s="25"/>
      <c r="L179" s="25"/>
      <c r="M179" s="25"/>
      <c r="N179" s="25"/>
      <c r="O179" s="25"/>
      <c r="P179" s="25"/>
      <c r="Q179" s="25"/>
      <c r="R179" s="59">
        <f>(R95+R97+R98+R99+R100+R101+R102+R103+R104+R105)/-(R106+R107)</f>
        <v>3.2924731182795699</v>
      </c>
      <c r="S179" s="25" t="s">
        <v>130</v>
      </c>
      <c r="T179" s="5"/>
    </row>
    <row r="180" spans="1:20" ht="15.6" x14ac:dyDescent="0.3">
      <c r="A180" s="24"/>
      <c r="B180" s="25" t="s">
        <v>77</v>
      </c>
      <c r="C180" s="25"/>
      <c r="D180" s="25"/>
      <c r="E180" s="25"/>
      <c r="F180" s="25"/>
      <c r="G180" s="25"/>
      <c r="H180" s="25"/>
      <c r="I180" s="25"/>
      <c r="J180" s="25"/>
      <c r="K180" s="25"/>
      <c r="L180" s="25"/>
      <c r="M180" s="25"/>
      <c r="N180" s="25"/>
      <c r="O180" s="25"/>
      <c r="P180" s="25"/>
      <c r="Q180" s="25"/>
      <c r="R180" s="67">
        <v>2.0099999999999998</v>
      </c>
      <c r="S180" s="25" t="s">
        <v>130</v>
      </c>
      <c r="T180" s="5"/>
    </row>
    <row r="181" spans="1:20" ht="15.6" x14ac:dyDescent="0.3">
      <c r="A181" s="24"/>
      <c r="B181" s="25"/>
      <c r="C181" s="25"/>
      <c r="D181" s="25"/>
      <c r="E181" s="25"/>
      <c r="F181" s="25"/>
      <c r="G181" s="25"/>
      <c r="H181" s="25"/>
      <c r="I181" s="25"/>
      <c r="J181" s="25"/>
      <c r="K181" s="25"/>
      <c r="L181" s="25"/>
      <c r="M181" s="25"/>
      <c r="N181" s="25"/>
      <c r="O181" s="25"/>
      <c r="P181" s="25"/>
      <c r="Q181" s="25"/>
      <c r="R181" s="25"/>
      <c r="S181" s="25"/>
      <c r="T181" s="5"/>
    </row>
    <row r="182" spans="1:20" ht="15.6" x14ac:dyDescent="0.3">
      <c r="A182" s="24"/>
      <c r="B182" s="25"/>
      <c r="C182" s="25"/>
      <c r="D182" s="25"/>
      <c r="E182" s="25"/>
      <c r="F182" s="25"/>
      <c r="G182" s="25"/>
      <c r="H182" s="25"/>
      <c r="I182" s="25"/>
      <c r="J182" s="25"/>
      <c r="K182" s="25"/>
      <c r="L182" s="25"/>
      <c r="M182" s="25"/>
      <c r="N182" s="25"/>
      <c r="O182" s="25"/>
      <c r="P182" s="25"/>
      <c r="Q182" s="25"/>
      <c r="R182" s="25"/>
      <c r="S182" s="25"/>
      <c r="T182" s="5"/>
    </row>
    <row r="183" spans="1:20" ht="15.6" x14ac:dyDescent="0.3">
      <c r="A183" s="6"/>
      <c r="B183" s="8"/>
      <c r="C183" s="8"/>
      <c r="D183" s="8"/>
      <c r="E183" s="8"/>
      <c r="F183" s="8"/>
      <c r="G183" s="8"/>
      <c r="H183" s="8"/>
      <c r="I183" s="8"/>
      <c r="J183" s="8"/>
      <c r="K183" s="8"/>
      <c r="L183" s="8"/>
      <c r="M183" s="8"/>
      <c r="N183" s="8"/>
      <c r="O183" s="8"/>
      <c r="P183" s="8"/>
      <c r="Q183" s="8"/>
      <c r="R183" s="8"/>
      <c r="S183" s="8"/>
      <c r="T183" s="5"/>
    </row>
    <row r="184" spans="1:20" ht="18" thickBot="1" x14ac:dyDescent="0.35">
      <c r="A184" s="102"/>
      <c r="B184" s="103" t="str">
        <f>B128</f>
        <v>PM8 INVESTOR REPORT QUARTER ENDING JUNE 2005</v>
      </c>
      <c r="C184" s="148"/>
      <c r="D184" s="148"/>
      <c r="E184" s="148"/>
      <c r="F184" s="148"/>
      <c r="G184" s="148"/>
      <c r="H184" s="148"/>
      <c r="I184" s="148"/>
      <c r="J184" s="148"/>
      <c r="K184" s="148"/>
      <c r="L184" s="148"/>
      <c r="M184" s="148"/>
      <c r="N184" s="148"/>
      <c r="O184" s="148"/>
      <c r="P184" s="148"/>
      <c r="Q184" s="148"/>
      <c r="R184" s="148"/>
      <c r="S184" s="149"/>
      <c r="T184" s="5"/>
    </row>
    <row r="185" spans="1:20" ht="15.6" x14ac:dyDescent="0.3">
      <c r="A185" s="68"/>
      <c r="B185" s="60" t="s">
        <v>78</v>
      </c>
      <c r="C185" s="69"/>
      <c r="D185" s="69"/>
      <c r="E185" s="69"/>
      <c r="F185" s="69"/>
      <c r="G185" s="70"/>
      <c r="H185" s="70"/>
      <c r="I185" s="70"/>
      <c r="J185" s="70"/>
      <c r="K185" s="70"/>
      <c r="L185" s="70"/>
      <c r="M185" s="70"/>
      <c r="N185" s="70"/>
      <c r="O185" s="70"/>
      <c r="P185" s="71">
        <v>38533</v>
      </c>
      <c r="Q185" s="4"/>
      <c r="R185" s="4"/>
      <c r="S185" s="4"/>
      <c r="T185" s="5"/>
    </row>
    <row r="186" spans="1:20" ht="15.6" x14ac:dyDescent="0.3">
      <c r="A186" s="72"/>
      <c r="B186" s="73"/>
      <c r="C186" s="74"/>
      <c r="D186" s="74"/>
      <c r="E186" s="74"/>
      <c r="F186" s="74"/>
      <c r="G186" s="75"/>
      <c r="H186" s="75"/>
      <c r="I186" s="75"/>
      <c r="J186" s="75"/>
      <c r="K186" s="75"/>
      <c r="L186" s="75"/>
      <c r="M186" s="75"/>
      <c r="N186" s="75"/>
      <c r="O186" s="75"/>
      <c r="P186" s="75"/>
      <c r="Q186" s="8"/>
      <c r="R186" s="8"/>
      <c r="S186" s="8"/>
      <c r="T186" s="5"/>
    </row>
    <row r="187" spans="1:20" ht="15.6" x14ac:dyDescent="0.3">
      <c r="A187" s="76"/>
      <c r="B187" s="77" t="s">
        <v>79</v>
      </c>
      <c r="C187" s="78"/>
      <c r="D187" s="78"/>
      <c r="E187" s="78"/>
      <c r="F187" s="78"/>
      <c r="G187" s="64"/>
      <c r="H187" s="64"/>
      <c r="I187" s="64"/>
      <c r="J187" s="64"/>
      <c r="K187" s="64"/>
      <c r="L187" s="64"/>
      <c r="M187" s="64"/>
      <c r="N187" s="64"/>
      <c r="O187" s="64"/>
      <c r="P187" s="79">
        <v>6.2039999999999998E-2</v>
      </c>
      <c r="Q187" s="25"/>
      <c r="R187" s="25"/>
      <c r="S187" s="25"/>
      <c r="T187" s="5"/>
    </row>
    <row r="188" spans="1:20" ht="15.6" x14ac:dyDescent="0.3">
      <c r="A188" s="76"/>
      <c r="B188" s="77" t="s">
        <v>178</v>
      </c>
      <c r="C188" s="78"/>
      <c r="D188" s="78"/>
      <c r="E188" s="78"/>
      <c r="F188" s="78"/>
      <c r="G188" s="64"/>
      <c r="H188" s="64"/>
      <c r="I188" s="64"/>
      <c r="J188" s="64"/>
      <c r="K188" s="64"/>
      <c r="L188" s="64"/>
      <c r="M188" s="64"/>
      <c r="N188" s="64"/>
      <c r="O188" s="64"/>
      <c r="P188" s="39">
        <v>5.1733455000000005E-2</v>
      </c>
      <c r="Q188" s="25"/>
      <c r="R188" s="25"/>
      <c r="S188" s="25"/>
      <c r="T188" s="5"/>
    </row>
    <row r="189" spans="1:20" ht="15.6" x14ac:dyDescent="0.3">
      <c r="A189" s="76"/>
      <c r="B189" s="77" t="s">
        <v>80</v>
      </c>
      <c r="C189" s="78"/>
      <c r="D189" s="78"/>
      <c r="E189" s="78"/>
      <c r="F189" s="78"/>
      <c r="G189" s="64"/>
      <c r="H189" s="64"/>
      <c r="I189" s="64"/>
      <c r="J189" s="64"/>
      <c r="K189" s="64"/>
      <c r="L189" s="64"/>
      <c r="M189" s="64"/>
      <c r="N189" s="64"/>
      <c r="O189" s="64"/>
      <c r="P189" s="79">
        <f>P187-P188</f>
        <v>1.0306544999999993E-2</v>
      </c>
      <c r="Q189" s="25"/>
      <c r="R189" s="25"/>
      <c r="S189" s="25"/>
      <c r="T189" s="5"/>
    </row>
    <row r="190" spans="1:20" ht="15.6" x14ac:dyDescent="0.3">
      <c r="A190" s="76"/>
      <c r="B190" s="77" t="s">
        <v>81</v>
      </c>
      <c r="C190" s="78"/>
      <c r="D190" s="78"/>
      <c r="E190" s="78"/>
      <c r="F190" s="78"/>
      <c r="G190" s="64"/>
      <c r="H190" s="64"/>
      <c r="I190" s="64"/>
      <c r="J190" s="64"/>
      <c r="K190" s="64"/>
      <c r="L190" s="64"/>
      <c r="M190" s="64"/>
      <c r="N190" s="64"/>
      <c r="O190" s="64"/>
      <c r="P190" s="79">
        <v>6.0810000000000003E-2</v>
      </c>
      <c r="Q190" s="25"/>
      <c r="R190" s="25"/>
      <c r="S190" s="25"/>
      <c r="T190" s="5"/>
    </row>
    <row r="191" spans="1:20" ht="15.6" x14ac:dyDescent="0.3">
      <c r="A191" s="76"/>
      <c r="B191" s="77" t="s">
        <v>261</v>
      </c>
      <c r="C191" s="78"/>
      <c r="D191" s="78"/>
      <c r="E191" s="78"/>
      <c r="F191" s="78"/>
      <c r="G191" s="64"/>
      <c r="H191" s="64"/>
      <c r="I191" s="64"/>
      <c r="J191" s="64"/>
      <c r="K191" s="64"/>
      <c r="L191" s="64"/>
      <c r="M191" s="64"/>
      <c r="N191" s="64"/>
      <c r="O191" s="64"/>
      <c r="P191" s="79">
        <f>+R42</f>
        <v>5.1663739771021441E-2</v>
      </c>
      <c r="Q191" s="25"/>
      <c r="R191" s="25"/>
      <c r="S191" s="25"/>
      <c r="T191" s="5"/>
    </row>
    <row r="192" spans="1:20" ht="15.6" x14ac:dyDescent="0.3">
      <c r="A192" s="76"/>
      <c r="B192" s="77" t="s">
        <v>82</v>
      </c>
      <c r="C192" s="78"/>
      <c r="D192" s="78"/>
      <c r="E192" s="78"/>
      <c r="F192" s="78"/>
      <c r="G192" s="64"/>
      <c r="H192" s="64"/>
      <c r="I192" s="64"/>
      <c r="J192" s="64"/>
      <c r="K192" s="64"/>
      <c r="L192" s="64"/>
      <c r="M192" s="64"/>
      <c r="N192" s="64"/>
      <c r="O192" s="64"/>
      <c r="P192" s="79">
        <f>P190-P191</f>
        <v>9.1462602289785616E-3</v>
      </c>
      <c r="Q192" s="25"/>
      <c r="R192" s="25"/>
      <c r="S192" s="25"/>
      <c r="T192" s="5"/>
    </row>
    <row r="193" spans="1:20" ht="15.6" x14ac:dyDescent="0.3">
      <c r="A193" s="76"/>
      <c r="B193" s="77" t="s">
        <v>267</v>
      </c>
      <c r="C193" s="78"/>
      <c r="D193" s="78"/>
      <c r="E193" s="78"/>
      <c r="F193" s="78"/>
      <c r="G193" s="64"/>
      <c r="H193" s="64"/>
      <c r="I193" s="64"/>
      <c r="J193" s="64"/>
      <c r="K193" s="64"/>
      <c r="L193" s="64"/>
      <c r="M193" s="64"/>
      <c r="N193" s="64"/>
      <c r="O193" s="64"/>
      <c r="P193" s="79">
        <f>(+R95+R97)/J70</f>
        <v>1.6691493831404454E-2</v>
      </c>
      <c r="Q193" s="25"/>
      <c r="R193" s="25"/>
      <c r="S193" s="25"/>
      <c r="T193" s="5"/>
    </row>
    <row r="194" spans="1:20" ht="15.6" x14ac:dyDescent="0.3">
      <c r="A194" s="76"/>
      <c r="B194" s="77" t="s">
        <v>208</v>
      </c>
      <c r="C194" s="78"/>
      <c r="D194" s="78"/>
      <c r="E194" s="78"/>
      <c r="F194" s="78"/>
      <c r="G194" s="64"/>
      <c r="H194" s="64"/>
      <c r="I194" s="64"/>
      <c r="J194" s="64"/>
      <c r="K194" s="64"/>
      <c r="L194" s="64"/>
      <c r="M194" s="64"/>
      <c r="N194" s="64"/>
      <c r="O194" s="64"/>
      <c r="P194" s="132">
        <v>12875</v>
      </c>
      <c r="Q194" s="25"/>
      <c r="R194" s="25"/>
      <c r="S194" s="25"/>
      <c r="T194" s="5"/>
    </row>
    <row r="195" spans="1:20" ht="15.6" x14ac:dyDescent="0.3">
      <c r="A195" s="76"/>
      <c r="B195" s="77" t="s">
        <v>209</v>
      </c>
      <c r="C195" s="78"/>
      <c r="D195" s="78"/>
      <c r="E195" s="78"/>
      <c r="F195" s="78"/>
      <c r="G195" s="64"/>
      <c r="H195" s="64"/>
      <c r="I195" s="64"/>
      <c r="J195" s="64"/>
      <c r="K195" s="64"/>
      <c r="L195" s="64"/>
      <c r="M195" s="64"/>
      <c r="N195" s="64"/>
      <c r="O195" s="64"/>
      <c r="P195" s="132">
        <v>16163</v>
      </c>
      <c r="Q195" s="25"/>
      <c r="R195" s="25"/>
      <c r="S195" s="25"/>
      <c r="T195" s="5"/>
    </row>
    <row r="196" spans="1:20" ht="15.6" x14ac:dyDescent="0.3">
      <c r="A196" s="76"/>
      <c r="B196" s="77" t="s">
        <v>83</v>
      </c>
      <c r="C196" s="78"/>
      <c r="D196" s="78"/>
      <c r="E196" s="78"/>
      <c r="F196" s="78"/>
      <c r="G196" s="64"/>
      <c r="H196" s="64"/>
      <c r="I196" s="64"/>
      <c r="J196" s="64"/>
      <c r="K196" s="64"/>
      <c r="L196" s="64"/>
      <c r="M196" s="64"/>
      <c r="N196" s="64"/>
      <c r="O196" s="64"/>
      <c r="P196" s="136">
        <v>19.739999999999998</v>
      </c>
      <c r="Q196" s="25" t="s">
        <v>125</v>
      </c>
      <c r="R196" s="25"/>
      <c r="S196" s="25"/>
      <c r="T196" s="5"/>
    </row>
    <row r="197" spans="1:20" ht="15.6" x14ac:dyDescent="0.3">
      <c r="A197" s="76"/>
      <c r="B197" s="77" t="s">
        <v>84</v>
      </c>
      <c r="C197" s="78"/>
      <c r="D197" s="78"/>
      <c r="E197" s="78"/>
      <c r="F197" s="78"/>
      <c r="G197" s="64"/>
      <c r="H197" s="64"/>
      <c r="I197" s="64"/>
      <c r="J197" s="64"/>
      <c r="K197" s="64"/>
      <c r="L197" s="64"/>
      <c r="M197" s="64"/>
      <c r="N197" s="64"/>
      <c r="O197" s="64"/>
      <c r="P197" s="136">
        <v>20.18</v>
      </c>
      <c r="Q197" s="25" t="s">
        <v>125</v>
      </c>
      <c r="R197" s="25"/>
      <c r="S197" s="25"/>
      <c r="T197" s="5"/>
    </row>
    <row r="198" spans="1:20" ht="15.6" x14ac:dyDescent="0.3">
      <c r="A198" s="76"/>
      <c r="B198" s="77" t="s">
        <v>85</v>
      </c>
      <c r="C198" s="78"/>
      <c r="D198" s="78"/>
      <c r="E198" s="78"/>
      <c r="F198" s="78"/>
      <c r="G198" s="64"/>
      <c r="H198" s="64"/>
      <c r="I198" s="64"/>
      <c r="J198" s="64"/>
      <c r="K198" s="64"/>
      <c r="L198" s="64"/>
      <c r="M198" s="64"/>
      <c r="N198" s="64"/>
      <c r="O198" s="64"/>
      <c r="P198" s="79">
        <f>+L67/J67</f>
        <v>3.511624377901449E-2</v>
      </c>
      <c r="Q198" s="25"/>
      <c r="R198" s="25"/>
      <c r="S198" s="25"/>
      <c r="T198" s="5"/>
    </row>
    <row r="199" spans="1:20" ht="15.6" x14ac:dyDescent="0.3">
      <c r="A199" s="76"/>
      <c r="B199" s="77" t="s">
        <v>86</v>
      </c>
      <c r="C199" s="78"/>
      <c r="D199" s="78"/>
      <c r="E199" s="78"/>
      <c r="F199" s="78"/>
      <c r="G199" s="64"/>
      <c r="H199" s="64"/>
      <c r="I199" s="64"/>
      <c r="J199" s="64"/>
      <c r="K199" s="64"/>
      <c r="L199" s="64"/>
      <c r="M199" s="64"/>
      <c r="N199" s="64"/>
      <c r="O199" s="64"/>
      <c r="P199" s="79">
        <v>0.125</v>
      </c>
      <c r="Q199" s="25"/>
      <c r="R199" s="25"/>
      <c r="S199" s="25"/>
      <c r="T199" s="5"/>
    </row>
    <row r="200" spans="1:20" ht="15.6" x14ac:dyDescent="0.3">
      <c r="A200" s="76"/>
      <c r="B200" s="77"/>
      <c r="C200" s="77"/>
      <c r="D200" s="77"/>
      <c r="E200" s="77"/>
      <c r="F200" s="77"/>
      <c r="G200" s="25"/>
      <c r="H200" s="25"/>
      <c r="I200" s="25"/>
      <c r="J200" s="25"/>
      <c r="K200" s="25"/>
      <c r="L200" s="25"/>
      <c r="M200" s="25"/>
      <c r="N200" s="25"/>
      <c r="O200" s="25"/>
      <c r="P200" s="61"/>
      <c r="Q200" s="25"/>
      <c r="R200" s="80"/>
      <c r="S200" s="25"/>
      <c r="T200" s="5"/>
    </row>
    <row r="201" spans="1:20" ht="15.6" x14ac:dyDescent="0.3">
      <c r="A201" s="81"/>
      <c r="B201" s="14" t="s">
        <v>87</v>
      </c>
      <c r="C201" s="82"/>
      <c r="D201" s="82"/>
      <c r="E201" s="82"/>
      <c r="F201" s="83"/>
      <c r="G201" s="82"/>
      <c r="H201" s="17"/>
      <c r="I201" s="17"/>
      <c r="J201" s="17"/>
      <c r="K201" s="17"/>
      <c r="L201" s="17"/>
      <c r="M201" s="17"/>
      <c r="N201" s="17"/>
      <c r="O201" s="17" t="s">
        <v>113</v>
      </c>
      <c r="P201" s="84" t="s">
        <v>121</v>
      </c>
      <c r="Q201" s="8"/>
      <c r="R201" s="8"/>
      <c r="S201" s="8"/>
      <c r="T201" s="5"/>
    </row>
    <row r="202" spans="1:20" ht="15.6" x14ac:dyDescent="0.3">
      <c r="A202" s="85"/>
      <c r="B202" s="77" t="s">
        <v>88</v>
      </c>
      <c r="C202" s="54"/>
      <c r="D202" s="54"/>
      <c r="E202" s="54"/>
      <c r="F202" s="25"/>
      <c r="G202" s="25"/>
      <c r="H202" s="30"/>
      <c r="I202" s="30"/>
      <c r="J202" s="30"/>
      <c r="K202" s="30"/>
      <c r="L202" s="30"/>
      <c r="M202" s="30"/>
      <c r="N202" s="30"/>
      <c r="O202" s="30">
        <v>25</v>
      </c>
      <c r="P202" s="86">
        <v>965</v>
      </c>
      <c r="Q202" s="25"/>
      <c r="R202" s="80"/>
      <c r="S202" s="87"/>
      <c r="T202" s="5"/>
    </row>
    <row r="203" spans="1:20" ht="15.6" x14ac:dyDescent="0.3">
      <c r="A203" s="85"/>
      <c r="B203" s="77" t="s">
        <v>169</v>
      </c>
      <c r="C203" s="54"/>
      <c r="D203" s="54"/>
      <c r="E203" s="54"/>
      <c r="F203" s="25"/>
      <c r="G203" s="25"/>
      <c r="H203" s="30"/>
      <c r="I203" s="30"/>
      <c r="J203" s="30"/>
      <c r="K203" s="30"/>
      <c r="L203" s="30"/>
      <c r="M203" s="30"/>
      <c r="N203" s="30"/>
      <c r="O203" s="163">
        <f>+N240</f>
        <v>8</v>
      </c>
      <c r="P203" s="86">
        <f>+P240</f>
        <v>1180</v>
      </c>
      <c r="Q203" s="25"/>
      <c r="R203" s="80"/>
      <c r="S203" s="87"/>
      <c r="T203" s="5"/>
    </row>
    <row r="204" spans="1:20" ht="15.6" x14ac:dyDescent="0.3">
      <c r="A204" s="85"/>
      <c r="B204" s="77" t="s">
        <v>89</v>
      </c>
      <c r="C204" s="54"/>
      <c r="D204" s="54"/>
      <c r="E204" s="54"/>
      <c r="F204" s="25"/>
      <c r="G204" s="25"/>
      <c r="H204" s="30"/>
      <c r="I204" s="30"/>
      <c r="J204" s="30"/>
      <c r="K204" s="30"/>
      <c r="L204" s="30"/>
      <c r="M204" s="30"/>
      <c r="N204" s="30"/>
      <c r="O204" s="163">
        <f>+N252</f>
        <v>2</v>
      </c>
      <c r="P204" s="86">
        <f>+P252</f>
        <v>95</v>
      </c>
      <c r="Q204" s="25"/>
      <c r="R204" s="80"/>
      <c r="S204" s="87"/>
      <c r="T204" s="5"/>
    </row>
    <row r="205" spans="1:20" ht="15.6" x14ac:dyDescent="0.3">
      <c r="A205" s="85"/>
      <c r="B205" s="123" t="s">
        <v>90</v>
      </c>
      <c r="C205" s="54"/>
      <c r="D205" s="54"/>
      <c r="E205" s="54"/>
      <c r="F205" s="25"/>
      <c r="G205" s="25"/>
      <c r="H205" s="25"/>
      <c r="I205" s="25"/>
      <c r="J205" s="25"/>
      <c r="K205" s="25"/>
      <c r="L205" s="25"/>
      <c r="M205" s="25"/>
      <c r="N205" s="25"/>
      <c r="O205" s="25"/>
      <c r="P205" s="86">
        <v>0</v>
      </c>
      <c r="Q205" s="25"/>
      <c r="R205" s="80"/>
      <c r="S205" s="87"/>
      <c r="T205" s="5"/>
    </row>
    <row r="206" spans="1:20" ht="15.6" x14ac:dyDescent="0.3">
      <c r="A206" s="85"/>
      <c r="B206" s="123" t="s">
        <v>91</v>
      </c>
      <c r="C206" s="54"/>
      <c r="D206" s="54"/>
      <c r="E206" s="54"/>
      <c r="F206" s="25"/>
      <c r="G206" s="25"/>
      <c r="H206" s="25"/>
      <c r="I206" s="25"/>
      <c r="J206" s="25"/>
      <c r="K206" s="25"/>
      <c r="L206" s="25"/>
      <c r="M206" s="25"/>
      <c r="N206" s="25"/>
      <c r="O206" s="25"/>
      <c r="P206" s="62" t="s">
        <v>122</v>
      </c>
      <c r="Q206" s="25"/>
      <c r="R206" s="80"/>
      <c r="S206" s="87"/>
      <c r="T206" s="5"/>
    </row>
    <row r="207" spans="1:20" ht="15.6" x14ac:dyDescent="0.3">
      <c r="A207" s="88"/>
      <c r="B207" s="123" t="s">
        <v>92</v>
      </c>
      <c r="C207" s="77"/>
      <c r="D207" s="77"/>
      <c r="E207" s="77"/>
      <c r="F207" s="77"/>
      <c r="G207" s="25"/>
      <c r="H207" s="25"/>
      <c r="I207" s="25"/>
      <c r="J207" s="25"/>
      <c r="K207" s="25"/>
      <c r="L207" s="25"/>
      <c r="M207" s="25"/>
      <c r="N207" s="25"/>
      <c r="O207" s="25"/>
      <c r="P207" s="86"/>
      <c r="Q207" s="25"/>
      <c r="R207" s="80"/>
      <c r="S207" s="89"/>
      <c r="T207" s="5"/>
    </row>
    <row r="208" spans="1:20" ht="15.6" x14ac:dyDescent="0.3">
      <c r="A208" s="88"/>
      <c r="B208" s="134" t="s">
        <v>93</v>
      </c>
      <c r="C208" s="77"/>
      <c r="D208" s="77"/>
      <c r="E208" s="77"/>
      <c r="F208" s="77"/>
      <c r="G208" s="25"/>
      <c r="H208" s="25"/>
      <c r="I208" s="25"/>
      <c r="J208" s="25"/>
      <c r="K208" s="25"/>
      <c r="L208" s="25"/>
      <c r="M208" s="25"/>
      <c r="N208" s="25"/>
      <c r="O208" s="25">
        <v>0</v>
      </c>
      <c r="P208" s="86">
        <f>R156</f>
        <v>0</v>
      </c>
      <c r="Q208" s="25"/>
      <c r="R208" s="80"/>
      <c r="S208" s="89"/>
      <c r="T208" s="5"/>
    </row>
    <row r="209" spans="1:21" ht="15.6" x14ac:dyDescent="0.3">
      <c r="A209" s="85"/>
      <c r="B209" s="77" t="s">
        <v>94</v>
      </c>
      <c r="C209" s="54"/>
      <c r="D209" s="54"/>
      <c r="E209" s="54"/>
      <c r="F209" s="54"/>
      <c r="G209" s="25"/>
      <c r="H209" s="25"/>
      <c r="I209" s="25"/>
      <c r="J209" s="25"/>
      <c r="K209" s="25"/>
      <c r="L209" s="25"/>
      <c r="M209" s="25"/>
      <c r="N209" s="25"/>
      <c r="O209" s="25">
        <v>0</v>
      </c>
      <c r="P209" s="86">
        <f>+'March 05'!P209+P208</f>
        <v>0</v>
      </c>
      <c r="Q209" s="25"/>
      <c r="R209" s="80"/>
      <c r="S209" s="89"/>
      <c r="T209" s="5"/>
    </row>
    <row r="210" spans="1:21" ht="15.6" x14ac:dyDescent="0.3">
      <c r="A210" s="85"/>
      <c r="B210" s="77" t="s">
        <v>95</v>
      </c>
      <c r="C210" s="54"/>
      <c r="D210" s="54"/>
      <c r="E210" s="54"/>
      <c r="F210" s="54"/>
      <c r="G210" s="25"/>
      <c r="H210" s="25"/>
      <c r="I210" s="25"/>
      <c r="J210" s="25"/>
      <c r="K210" s="25"/>
      <c r="L210" s="25"/>
      <c r="M210" s="25"/>
      <c r="N210" s="25"/>
      <c r="O210" s="25"/>
      <c r="P210" s="86">
        <v>0</v>
      </c>
      <c r="Q210" s="25"/>
      <c r="R210" s="80"/>
      <c r="S210" s="89"/>
      <c r="T210" s="5"/>
    </row>
    <row r="211" spans="1:21" ht="15.6" x14ac:dyDescent="0.3">
      <c r="A211" s="88"/>
      <c r="B211" s="123" t="s">
        <v>96</v>
      </c>
      <c r="C211" s="77"/>
      <c r="D211" s="77"/>
      <c r="E211" s="77"/>
      <c r="F211" s="77"/>
      <c r="G211" s="25"/>
      <c r="H211" s="25"/>
      <c r="I211" s="25"/>
      <c r="J211" s="25"/>
      <c r="K211" s="25"/>
      <c r="L211" s="25"/>
      <c r="M211" s="25"/>
      <c r="N211" s="25"/>
      <c r="O211" s="25"/>
      <c r="P211" s="86"/>
      <c r="Q211" s="25"/>
      <c r="R211" s="80"/>
      <c r="S211" s="89"/>
      <c r="T211" s="5"/>
    </row>
    <row r="212" spans="1:21" ht="15.6" x14ac:dyDescent="0.3">
      <c r="A212" s="88"/>
      <c r="B212" s="77" t="s">
        <v>283</v>
      </c>
      <c r="C212" s="77"/>
      <c r="D212" s="77"/>
      <c r="E212" s="77"/>
      <c r="F212" s="77"/>
      <c r="G212" s="25"/>
      <c r="H212" s="25"/>
      <c r="I212" s="25"/>
      <c r="J212" s="25"/>
      <c r="K212" s="25"/>
      <c r="L212" s="25"/>
      <c r="M212" s="25"/>
      <c r="N212" s="25"/>
      <c r="O212" s="25">
        <v>0</v>
      </c>
      <c r="P212" s="86">
        <v>0</v>
      </c>
      <c r="Q212" s="25"/>
      <c r="R212" s="80"/>
      <c r="S212" s="89"/>
      <c r="T212" s="5"/>
    </row>
    <row r="213" spans="1:21" ht="15.6" x14ac:dyDescent="0.3">
      <c r="A213" s="85"/>
      <c r="B213" s="77" t="s">
        <v>97</v>
      </c>
      <c r="C213" s="90"/>
      <c r="D213" s="90"/>
      <c r="E213" s="90"/>
      <c r="F213" s="91"/>
      <c r="G213" s="25"/>
      <c r="H213" s="25"/>
      <c r="I213" s="25"/>
      <c r="J213" s="25"/>
      <c r="K213" s="25"/>
      <c r="L213" s="25"/>
      <c r="M213" s="25"/>
      <c r="N213" s="25"/>
      <c r="O213" s="25"/>
      <c r="P213" s="62">
        <v>0</v>
      </c>
      <c r="Q213" s="25"/>
      <c r="R213" s="80"/>
      <c r="S213" s="89"/>
      <c r="T213" s="5"/>
    </row>
    <row r="214" spans="1:21" ht="15.6" x14ac:dyDescent="0.3">
      <c r="A214" s="85"/>
      <c r="B214" s="77" t="s">
        <v>98</v>
      </c>
      <c r="C214" s="90"/>
      <c r="D214" s="90"/>
      <c r="E214" s="90"/>
      <c r="F214" s="91"/>
      <c r="G214" s="25"/>
      <c r="H214" s="25"/>
      <c r="I214" s="25"/>
      <c r="J214" s="25"/>
      <c r="K214" s="25"/>
      <c r="L214" s="25"/>
      <c r="M214" s="25"/>
      <c r="N214" s="25"/>
      <c r="O214" s="25"/>
      <c r="P214" s="62">
        <v>0</v>
      </c>
      <c r="Q214" s="25"/>
      <c r="R214" s="80"/>
      <c r="S214" s="89"/>
      <c r="T214" s="5"/>
    </row>
    <row r="215" spans="1:21" ht="15.6" x14ac:dyDescent="0.3">
      <c r="A215" s="85"/>
      <c r="B215" s="77"/>
      <c r="C215" s="90"/>
      <c r="D215" s="90"/>
      <c r="E215" s="90"/>
      <c r="F215" s="91"/>
      <c r="G215" s="25"/>
      <c r="H215" s="25"/>
      <c r="I215" s="25"/>
      <c r="J215" s="25"/>
      <c r="K215" s="25"/>
      <c r="L215" s="25"/>
      <c r="M215" s="25"/>
      <c r="N215" s="25"/>
      <c r="O215" s="25"/>
      <c r="P215" s="92"/>
      <c r="Q215" s="25"/>
      <c r="R215" s="80"/>
      <c r="S215" s="89"/>
      <c r="T215" s="5"/>
    </row>
    <row r="216" spans="1:21" ht="17.399999999999999" x14ac:dyDescent="0.3">
      <c r="A216" s="85"/>
      <c r="B216" s="166" t="s">
        <v>243</v>
      </c>
      <c r="C216" s="90"/>
      <c r="D216" s="90"/>
      <c r="E216" s="90"/>
      <c r="F216" s="91"/>
      <c r="G216" s="25"/>
      <c r="H216" s="25"/>
      <c r="I216" s="25"/>
      <c r="J216" s="25"/>
      <c r="K216" s="25"/>
      <c r="L216" s="25"/>
      <c r="M216" s="25"/>
      <c r="N216" s="25"/>
      <c r="O216" s="25"/>
      <c r="P216" s="92"/>
      <c r="Q216" s="25"/>
      <c r="R216" s="80"/>
      <c r="S216" s="89"/>
      <c r="T216" s="5"/>
    </row>
    <row r="217" spans="1:21" ht="15.6" x14ac:dyDescent="0.3">
      <c r="A217" s="85"/>
      <c r="B217" s="77"/>
      <c r="C217" s="90"/>
      <c r="D217" s="90"/>
      <c r="E217" s="90"/>
      <c r="F217" s="91"/>
      <c r="G217" s="25"/>
      <c r="H217" s="25"/>
      <c r="I217" s="25"/>
      <c r="J217" s="25"/>
      <c r="K217" s="25"/>
      <c r="L217" s="25"/>
      <c r="M217" s="25"/>
      <c r="N217" s="25"/>
      <c r="O217" s="25"/>
      <c r="P217" s="92"/>
      <c r="Q217" s="25"/>
      <c r="R217" s="80"/>
      <c r="S217" s="89"/>
      <c r="T217" s="5"/>
    </row>
    <row r="218" spans="1:21" ht="15.6" x14ac:dyDescent="0.3">
      <c r="A218" s="6"/>
      <c r="B218" s="14" t="s">
        <v>236</v>
      </c>
      <c r="C218" s="82"/>
      <c r="D218" s="82"/>
      <c r="E218" s="82"/>
      <c r="F218" s="83"/>
      <c r="G218" s="82"/>
      <c r="H218" s="17"/>
      <c r="I218" s="17"/>
      <c r="J218" s="17"/>
      <c r="K218" s="17"/>
      <c r="L218" s="17"/>
      <c r="M218" s="17"/>
      <c r="N218" s="84" t="s">
        <v>113</v>
      </c>
      <c r="O218" s="17" t="s">
        <v>114</v>
      </c>
      <c r="P218" s="84" t="s">
        <v>123</v>
      </c>
      <c r="Q218" s="17" t="s">
        <v>114</v>
      </c>
      <c r="R218" s="8"/>
      <c r="S218" s="93"/>
      <c r="T218" s="5"/>
    </row>
    <row r="219" spans="1:21" ht="15.6" x14ac:dyDescent="0.3">
      <c r="A219" s="24"/>
      <c r="B219" s="54" t="s">
        <v>99</v>
      </c>
      <c r="C219" s="94"/>
      <c r="D219" s="94"/>
      <c r="E219" s="94"/>
      <c r="F219" s="25"/>
      <c r="G219" s="94"/>
      <c r="H219" s="94"/>
      <c r="I219" s="94"/>
      <c r="J219" s="94"/>
      <c r="K219" s="94"/>
      <c r="L219" s="94"/>
      <c r="M219" s="94"/>
      <c r="N219" s="54">
        <v>9292</v>
      </c>
      <c r="O219" s="95">
        <f t="shared" ref="O219:O226" si="1">N219/$N$228</f>
        <v>0.99358426005132594</v>
      </c>
      <c r="P219" s="53">
        <v>936207</v>
      </c>
      <c r="Q219" s="135">
        <f t="shared" ref="Q219:Q226" si="2">P219/$P$228</f>
        <v>0.99361615415475335</v>
      </c>
      <c r="R219" s="80"/>
      <c r="S219" s="89"/>
      <c r="T219" s="5"/>
    </row>
    <row r="220" spans="1:21" ht="15.6" x14ac:dyDescent="0.3">
      <c r="A220" s="24"/>
      <c r="B220" s="54" t="s">
        <v>100</v>
      </c>
      <c r="C220" s="94"/>
      <c r="D220" s="94"/>
      <c r="E220" s="94"/>
      <c r="F220" s="25"/>
      <c r="G220" s="95"/>
      <c r="H220" s="94"/>
      <c r="I220" s="94"/>
      <c r="J220" s="94"/>
      <c r="K220" s="94"/>
      <c r="L220" s="94"/>
      <c r="M220" s="94"/>
      <c r="N220" s="54">
        <v>24</v>
      </c>
      <c r="O220" s="95">
        <f t="shared" si="1"/>
        <v>2.5662959794696323E-3</v>
      </c>
      <c r="P220" s="53">
        <v>3268</v>
      </c>
      <c r="Q220" s="135">
        <f t="shared" si="2"/>
        <v>3.468397044433265E-3</v>
      </c>
      <c r="R220" s="80"/>
      <c r="S220" s="89"/>
      <c r="T220" s="5"/>
      <c r="U220" s="110"/>
    </row>
    <row r="221" spans="1:21" ht="15.6" x14ac:dyDescent="0.3">
      <c r="A221" s="24"/>
      <c r="B221" s="54" t="s">
        <v>101</v>
      </c>
      <c r="C221" s="94"/>
      <c r="D221" s="94"/>
      <c r="E221" s="94"/>
      <c r="F221" s="25"/>
      <c r="G221" s="95"/>
      <c r="H221" s="94"/>
      <c r="I221" s="94"/>
      <c r="J221" s="94"/>
      <c r="K221" s="94"/>
      <c r="L221" s="94"/>
      <c r="M221" s="94"/>
      <c r="N221" s="54">
        <v>14</v>
      </c>
      <c r="O221" s="95">
        <f t="shared" si="1"/>
        <v>1.4970059880239522E-3</v>
      </c>
      <c r="P221" s="53">
        <v>1225</v>
      </c>
      <c r="Q221" s="135">
        <f t="shared" si="2"/>
        <v>1.3001182311599602E-3</v>
      </c>
      <c r="R221" s="80"/>
      <c r="S221" s="89"/>
      <c r="T221" s="5"/>
    </row>
    <row r="222" spans="1:21" ht="15.6" x14ac:dyDescent="0.3">
      <c r="A222" s="24"/>
      <c r="B222" s="54" t="s">
        <v>210</v>
      </c>
      <c r="C222" s="94"/>
      <c r="D222" s="94"/>
      <c r="E222" s="94"/>
      <c r="F222" s="25"/>
      <c r="G222" s="95"/>
      <c r="H222" s="94"/>
      <c r="I222" s="94"/>
      <c r="J222" s="94"/>
      <c r="K222" s="94"/>
      <c r="L222" s="94"/>
      <c r="M222" s="94"/>
      <c r="N222" s="54">
        <v>3</v>
      </c>
      <c r="O222" s="95">
        <f t="shared" si="1"/>
        <v>3.2078699743370403E-4</v>
      </c>
      <c r="P222" s="53">
        <v>127</v>
      </c>
      <c r="Q222" s="135">
        <f t="shared" si="2"/>
        <v>1.3478776763862444E-4</v>
      </c>
      <c r="R222" s="80"/>
      <c r="S222" s="89"/>
      <c r="T222" s="5"/>
      <c r="U222" s="110"/>
    </row>
    <row r="223" spans="1:21" ht="15.6" x14ac:dyDescent="0.3">
      <c r="A223" s="24"/>
      <c r="B223" s="54" t="s">
        <v>211</v>
      </c>
      <c r="C223" s="94"/>
      <c r="D223" s="94"/>
      <c r="E223" s="94"/>
      <c r="F223" s="25"/>
      <c r="G223" s="95"/>
      <c r="H223" s="94"/>
      <c r="I223" s="94"/>
      <c r="J223" s="94"/>
      <c r="K223" s="94"/>
      <c r="L223" s="94"/>
      <c r="M223" s="94"/>
      <c r="N223" s="54">
        <v>1</v>
      </c>
      <c r="O223" s="95">
        <f t="shared" si="1"/>
        <v>1.06928999144568E-4</v>
      </c>
      <c r="P223" s="53">
        <v>30</v>
      </c>
      <c r="Q223" s="135">
        <f t="shared" si="2"/>
        <v>3.1839630150856169E-5</v>
      </c>
      <c r="R223" s="80"/>
      <c r="S223" s="89"/>
      <c r="T223" s="5"/>
    </row>
    <row r="224" spans="1:21" ht="15.6" x14ac:dyDescent="0.3">
      <c r="A224" s="24"/>
      <c r="B224" s="54" t="s">
        <v>212</v>
      </c>
      <c r="C224" s="94"/>
      <c r="D224" s="94"/>
      <c r="E224" s="94"/>
      <c r="F224" s="25"/>
      <c r="G224" s="95"/>
      <c r="H224" s="94"/>
      <c r="I224" s="94"/>
      <c r="J224" s="94"/>
      <c r="K224" s="94"/>
      <c r="L224" s="94"/>
      <c r="M224" s="94"/>
      <c r="N224" s="54">
        <v>3</v>
      </c>
      <c r="O224" s="95">
        <f t="shared" si="1"/>
        <v>3.2078699743370403E-4</v>
      </c>
      <c r="P224" s="53">
        <v>128</v>
      </c>
      <c r="Q224" s="135">
        <f t="shared" si="2"/>
        <v>1.3584908864365297E-4</v>
      </c>
      <c r="R224" s="80"/>
      <c r="S224" s="89"/>
      <c r="T224" s="5"/>
      <c r="U224" s="110"/>
    </row>
    <row r="225" spans="1:21" ht="15.6" x14ac:dyDescent="0.3">
      <c r="A225" s="24"/>
      <c r="B225" s="54" t="s">
        <v>213</v>
      </c>
      <c r="C225" s="94"/>
      <c r="D225" s="94"/>
      <c r="E225" s="94"/>
      <c r="F225" s="25"/>
      <c r="G225" s="95"/>
      <c r="H225" s="94"/>
      <c r="I225" s="94"/>
      <c r="J225" s="94"/>
      <c r="K225" s="94"/>
      <c r="L225" s="94"/>
      <c r="M225" s="94"/>
      <c r="N225" s="54">
        <v>15</v>
      </c>
      <c r="O225" s="95">
        <f t="shared" si="1"/>
        <v>1.6039349871685201E-3</v>
      </c>
      <c r="P225" s="53">
        <v>1237</v>
      </c>
      <c r="Q225" s="135">
        <f t="shared" si="2"/>
        <v>1.3128540832203026E-3</v>
      </c>
      <c r="R225" s="80"/>
      <c r="S225" s="89"/>
      <c r="T225" s="5"/>
    </row>
    <row r="226" spans="1:21" ht="15.6" x14ac:dyDescent="0.3">
      <c r="A226" s="24"/>
      <c r="B226" s="54" t="s">
        <v>214</v>
      </c>
      <c r="C226" s="94"/>
      <c r="D226" s="94"/>
      <c r="E226" s="94"/>
      <c r="F226" s="25"/>
      <c r="G226" s="95"/>
      <c r="H226" s="94"/>
      <c r="I226" s="94"/>
      <c r="J226" s="94"/>
      <c r="K226" s="94"/>
      <c r="L226" s="94"/>
      <c r="M226" s="94"/>
      <c r="N226" s="54">
        <v>0</v>
      </c>
      <c r="O226" s="95">
        <f t="shared" si="1"/>
        <v>0</v>
      </c>
      <c r="P226" s="53">
        <v>0</v>
      </c>
      <c r="Q226" s="135">
        <f t="shared" si="2"/>
        <v>0</v>
      </c>
      <c r="R226" s="80"/>
      <c r="S226" s="89"/>
      <c r="T226" s="5"/>
      <c r="U226" s="110"/>
    </row>
    <row r="227" spans="1:21" ht="15.6" x14ac:dyDescent="0.3">
      <c r="A227" s="24"/>
      <c r="B227" s="25"/>
      <c r="C227" s="94"/>
      <c r="D227" s="94"/>
      <c r="E227" s="94"/>
      <c r="F227" s="25"/>
      <c r="G227" s="95"/>
      <c r="H227" s="94"/>
      <c r="I227" s="94"/>
      <c r="J227" s="94"/>
      <c r="K227" s="94"/>
      <c r="L227" s="94"/>
      <c r="M227" s="94"/>
      <c r="N227" s="54"/>
      <c r="O227" s="95"/>
      <c r="P227" s="53"/>
      <c r="Q227" s="135"/>
      <c r="R227" s="80"/>
      <c r="S227" s="89"/>
      <c r="T227" s="5"/>
    </row>
    <row r="228" spans="1:21" ht="15.6" x14ac:dyDescent="0.3">
      <c r="A228" s="24"/>
      <c r="B228" s="25" t="s">
        <v>129</v>
      </c>
      <c r="C228" s="25"/>
      <c r="D228" s="25"/>
      <c r="E228" s="25"/>
      <c r="F228" s="25"/>
      <c r="G228" s="25"/>
      <c r="H228" s="96"/>
      <c r="I228" s="96"/>
      <c r="J228" s="96"/>
      <c r="K228" s="96"/>
      <c r="L228" s="96"/>
      <c r="M228" s="96"/>
      <c r="N228" s="34">
        <f>SUM(N219:N227)</f>
        <v>9352</v>
      </c>
      <c r="O228" s="135">
        <f>SUM(O219:O227)</f>
        <v>0.99999999999999989</v>
      </c>
      <c r="P228" s="53">
        <f>SUM(P219:P227)</f>
        <v>942222</v>
      </c>
      <c r="Q228" s="135">
        <f>SUM(Q219:Q227)</f>
        <v>1</v>
      </c>
      <c r="R228" s="25"/>
      <c r="S228" s="25"/>
      <c r="T228" s="5"/>
    </row>
    <row r="229" spans="1:21" ht="15.6" x14ac:dyDescent="0.3">
      <c r="A229" s="24"/>
      <c r="B229" s="25"/>
      <c r="C229" s="25"/>
      <c r="D229" s="25"/>
      <c r="E229" s="25"/>
      <c r="F229" s="25"/>
      <c r="G229" s="25"/>
      <c r="H229" s="96"/>
      <c r="I229" s="96"/>
      <c r="J229" s="96"/>
      <c r="K229" s="96"/>
      <c r="L229" s="96"/>
      <c r="M229" s="96"/>
      <c r="N229" s="34"/>
      <c r="O229" s="135"/>
      <c r="P229" s="53"/>
      <c r="Q229" s="135"/>
      <c r="R229" s="25"/>
      <c r="S229" s="25"/>
      <c r="T229" s="5"/>
    </row>
    <row r="230" spans="1:21" ht="15.6" x14ac:dyDescent="0.3">
      <c r="A230" s="144"/>
      <c r="B230" s="14" t="s">
        <v>241</v>
      </c>
      <c r="C230" s="82"/>
      <c r="D230" s="82"/>
      <c r="E230" s="82"/>
      <c r="F230" s="83"/>
      <c r="G230" s="82"/>
      <c r="H230" s="17"/>
      <c r="I230" s="17"/>
      <c r="J230" s="17"/>
      <c r="K230" s="17"/>
      <c r="L230" s="17"/>
      <c r="M230" s="17"/>
      <c r="N230" s="84" t="s">
        <v>113</v>
      </c>
      <c r="O230" s="17" t="s">
        <v>114</v>
      </c>
      <c r="P230" s="84" t="s">
        <v>123</v>
      </c>
      <c r="Q230" s="17" t="s">
        <v>114</v>
      </c>
      <c r="R230" s="142"/>
      <c r="S230" s="143"/>
      <c r="T230" s="5"/>
    </row>
    <row r="231" spans="1:21" ht="15.6" x14ac:dyDescent="0.3">
      <c r="A231" s="24"/>
      <c r="B231" s="54" t="s">
        <v>99</v>
      </c>
      <c r="C231" s="94"/>
      <c r="D231" s="94"/>
      <c r="E231" s="94"/>
      <c r="F231" s="25"/>
      <c r="G231" s="94"/>
      <c r="H231" s="94"/>
      <c r="I231" s="94"/>
      <c r="J231" s="94"/>
      <c r="K231" s="94"/>
      <c r="L231" s="94"/>
      <c r="M231" s="94"/>
      <c r="N231" s="54">
        <v>1</v>
      </c>
      <c r="O231" s="95">
        <f t="shared" ref="O231:O238" si="3">N231/$N$240</f>
        <v>0.125</v>
      </c>
      <c r="P231" s="53">
        <v>289</v>
      </c>
      <c r="Q231" s="135">
        <f t="shared" ref="Q231:Q238" si="4">P231/$P$240</f>
        <v>0.24491525423728813</v>
      </c>
      <c r="R231" s="25"/>
      <c r="S231" s="25"/>
      <c r="T231" s="5"/>
    </row>
    <row r="232" spans="1:21" ht="15.6" x14ac:dyDescent="0.3">
      <c r="A232" s="24"/>
      <c r="B232" s="54" t="s">
        <v>100</v>
      </c>
      <c r="C232" s="94"/>
      <c r="D232" s="94"/>
      <c r="E232" s="94"/>
      <c r="F232" s="25"/>
      <c r="G232" s="95"/>
      <c r="H232" s="94"/>
      <c r="I232" s="94"/>
      <c r="J232" s="94"/>
      <c r="K232" s="94"/>
      <c r="L232" s="94"/>
      <c r="M232" s="94"/>
      <c r="N232" s="54">
        <v>0</v>
      </c>
      <c r="O232" s="95">
        <f t="shared" si="3"/>
        <v>0</v>
      </c>
      <c r="P232" s="53">
        <v>0</v>
      </c>
      <c r="Q232" s="135">
        <f t="shared" si="4"/>
        <v>0</v>
      </c>
      <c r="R232" s="25"/>
      <c r="S232" s="25"/>
      <c r="T232" s="5"/>
    </row>
    <row r="233" spans="1:21" ht="15.6" x14ac:dyDescent="0.3">
      <c r="A233" s="24"/>
      <c r="B233" s="54" t="s">
        <v>101</v>
      </c>
      <c r="C233" s="94"/>
      <c r="D233" s="94"/>
      <c r="E233" s="94"/>
      <c r="F233" s="25"/>
      <c r="G233" s="95"/>
      <c r="H233" s="94"/>
      <c r="I233" s="94"/>
      <c r="J233" s="94"/>
      <c r="K233" s="94"/>
      <c r="L233" s="94"/>
      <c r="M233" s="94"/>
      <c r="N233" s="54">
        <v>0</v>
      </c>
      <c r="O233" s="95">
        <f t="shared" si="3"/>
        <v>0</v>
      </c>
      <c r="P233" s="53">
        <v>0</v>
      </c>
      <c r="Q233" s="135">
        <f t="shared" si="4"/>
        <v>0</v>
      </c>
      <c r="R233" s="25"/>
      <c r="S233" s="25"/>
      <c r="T233" s="5"/>
    </row>
    <row r="234" spans="1:21" ht="15.6" x14ac:dyDescent="0.3">
      <c r="A234" s="24"/>
      <c r="B234" s="54" t="s">
        <v>210</v>
      </c>
      <c r="C234" s="94"/>
      <c r="D234" s="94"/>
      <c r="E234" s="94"/>
      <c r="F234" s="25"/>
      <c r="G234" s="95"/>
      <c r="H234" s="94"/>
      <c r="I234" s="94"/>
      <c r="J234" s="94"/>
      <c r="K234" s="94"/>
      <c r="L234" s="94"/>
      <c r="M234" s="94"/>
      <c r="N234" s="54">
        <v>2</v>
      </c>
      <c r="O234" s="95">
        <f t="shared" si="3"/>
        <v>0.25</v>
      </c>
      <c r="P234" s="53">
        <v>58</v>
      </c>
      <c r="Q234" s="135">
        <f t="shared" si="4"/>
        <v>4.9152542372881358E-2</v>
      </c>
      <c r="R234" s="25"/>
      <c r="S234" s="25"/>
      <c r="T234" s="5"/>
    </row>
    <row r="235" spans="1:21" ht="15.6" x14ac:dyDescent="0.3">
      <c r="A235" s="24"/>
      <c r="B235" s="54" t="s">
        <v>211</v>
      </c>
      <c r="C235" s="94"/>
      <c r="D235" s="94"/>
      <c r="E235" s="94"/>
      <c r="F235" s="25"/>
      <c r="G235" s="95"/>
      <c r="H235" s="94"/>
      <c r="I235" s="94"/>
      <c r="J235" s="94"/>
      <c r="K235" s="94"/>
      <c r="L235" s="94"/>
      <c r="M235" s="94"/>
      <c r="N235" s="54">
        <v>3</v>
      </c>
      <c r="O235" s="95">
        <f t="shared" si="3"/>
        <v>0.375</v>
      </c>
      <c r="P235" s="53">
        <v>465</v>
      </c>
      <c r="Q235" s="135">
        <f t="shared" si="4"/>
        <v>0.3940677966101695</v>
      </c>
      <c r="R235" s="25"/>
      <c r="S235" s="25"/>
      <c r="T235" s="5"/>
    </row>
    <row r="236" spans="1:21" ht="15.6" x14ac:dyDescent="0.3">
      <c r="A236" s="24"/>
      <c r="B236" s="54" t="s">
        <v>212</v>
      </c>
      <c r="C236" s="94"/>
      <c r="D236" s="94"/>
      <c r="E236" s="94"/>
      <c r="F236" s="25"/>
      <c r="G236" s="95"/>
      <c r="H236" s="94"/>
      <c r="I236" s="94"/>
      <c r="J236" s="94"/>
      <c r="K236" s="94"/>
      <c r="L236" s="94"/>
      <c r="M236" s="94"/>
      <c r="N236" s="54">
        <v>0</v>
      </c>
      <c r="O236" s="95">
        <f t="shared" si="3"/>
        <v>0</v>
      </c>
      <c r="P236" s="53">
        <v>0</v>
      </c>
      <c r="Q236" s="135">
        <f t="shared" si="4"/>
        <v>0</v>
      </c>
      <c r="R236" s="25"/>
      <c r="S236" s="25"/>
      <c r="T236" s="5"/>
    </row>
    <row r="237" spans="1:21" ht="15.6" x14ac:dyDescent="0.3">
      <c r="A237" s="24"/>
      <c r="B237" s="54" t="s">
        <v>213</v>
      </c>
      <c r="C237" s="94"/>
      <c r="D237" s="94"/>
      <c r="E237" s="94"/>
      <c r="F237" s="25"/>
      <c r="G237" s="95"/>
      <c r="H237" s="94"/>
      <c r="I237" s="94"/>
      <c r="J237" s="94"/>
      <c r="K237" s="94"/>
      <c r="L237" s="94"/>
      <c r="M237" s="94"/>
      <c r="N237" s="54">
        <v>2</v>
      </c>
      <c r="O237" s="95">
        <f t="shared" si="3"/>
        <v>0.25</v>
      </c>
      <c r="P237" s="53">
        <v>368</v>
      </c>
      <c r="Q237" s="135">
        <f t="shared" si="4"/>
        <v>0.31186440677966104</v>
      </c>
      <c r="R237" s="25"/>
      <c r="S237" s="25"/>
      <c r="T237" s="5"/>
    </row>
    <row r="238" spans="1:21" ht="15.6" x14ac:dyDescent="0.3">
      <c r="A238" s="24"/>
      <c r="B238" s="54" t="s">
        <v>214</v>
      </c>
      <c r="C238" s="94"/>
      <c r="D238" s="94"/>
      <c r="E238" s="94"/>
      <c r="F238" s="25"/>
      <c r="G238" s="95"/>
      <c r="H238" s="94"/>
      <c r="I238" s="94"/>
      <c r="J238" s="94"/>
      <c r="K238" s="94"/>
      <c r="L238" s="94"/>
      <c r="M238" s="94"/>
      <c r="N238" s="54">
        <v>0</v>
      </c>
      <c r="O238" s="95">
        <f t="shared" si="3"/>
        <v>0</v>
      </c>
      <c r="P238" s="53">
        <v>0</v>
      </c>
      <c r="Q238" s="135">
        <f t="shared" si="4"/>
        <v>0</v>
      </c>
      <c r="R238" s="25"/>
      <c r="S238" s="25"/>
      <c r="T238" s="5"/>
    </row>
    <row r="239" spans="1:21" ht="15.6" x14ac:dyDescent="0.3">
      <c r="A239" s="24"/>
      <c r="B239" s="25"/>
      <c r="C239" s="94"/>
      <c r="D239" s="94"/>
      <c r="E239" s="94"/>
      <c r="F239" s="25"/>
      <c r="G239" s="95"/>
      <c r="H239" s="94"/>
      <c r="I239" s="94"/>
      <c r="J239" s="94"/>
      <c r="K239" s="94"/>
      <c r="L239" s="94"/>
      <c r="M239" s="94"/>
      <c r="N239" s="54"/>
      <c r="O239" s="95"/>
      <c r="P239" s="53"/>
      <c r="Q239" s="135"/>
      <c r="R239" s="25"/>
      <c r="S239" s="25"/>
      <c r="T239" s="5"/>
    </row>
    <row r="240" spans="1:21" ht="15.6" x14ac:dyDescent="0.3">
      <c r="A240" s="24"/>
      <c r="B240" s="25" t="s">
        <v>129</v>
      </c>
      <c r="C240" s="25"/>
      <c r="D240" s="25"/>
      <c r="E240" s="25"/>
      <c r="F240" s="25"/>
      <c r="G240" s="25"/>
      <c r="H240" s="96"/>
      <c r="I240" s="96"/>
      <c r="J240" s="96"/>
      <c r="K240" s="96"/>
      <c r="L240" s="96"/>
      <c r="M240" s="96"/>
      <c r="N240" s="34">
        <f>SUM(N231:N239)</f>
        <v>8</v>
      </c>
      <c r="O240" s="135">
        <f>SUM(O231:O239)</f>
        <v>1</v>
      </c>
      <c r="P240" s="53">
        <f>SUM(P231:P239)</f>
        <v>1180</v>
      </c>
      <c r="Q240" s="135">
        <f>SUM(Q231:Q239)</f>
        <v>1</v>
      </c>
      <c r="R240" s="25"/>
      <c r="S240" s="25"/>
      <c r="T240" s="5"/>
    </row>
    <row r="241" spans="1:20" ht="15.6" x14ac:dyDescent="0.3">
      <c r="A241" s="24"/>
      <c r="B241" s="25"/>
      <c r="C241" s="25"/>
      <c r="D241" s="25"/>
      <c r="E241" s="25"/>
      <c r="F241" s="25"/>
      <c r="G241" s="25"/>
      <c r="H241" s="96"/>
      <c r="I241" s="96"/>
      <c r="J241" s="96"/>
      <c r="K241" s="96"/>
      <c r="L241" s="96"/>
      <c r="M241" s="96"/>
      <c r="N241" s="34"/>
      <c r="O241" s="135"/>
      <c r="P241" s="53"/>
      <c r="Q241" s="135"/>
      <c r="R241" s="25"/>
      <c r="S241" s="25"/>
      <c r="T241" s="5"/>
    </row>
    <row r="242" spans="1:20" s="153" customFormat="1" ht="15.6" x14ac:dyDescent="0.3">
      <c r="A242" s="144"/>
      <c r="B242" s="14" t="s">
        <v>239</v>
      </c>
      <c r="C242" s="151"/>
      <c r="D242" s="151"/>
      <c r="E242" s="151"/>
      <c r="F242" s="151"/>
      <c r="G242" s="151"/>
      <c r="H242" s="152"/>
      <c r="I242" s="152"/>
      <c r="J242" s="152"/>
      <c r="K242" s="152"/>
      <c r="L242" s="152"/>
      <c r="M242" s="152"/>
      <c r="N242" s="84" t="s">
        <v>113</v>
      </c>
      <c r="O242" s="17" t="s">
        <v>114</v>
      </c>
      <c r="P242" s="84" t="s">
        <v>123</v>
      </c>
      <c r="Q242" s="17" t="s">
        <v>114</v>
      </c>
      <c r="R242" s="151"/>
      <c r="S242" s="151"/>
      <c r="T242" s="5"/>
    </row>
    <row r="243" spans="1:20" s="153" customFormat="1" ht="15.6" x14ac:dyDescent="0.3">
      <c r="A243" s="24"/>
      <c r="B243" s="54" t="s">
        <v>99</v>
      </c>
      <c r="C243" s="161"/>
      <c r="D243" s="161"/>
      <c r="E243" s="161"/>
      <c r="F243" s="161"/>
      <c r="G243" s="161"/>
      <c r="H243" s="162"/>
      <c r="I243" s="162"/>
      <c r="J243" s="162"/>
      <c r="K243" s="162"/>
      <c r="L243" s="162"/>
      <c r="M243" s="162"/>
      <c r="N243" s="54">
        <v>0</v>
      </c>
      <c r="O243" s="95">
        <f t="shared" ref="O243:O250" si="5">+N243/$N$252</f>
        <v>0</v>
      </c>
      <c r="P243" s="53">
        <v>0</v>
      </c>
      <c r="Q243" s="135">
        <f t="shared" ref="Q243:Q250" si="6">+P243/$P$252</f>
        <v>0</v>
      </c>
      <c r="R243" s="155"/>
      <c r="S243" s="160"/>
      <c r="T243" s="5"/>
    </row>
    <row r="244" spans="1:20" s="153" customFormat="1" ht="15.6" x14ac:dyDescent="0.3">
      <c r="A244" s="24"/>
      <c r="B244" s="54" t="s">
        <v>100</v>
      </c>
      <c r="C244" s="161"/>
      <c r="D244" s="161"/>
      <c r="E244" s="161"/>
      <c r="F244" s="161"/>
      <c r="G244" s="161"/>
      <c r="H244" s="162"/>
      <c r="I244" s="162"/>
      <c r="J244" s="162"/>
      <c r="K244" s="162"/>
      <c r="L244" s="162"/>
      <c r="M244" s="162"/>
      <c r="N244" s="54">
        <v>0</v>
      </c>
      <c r="O244" s="95">
        <f t="shared" si="5"/>
        <v>0</v>
      </c>
      <c r="P244" s="53">
        <v>0</v>
      </c>
      <c r="Q244" s="135">
        <f t="shared" si="6"/>
        <v>0</v>
      </c>
      <c r="R244" s="135"/>
      <c r="S244" s="160"/>
      <c r="T244" s="5"/>
    </row>
    <row r="245" spans="1:20" s="153" customFormat="1" ht="15.6" x14ac:dyDescent="0.3">
      <c r="A245" s="24"/>
      <c r="B245" s="54" t="s">
        <v>101</v>
      </c>
      <c r="C245" s="161"/>
      <c r="D245" s="161"/>
      <c r="E245" s="161"/>
      <c r="F245" s="161"/>
      <c r="G245" s="161"/>
      <c r="H245" s="162"/>
      <c r="I245" s="162"/>
      <c r="J245" s="162"/>
      <c r="K245" s="162"/>
      <c r="L245" s="162"/>
      <c r="M245" s="162"/>
      <c r="N245" s="54">
        <v>0</v>
      </c>
      <c r="O245" s="95">
        <f t="shared" si="5"/>
        <v>0</v>
      </c>
      <c r="P245" s="53">
        <v>0</v>
      </c>
      <c r="Q245" s="135">
        <f t="shared" si="6"/>
        <v>0</v>
      </c>
      <c r="R245" s="155"/>
      <c r="S245" s="160"/>
      <c r="T245" s="5"/>
    </row>
    <row r="246" spans="1:20" s="153" customFormat="1" ht="15.6" x14ac:dyDescent="0.3">
      <c r="A246" s="24"/>
      <c r="B246" s="54" t="s">
        <v>210</v>
      </c>
      <c r="C246" s="161"/>
      <c r="D246" s="161"/>
      <c r="E246" s="161"/>
      <c r="F246" s="161"/>
      <c r="G246" s="161"/>
      <c r="H246" s="162"/>
      <c r="I246" s="162"/>
      <c r="J246" s="162"/>
      <c r="K246" s="162"/>
      <c r="L246" s="162"/>
      <c r="M246" s="162"/>
      <c r="N246" s="54">
        <v>0</v>
      </c>
      <c r="O246" s="95">
        <f t="shared" si="5"/>
        <v>0</v>
      </c>
      <c r="P246" s="53">
        <v>0</v>
      </c>
      <c r="Q246" s="135">
        <f t="shared" si="6"/>
        <v>0</v>
      </c>
      <c r="R246" s="155"/>
      <c r="S246" s="160"/>
      <c r="T246" s="5"/>
    </row>
    <row r="247" spans="1:20" s="153" customFormat="1" ht="15.6" x14ac:dyDescent="0.3">
      <c r="A247" s="24"/>
      <c r="B247" s="54" t="s">
        <v>211</v>
      </c>
      <c r="C247" s="161"/>
      <c r="D247" s="161"/>
      <c r="E247" s="161"/>
      <c r="F247" s="161"/>
      <c r="G247" s="161"/>
      <c r="H247" s="162"/>
      <c r="I247" s="162"/>
      <c r="J247" s="162"/>
      <c r="K247" s="162"/>
      <c r="L247" s="162"/>
      <c r="M247" s="162"/>
      <c r="N247" s="54">
        <v>0</v>
      </c>
      <c r="O247" s="95">
        <f t="shared" si="5"/>
        <v>0</v>
      </c>
      <c r="P247" s="53">
        <v>0</v>
      </c>
      <c r="Q247" s="135">
        <f t="shared" si="6"/>
        <v>0</v>
      </c>
      <c r="R247" s="155"/>
      <c r="S247" s="160"/>
      <c r="T247" s="5"/>
    </row>
    <row r="248" spans="1:20" s="153" customFormat="1" ht="15.6" x14ac:dyDescent="0.3">
      <c r="A248" s="24"/>
      <c r="B248" s="54" t="s">
        <v>212</v>
      </c>
      <c r="C248" s="161"/>
      <c r="D248" s="161"/>
      <c r="E248" s="161"/>
      <c r="F248" s="161"/>
      <c r="G248" s="161"/>
      <c r="H248" s="162"/>
      <c r="I248" s="162"/>
      <c r="J248" s="162"/>
      <c r="K248" s="162"/>
      <c r="L248" s="162"/>
      <c r="M248" s="162"/>
      <c r="N248" s="54">
        <v>0</v>
      </c>
      <c r="O248" s="95">
        <f t="shared" si="5"/>
        <v>0</v>
      </c>
      <c r="P248" s="53">
        <v>0</v>
      </c>
      <c r="Q248" s="135">
        <f t="shared" si="6"/>
        <v>0</v>
      </c>
      <c r="R248" s="155"/>
      <c r="S248" s="160"/>
      <c r="T248" s="5"/>
    </row>
    <row r="249" spans="1:20" s="153" customFormat="1" ht="15.6" x14ac:dyDescent="0.3">
      <c r="A249" s="24"/>
      <c r="B249" s="54" t="s">
        <v>213</v>
      </c>
      <c r="C249" s="161"/>
      <c r="D249" s="161"/>
      <c r="E249" s="161"/>
      <c r="F249" s="161"/>
      <c r="G249" s="161"/>
      <c r="H249" s="162"/>
      <c r="I249" s="162"/>
      <c r="J249" s="162"/>
      <c r="K249" s="162"/>
      <c r="L249" s="162"/>
      <c r="M249" s="162"/>
      <c r="N249" s="54">
        <v>2</v>
      </c>
      <c r="O249" s="95">
        <f t="shared" si="5"/>
        <v>1</v>
      </c>
      <c r="P249" s="53">
        <v>95</v>
      </c>
      <c r="Q249" s="135">
        <f t="shared" si="6"/>
        <v>1</v>
      </c>
      <c r="R249" s="155"/>
      <c r="S249" s="160"/>
      <c r="T249" s="5"/>
    </row>
    <row r="250" spans="1:20" s="153" customFormat="1" ht="15.6" x14ac:dyDescent="0.3">
      <c r="A250" s="24"/>
      <c r="B250" s="54" t="s">
        <v>214</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c r="C251" s="161"/>
      <c r="D251" s="161"/>
      <c r="E251" s="161"/>
      <c r="F251" s="161"/>
      <c r="G251" s="161"/>
      <c r="H251" s="162"/>
      <c r="I251" s="162"/>
      <c r="J251" s="162"/>
      <c r="K251" s="162"/>
      <c r="L251" s="162"/>
      <c r="M251" s="162"/>
      <c r="N251" s="54"/>
      <c r="O251" s="95"/>
      <c r="P251" s="53"/>
      <c r="Q251" s="135"/>
      <c r="R251" s="155"/>
      <c r="S251" s="160"/>
      <c r="T251" s="5"/>
    </row>
    <row r="252" spans="1:20" ht="15.6" x14ac:dyDescent="0.3">
      <c r="A252" s="24"/>
      <c r="B252" s="25" t="s">
        <v>129</v>
      </c>
      <c r="C252" s="161"/>
      <c r="D252" s="161"/>
      <c r="E252" s="161"/>
      <c r="F252" s="161"/>
      <c r="G252" s="161"/>
      <c r="H252" s="162"/>
      <c r="I252" s="162"/>
      <c r="J252" s="162"/>
      <c r="K252" s="162"/>
      <c r="L252" s="162"/>
      <c r="M252" s="162"/>
      <c r="N252" s="34">
        <f>SUM(N243:N250)</f>
        <v>2</v>
      </c>
      <c r="O252" s="95">
        <f>SUM(O243:O250)</f>
        <v>1</v>
      </c>
      <c r="P252" s="53">
        <f>SUM(P243:P250)</f>
        <v>95</v>
      </c>
      <c r="Q252" s="135">
        <f>SUM(Q243:Q250)</f>
        <v>1</v>
      </c>
      <c r="R252" s="155"/>
      <c r="S252" s="160"/>
      <c r="T252" s="5"/>
    </row>
    <row r="253" spans="1:20" ht="15.6" x14ac:dyDescent="0.3">
      <c r="A253" s="24"/>
      <c r="B253" s="25"/>
      <c r="C253" s="151"/>
      <c r="D253" s="151"/>
      <c r="E253" s="151"/>
      <c r="F253" s="151"/>
      <c r="G253" s="151"/>
      <c r="H253" s="152"/>
      <c r="I253" s="152"/>
      <c r="J253" s="152"/>
      <c r="K253" s="152"/>
      <c r="L253" s="152"/>
      <c r="M253" s="152"/>
      <c r="N253" s="34"/>
      <c r="O253" s="135"/>
      <c r="P253" s="53"/>
      <c r="Q253" s="135"/>
      <c r="R253" s="151"/>
      <c r="S253" s="151"/>
      <c r="T253" s="5"/>
    </row>
    <row r="254" spans="1:20" ht="15.6" x14ac:dyDescent="0.3">
      <c r="A254" s="24"/>
      <c r="B254" s="154" t="s">
        <v>240</v>
      </c>
      <c r="C254" s="155"/>
      <c r="D254" s="155"/>
      <c r="E254" s="155"/>
      <c r="F254" s="155"/>
      <c r="G254" s="155"/>
      <c r="H254" s="156"/>
      <c r="I254" s="156"/>
      <c r="J254" s="156"/>
      <c r="K254" s="156"/>
      <c r="L254" s="156"/>
      <c r="M254" s="156"/>
      <c r="N254" s="157"/>
      <c r="O254" s="158"/>
      <c r="P254" s="159">
        <f>+P252+P240+P228</f>
        <v>943497</v>
      </c>
      <c r="Q254" s="158"/>
      <c r="R254" s="155"/>
      <c r="S254" s="160"/>
      <c r="T254" s="5"/>
    </row>
    <row r="255" spans="1:20" ht="15.6" x14ac:dyDescent="0.3">
      <c r="A255" s="24"/>
      <c r="B255" s="154"/>
      <c r="C255" s="8"/>
      <c r="D255" s="8"/>
      <c r="E255" s="8"/>
      <c r="F255" s="8"/>
      <c r="G255" s="8"/>
      <c r="H255" s="97"/>
      <c r="I255" s="97"/>
      <c r="J255" s="97"/>
      <c r="K255" s="97"/>
      <c r="L255" s="97"/>
      <c r="M255" s="97"/>
      <c r="N255" s="97"/>
      <c r="O255" s="97"/>
      <c r="P255" s="98"/>
      <c r="Q255" s="97"/>
      <c r="R255" s="8"/>
      <c r="S255" s="8"/>
      <c r="T255" s="5"/>
    </row>
    <row r="256" spans="1:20" ht="15.6" x14ac:dyDescent="0.3">
      <c r="A256" s="150"/>
      <c r="B256" s="14" t="s">
        <v>102</v>
      </c>
      <c r="C256" s="15"/>
      <c r="D256" s="15"/>
      <c r="E256" s="15"/>
      <c r="F256" s="17" t="s">
        <v>108</v>
      </c>
      <c r="G256" s="15"/>
      <c r="H256" s="14" t="s">
        <v>110</v>
      </c>
      <c r="I256" s="145"/>
      <c r="J256" s="145"/>
      <c r="K256" s="145"/>
      <c r="L256" s="145"/>
      <c r="M256" s="145"/>
      <c r="N256" s="145"/>
      <c r="O256" s="145"/>
      <c r="P256" s="145"/>
      <c r="Q256" s="145"/>
      <c r="R256" s="145"/>
      <c r="S256" s="145"/>
      <c r="T256" s="5"/>
    </row>
    <row r="257" spans="1:20" ht="15.6" x14ac:dyDescent="0.3">
      <c r="A257" s="150"/>
      <c r="B257" s="145"/>
      <c r="C257" s="8"/>
      <c r="D257" s="8"/>
      <c r="E257" s="8"/>
      <c r="F257" s="8"/>
      <c r="G257" s="8"/>
      <c r="H257" s="8"/>
      <c r="I257" s="145"/>
      <c r="J257" s="145"/>
      <c r="K257" s="145"/>
      <c r="L257" s="145"/>
      <c r="M257" s="145"/>
      <c r="N257" s="145"/>
      <c r="O257" s="145"/>
      <c r="P257" s="145"/>
      <c r="Q257" s="145"/>
      <c r="R257" s="145"/>
      <c r="S257" s="145"/>
      <c r="T257" s="5"/>
    </row>
    <row r="258" spans="1:20" ht="15.6" x14ac:dyDescent="0.3">
      <c r="A258" s="150"/>
      <c r="B258" s="13" t="s">
        <v>103</v>
      </c>
      <c r="C258" s="13"/>
      <c r="D258" s="13"/>
      <c r="E258" s="13"/>
      <c r="F258" s="133" t="s">
        <v>172</v>
      </c>
      <c r="G258" s="13"/>
      <c r="H258" s="13" t="s">
        <v>200</v>
      </c>
      <c r="I258" s="145"/>
      <c r="J258" s="145"/>
      <c r="K258" s="145"/>
      <c r="L258" s="145"/>
      <c r="M258" s="145"/>
      <c r="N258" s="145"/>
      <c r="O258" s="145"/>
      <c r="P258" s="145"/>
      <c r="Q258" s="145"/>
      <c r="R258" s="145"/>
      <c r="S258" s="145"/>
      <c r="T258" s="5"/>
    </row>
    <row r="259" spans="1:20" ht="15.6" x14ac:dyDescent="0.3">
      <c r="A259" s="150"/>
      <c r="B259" s="13" t="s">
        <v>271</v>
      </c>
      <c r="C259" s="13"/>
      <c r="D259" s="13"/>
      <c r="E259" s="13"/>
      <c r="F259" s="133" t="s">
        <v>272</v>
      </c>
      <c r="G259" s="13"/>
      <c r="H259" s="13" t="s">
        <v>273</v>
      </c>
      <c r="I259" s="145"/>
      <c r="J259" s="145"/>
      <c r="K259" s="145"/>
      <c r="L259" s="145"/>
      <c r="M259" s="145"/>
      <c r="N259" s="145"/>
      <c r="O259" s="145"/>
      <c r="P259" s="145"/>
      <c r="Q259" s="145"/>
      <c r="R259" s="145"/>
      <c r="S259" s="145"/>
      <c r="T259" s="5"/>
    </row>
    <row r="260" spans="1:20" ht="15.6" x14ac:dyDescent="0.3">
      <c r="A260" s="150"/>
      <c r="B260" s="13" t="s">
        <v>104</v>
      </c>
      <c r="C260" s="13"/>
      <c r="D260" s="13"/>
      <c r="E260" s="13"/>
      <c r="F260" s="133" t="s">
        <v>171</v>
      </c>
      <c r="G260" s="13"/>
      <c r="H260" s="13" t="s">
        <v>201</v>
      </c>
      <c r="I260" s="145"/>
      <c r="J260" s="145"/>
      <c r="K260" s="145"/>
      <c r="L260" s="145"/>
      <c r="M260" s="145"/>
      <c r="N260" s="145"/>
      <c r="O260" s="145"/>
      <c r="P260" s="145"/>
      <c r="Q260" s="145"/>
      <c r="R260" s="145"/>
      <c r="S260" s="145"/>
      <c r="T260" s="5"/>
    </row>
    <row r="261" spans="1:20" ht="15.6" x14ac:dyDescent="0.3">
      <c r="A261" s="150"/>
      <c r="B261" s="13"/>
      <c r="C261" s="13"/>
      <c r="D261" s="13"/>
      <c r="E261" s="13"/>
      <c r="F261" s="13"/>
      <c r="G261" s="100"/>
      <c r="H261" s="145"/>
      <c r="I261" s="145"/>
      <c r="J261" s="145"/>
      <c r="K261" s="145"/>
      <c r="L261" s="145"/>
      <c r="M261" s="145"/>
      <c r="N261" s="145"/>
      <c r="O261" s="145"/>
      <c r="P261" s="145"/>
      <c r="Q261" s="145"/>
      <c r="R261" s="145"/>
      <c r="S261" s="145"/>
      <c r="T261" s="5"/>
    </row>
    <row r="262" spans="1:20" ht="18" thickBot="1" x14ac:dyDescent="0.35">
      <c r="A262" s="150"/>
      <c r="B262" s="49" t="str">
        <f>B184</f>
        <v>PM8 INVESTOR REPORT QUARTER ENDING JUNE 2005</v>
      </c>
      <c r="C262" s="13"/>
      <c r="D262" s="13"/>
      <c r="E262" s="13"/>
      <c r="F262" s="13"/>
      <c r="G262" s="100"/>
      <c r="H262" s="145"/>
      <c r="I262" s="145"/>
      <c r="J262" s="145"/>
      <c r="K262" s="145"/>
      <c r="L262" s="145"/>
      <c r="M262" s="145"/>
      <c r="N262" s="145"/>
      <c r="O262" s="145"/>
      <c r="P262" s="145"/>
      <c r="Q262" s="145"/>
      <c r="R262" s="145"/>
      <c r="S262" s="145"/>
      <c r="T262" s="5"/>
    </row>
    <row r="263" spans="1:20" x14ac:dyDescent="0.25">
      <c r="A263" s="101"/>
      <c r="B263" s="101"/>
      <c r="C263" s="101"/>
      <c r="D263" s="101"/>
      <c r="E263" s="101"/>
      <c r="F263" s="101"/>
      <c r="G263" s="101"/>
      <c r="H263" s="101"/>
      <c r="I263" s="101"/>
      <c r="J263" s="101"/>
      <c r="K263" s="101"/>
      <c r="L263" s="101"/>
      <c r="M263" s="101"/>
      <c r="N263" s="101"/>
      <c r="O263" s="101"/>
      <c r="P263" s="101"/>
      <c r="Q263" s="101"/>
      <c r="R263" s="101"/>
      <c r="S263" s="101"/>
    </row>
  </sheetData>
  <phoneticPr fontId="0" type="noConversion"/>
  <printOptions horizontalCentered="1" verticalCentered="1"/>
  <pageMargins left="0.19685039370078741" right="0.19685039370078741" top="0.27559055118110237" bottom="0.27559055118110237" header="0" footer="0"/>
  <pageSetup scale="38" orientation="landscape" r:id="rId1"/>
  <headerFooter alignWithMargins="0"/>
  <rowBreaks count="3" manualBreakCount="3">
    <brk id="62" max="14" man="1"/>
    <brk id="128" max="14" man="1"/>
    <brk id="184"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9"/>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0.88129999999999997</v>
      </c>
      <c r="P16" s="17" t="s">
        <v>161</v>
      </c>
      <c r="Q16" s="140">
        <v>0.1187</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40200</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0</v>
      </c>
      <c r="E31" s="32"/>
      <c r="F31" s="125">
        <f>F37*F30</f>
        <v>0</v>
      </c>
      <c r="G31" s="31"/>
      <c r="H31" s="130">
        <f>H30*H37</f>
        <v>192948.67300000001</v>
      </c>
      <c r="I31" s="31"/>
      <c r="J31" s="125">
        <f>J30*J37</f>
        <v>286576.22580000001</v>
      </c>
      <c r="K31" s="31"/>
      <c r="L31" s="130">
        <v>65000</v>
      </c>
      <c r="M31" s="31"/>
      <c r="N31" s="125">
        <v>50000</v>
      </c>
      <c r="O31" s="31"/>
      <c r="P31" s="31"/>
      <c r="Q31" s="147"/>
      <c r="R31" s="31"/>
      <c r="S31" s="34"/>
      <c r="T31" s="5"/>
    </row>
    <row r="32" spans="1:20" ht="15.6" x14ac:dyDescent="0.3">
      <c r="A32" s="28"/>
      <c r="B32" s="29" t="s">
        <v>153</v>
      </c>
      <c r="C32" s="36"/>
      <c r="D32" s="35">
        <f>D36*D30</f>
        <v>0</v>
      </c>
      <c r="E32" s="36"/>
      <c r="F32" s="126">
        <f>F36*F30</f>
        <v>0</v>
      </c>
      <c r="G32" s="35"/>
      <c r="H32" s="35">
        <f>H36*H30</f>
        <v>192016.959</v>
      </c>
      <c r="I32" s="36"/>
      <c r="J32" s="126">
        <f>J36*J30</f>
        <v>285192.40140000003</v>
      </c>
      <c r="K32" s="35"/>
      <c r="L32" s="35">
        <f>L36*L30</f>
        <v>63428.560000000005</v>
      </c>
      <c r="M32" s="35"/>
      <c r="N32" s="126">
        <f>N36*N30</f>
        <v>48791.200000000004</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0</v>
      </c>
      <c r="E34" s="32"/>
      <c r="F34" s="31">
        <f>+F31*0.696969697</f>
        <v>0</v>
      </c>
      <c r="G34" s="31"/>
      <c r="H34" s="31">
        <f>H33*H37</f>
        <v>192948.67300000001</v>
      </c>
      <c r="I34" s="31"/>
      <c r="J34" s="31">
        <f>J33*J37</f>
        <v>199274.859</v>
      </c>
      <c r="K34" s="31"/>
      <c r="L34" s="31">
        <v>65000</v>
      </c>
      <c r="M34" s="31"/>
      <c r="N34" s="31">
        <v>35000</v>
      </c>
      <c r="O34" s="31"/>
      <c r="P34" s="31"/>
      <c r="Q34" s="147"/>
      <c r="R34" s="31">
        <f>SUM(C34:N34)</f>
        <v>492223.53200000001</v>
      </c>
      <c r="S34" s="34"/>
      <c r="T34" s="5"/>
    </row>
    <row r="35" spans="1:20" ht="15.6" x14ac:dyDescent="0.3">
      <c r="A35" s="28"/>
      <c r="B35" s="29" t="s">
        <v>287</v>
      </c>
      <c r="C35" s="36"/>
      <c r="D35" s="35">
        <f>D36*D33</f>
        <v>0</v>
      </c>
      <c r="E35" s="36"/>
      <c r="F35" s="35">
        <f>F36*F33</f>
        <v>0</v>
      </c>
      <c r="G35" s="35"/>
      <c r="H35" s="35">
        <f>H36*H33</f>
        <v>192016.959</v>
      </c>
      <c r="I35" s="36"/>
      <c r="J35" s="35">
        <f>J36*J33</f>
        <v>198312.59700000001</v>
      </c>
      <c r="K35" s="35"/>
      <c r="L35" s="35">
        <f>L36*L33</f>
        <v>63428.560000000005</v>
      </c>
      <c r="M35" s="35"/>
      <c r="N35" s="35">
        <f>N36*N33</f>
        <v>34153.840000000004</v>
      </c>
      <c r="O35" s="35"/>
      <c r="P35" s="35"/>
      <c r="Q35" s="37"/>
      <c r="R35" s="35">
        <f>SUM(C35:N35)</f>
        <v>487911.95600000001</v>
      </c>
      <c r="S35" s="34"/>
      <c r="T35" s="5"/>
    </row>
    <row r="36" spans="1:20" ht="15.6" x14ac:dyDescent="0.3">
      <c r="A36" s="28"/>
      <c r="B36" s="123" t="s">
        <v>149</v>
      </c>
      <c r="C36" s="127"/>
      <c r="D36" s="172">
        <v>0</v>
      </c>
      <c r="E36" s="139"/>
      <c r="F36" s="172">
        <v>0</v>
      </c>
      <c r="G36" s="138"/>
      <c r="H36" s="172">
        <v>0.62956380000000001</v>
      </c>
      <c r="I36" s="138"/>
      <c r="J36" s="172">
        <v>0.62956380000000001</v>
      </c>
      <c r="K36" s="138"/>
      <c r="L36" s="172">
        <v>0.97582400000000002</v>
      </c>
      <c r="M36" s="138"/>
      <c r="N36" s="172">
        <v>0.97582400000000002</v>
      </c>
      <c r="O36" s="31"/>
      <c r="P36" s="31"/>
      <c r="Q36" s="147"/>
      <c r="R36" s="31"/>
      <c r="S36" s="34"/>
      <c r="T36" s="5"/>
    </row>
    <row r="37" spans="1:20" ht="15.6" x14ac:dyDescent="0.3">
      <c r="A37" s="28"/>
      <c r="B37" s="123" t="s">
        <v>150</v>
      </c>
      <c r="C37" s="127"/>
      <c r="D37" s="172">
        <v>0</v>
      </c>
      <c r="E37" s="139"/>
      <c r="F37" s="172">
        <v>0</v>
      </c>
      <c r="G37" s="138"/>
      <c r="H37" s="172">
        <v>0.63261860000000003</v>
      </c>
      <c r="I37" s="138"/>
      <c r="J37" s="172">
        <v>0.63261860000000003</v>
      </c>
      <c r="K37" s="138"/>
      <c r="L37" s="172">
        <v>1</v>
      </c>
      <c r="M37" s="172"/>
      <c r="N37" s="172">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0</v>
      </c>
      <c r="E39" s="25"/>
      <c r="F39" s="38">
        <v>0</v>
      </c>
      <c r="G39" s="39"/>
      <c r="H39" s="38">
        <v>7.5813E-3</v>
      </c>
      <c r="I39" s="39"/>
      <c r="J39" s="38">
        <v>9.2200000000000008E-3</v>
      </c>
      <c r="K39" s="39"/>
      <c r="L39" s="38">
        <v>1.2181300000000001E-2</v>
      </c>
      <c r="M39" s="39"/>
      <c r="N39" s="38">
        <v>1.342E-2</v>
      </c>
      <c r="O39" s="39"/>
      <c r="P39" s="38"/>
      <c r="Q39" s="146"/>
      <c r="R39" s="39"/>
      <c r="S39" s="25"/>
      <c r="T39" s="5"/>
    </row>
    <row r="40" spans="1:20" ht="15.6" x14ac:dyDescent="0.3">
      <c r="A40" s="24"/>
      <c r="B40" s="25" t="s">
        <v>14</v>
      </c>
      <c r="C40" s="25"/>
      <c r="D40" s="38">
        <v>0</v>
      </c>
      <c r="E40" s="25"/>
      <c r="F40" s="38">
        <v>0</v>
      </c>
      <c r="G40" s="39"/>
      <c r="H40" s="38">
        <v>1.18213E-2</v>
      </c>
      <c r="I40" s="39"/>
      <c r="J40" s="38">
        <v>1.176E-2</v>
      </c>
      <c r="K40" s="39"/>
      <c r="L40" s="38">
        <v>1.64213E-2</v>
      </c>
      <c r="M40" s="39"/>
      <c r="N40" s="38">
        <v>1.5959999999999998E-2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0</v>
      </c>
      <c r="E42" s="25"/>
      <c r="F42" s="38">
        <v>0</v>
      </c>
      <c r="G42" s="39"/>
      <c r="H42" s="38">
        <f>+H39</f>
        <v>7.5813E-3</v>
      </c>
      <c r="I42" s="39"/>
      <c r="J42" s="38">
        <v>7.9792999999999999E-3</v>
      </c>
      <c r="K42" s="39"/>
      <c r="L42" s="38">
        <f>+L39</f>
        <v>1.2181300000000001E-2</v>
      </c>
      <c r="M42" s="39"/>
      <c r="N42" s="38">
        <v>1.25583E-2</v>
      </c>
      <c r="O42" s="39"/>
      <c r="P42" s="38"/>
      <c r="Q42" s="146"/>
      <c r="R42" s="39">
        <f>SUMPRODUCT(D42:N42,D34:N34)/R34</f>
        <v>8.7037704996062639E-3</v>
      </c>
      <c r="S42" s="25"/>
      <c r="T42" s="5"/>
    </row>
    <row r="43" spans="1:20" ht="15.6" x14ac:dyDescent="0.3">
      <c r="A43" s="24"/>
      <c r="B43" s="25" t="s">
        <v>290</v>
      </c>
      <c r="C43" s="25"/>
      <c r="D43" s="38">
        <f>+D40</f>
        <v>0</v>
      </c>
      <c r="E43" s="25"/>
      <c r="F43" s="38">
        <v>0</v>
      </c>
      <c r="G43" s="39"/>
      <c r="H43" s="38">
        <f>+H40</f>
        <v>1.18213E-2</v>
      </c>
      <c r="I43" s="39"/>
      <c r="J43" s="38">
        <v>1.2219300000000001E-2</v>
      </c>
      <c r="K43" s="39"/>
      <c r="L43" s="38">
        <f>+L40</f>
        <v>1.64213E-2</v>
      </c>
      <c r="M43" s="39"/>
      <c r="N43" s="38">
        <v>1.6798299999999999E-2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0.25000002818131462</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40193</v>
      </c>
      <c r="S54" s="25"/>
      <c r="T54" s="5"/>
    </row>
    <row r="55" spans="1:21" ht="15.6" x14ac:dyDescent="0.3">
      <c r="A55" s="24"/>
      <c r="B55" s="25" t="s">
        <v>140</v>
      </c>
      <c r="C55" s="25"/>
      <c r="D55" s="25"/>
      <c r="E55" s="25"/>
      <c r="F55" s="25"/>
      <c r="G55" s="25"/>
      <c r="H55" s="58"/>
      <c r="I55" s="58"/>
      <c r="J55" s="58"/>
      <c r="K55" s="58"/>
      <c r="L55" s="58"/>
      <c r="M55" s="58"/>
      <c r="N55" s="25">
        <f>+R55-P55+1</f>
        <v>92</v>
      </c>
      <c r="O55" s="58"/>
      <c r="P55" s="45">
        <v>40009</v>
      </c>
      <c r="Q55" s="46"/>
      <c r="R55" s="45">
        <v>40100</v>
      </c>
      <c r="S55" s="25"/>
      <c r="T55" s="5"/>
    </row>
    <row r="56" spans="1:21" ht="15.6" x14ac:dyDescent="0.3">
      <c r="A56" s="24"/>
      <c r="B56" s="25" t="s">
        <v>141</v>
      </c>
      <c r="C56" s="25"/>
      <c r="D56" s="25"/>
      <c r="E56" s="25"/>
      <c r="F56" s="25"/>
      <c r="G56" s="25"/>
      <c r="H56" s="25"/>
      <c r="I56" s="25"/>
      <c r="J56" s="25"/>
      <c r="K56" s="25"/>
      <c r="L56" s="25"/>
      <c r="M56" s="25"/>
      <c r="N56" s="25">
        <f>+R56-P56+1</f>
        <v>92</v>
      </c>
      <c r="O56" s="25"/>
      <c r="P56" s="45">
        <v>40101</v>
      </c>
      <c r="Q56" s="46"/>
      <c r="R56" s="45">
        <v>40192</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40182</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293</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492224</v>
      </c>
      <c r="K67" s="34"/>
      <c r="L67" s="34">
        <f>4312+955+138</f>
        <v>5405</v>
      </c>
      <c r="M67" s="34"/>
      <c r="N67" s="34">
        <f>955+138</f>
        <v>1093</v>
      </c>
      <c r="O67" s="34"/>
      <c r="P67" s="34">
        <v>0</v>
      </c>
      <c r="Q67" s="34"/>
      <c r="R67" s="53">
        <f>+J67-L67+N67-P67</f>
        <v>487912</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492224</v>
      </c>
      <c r="K70" s="34"/>
      <c r="L70" s="34">
        <f>SUM(L67:L69)</f>
        <v>5405</v>
      </c>
      <c r="M70" s="34"/>
      <c r="N70" s="34">
        <f>SUM(N67:N69)</f>
        <v>1093</v>
      </c>
      <c r="O70" s="34"/>
      <c r="P70" s="34">
        <f>SUM(P67:P69)</f>
        <v>0</v>
      </c>
      <c r="Q70" s="34"/>
      <c r="R70" s="54">
        <f>SUM(R67:R69)</f>
        <v>487912</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492224</v>
      </c>
      <c r="K83" s="34"/>
      <c r="L83" s="34"/>
      <c r="M83" s="34"/>
      <c r="N83" s="34"/>
      <c r="O83" s="34"/>
      <c r="P83" s="54"/>
      <c r="Q83" s="34"/>
      <c r="R83" s="54">
        <f>SUM(R70:R82)</f>
        <v>487912</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+P190</f>
        <v>40178</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5405-606</f>
        <v>4799</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4191+523-889-52+20+16</f>
        <v>3809</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120+85</f>
        <v>205</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47</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0</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97</v>
      </c>
      <c r="S94" s="25"/>
      <c r="T94" s="5"/>
    </row>
    <row r="95" spans="1:20" ht="15.6" x14ac:dyDescent="0.3">
      <c r="A95" s="24"/>
      <c r="B95" s="25" t="s">
        <v>35</v>
      </c>
      <c r="C95" s="25"/>
      <c r="D95" s="25"/>
      <c r="E95" s="25"/>
      <c r="F95" s="25"/>
      <c r="G95" s="25"/>
      <c r="H95" s="25"/>
      <c r="I95" s="25"/>
      <c r="J95" s="25"/>
      <c r="K95" s="25"/>
      <c r="L95" s="25"/>
      <c r="M95" s="25"/>
      <c r="N95" s="25"/>
      <c r="O95" s="25"/>
      <c r="P95" s="34">
        <f>SUM(P87:P94)</f>
        <v>4799</v>
      </c>
      <c r="Q95" s="25"/>
      <c r="R95" s="54">
        <f>SUM(R87:R94)</f>
        <v>4158</v>
      </c>
      <c r="S95" s="25"/>
      <c r="T95" s="5"/>
    </row>
    <row r="96" spans="1:20" ht="15.6" x14ac:dyDescent="0.3">
      <c r="A96" s="24"/>
      <c r="B96" s="25" t="s">
        <v>235</v>
      </c>
      <c r="C96" s="25"/>
      <c r="D96" s="25"/>
      <c r="E96" s="25"/>
      <c r="F96" s="25"/>
      <c r="G96" s="25"/>
      <c r="H96" s="25"/>
      <c r="I96" s="25"/>
      <c r="J96" s="25"/>
      <c r="K96" s="25"/>
      <c r="L96" s="25"/>
      <c r="M96" s="25"/>
      <c r="N96" s="25"/>
      <c r="O96" s="25"/>
      <c r="P96" s="34">
        <v>-5</v>
      </c>
      <c r="Q96" s="25"/>
      <c r="R96" s="54">
        <f>-P96</f>
        <v>5</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276</v>
      </c>
      <c r="C98" s="25"/>
      <c r="D98" s="25"/>
      <c r="E98" s="25"/>
      <c r="F98" s="25"/>
      <c r="G98" s="25"/>
      <c r="H98" s="25"/>
      <c r="I98" s="25"/>
      <c r="J98" s="25"/>
      <c r="K98" s="25"/>
      <c r="L98" s="25"/>
      <c r="M98" s="25"/>
      <c r="N98" s="25"/>
      <c r="O98" s="25"/>
      <c r="P98" s="34"/>
      <c r="Q98" s="25"/>
      <c r="R98" s="53">
        <v>133</v>
      </c>
      <c r="S98" s="25"/>
      <c r="T98" s="5"/>
    </row>
    <row r="99" spans="1:21" ht="15.6" x14ac:dyDescent="0.3">
      <c r="A99" s="24"/>
      <c r="B99" s="25" t="s">
        <v>37</v>
      </c>
      <c r="C99" s="25"/>
      <c r="D99" s="25"/>
      <c r="E99" s="25"/>
      <c r="F99" s="25"/>
      <c r="G99" s="25"/>
      <c r="H99" s="25"/>
      <c r="I99" s="25"/>
      <c r="J99" s="25"/>
      <c r="K99" s="25"/>
      <c r="L99" s="25"/>
      <c r="M99" s="25"/>
      <c r="N99" s="25"/>
      <c r="O99" s="25"/>
      <c r="P99" s="34">
        <f>P95+P97+P96</f>
        <v>4794</v>
      </c>
      <c r="Q99" s="25"/>
      <c r="R99" s="54">
        <f>R95+R97+R96+R98</f>
        <v>4296</v>
      </c>
      <c r="S99" s="25"/>
      <c r="T99" s="5"/>
    </row>
    <row r="100" spans="1:21" ht="15.6" x14ac:dyDescent="0.3">
      <c r="A100" s="24"/>
      <c r="B100" s="119" t="s">
        <v>38</v>
      </c>
      <c r="C100" s="25"/>
      <c r="D100" s="25"/>
      <c r="E100" s="25"/>
      <c r="F100" s="25"/>
      <c r="G100" s="25"/>
      <c r="H100" s="25"/>
      <c r="I100" s="25"/>
      <c r="J100" s="25"/>
      <c r="K100" s="25"/>
      <c r="L100" s="25"/>
      <c r="M100" s="25"/>
      <c r="N100" s="25"/>
      <c r="O100" s="25"/>
      <c r="P100" s="34"/>
      <c r="Q100" s="25"/>
      <c r="R100" s="53"/>
      <c r="S100" s="25"/>
      <c r="T100" s="5"/>
    </row>
    <row r="101" spans="1:21" ht="15.6" x14ac:dyDescent="0.3">
      <c r="A101" s="24">
        <v>1</v>
      </c>
      <c r="B101" s="25" t="s">
        <v>39</v>
      </c>
      <c r="C101" s="25"/>
      <c r="D101" s="25"/>
      <c r="E101" s="25"/>
      <c r="F101" s="25"/>
      <c r="G101" s="25"/>
      <c r="H101" s="25"/>
      <c r="I101" s="25"/>
      <c r="J101" s="25"/>
      <c r="K101" s="25"/>
      <c r="L101" s="25"/>
      <c r="M101" s="25"/>
      <c r="N101" s="25"/>
      <c r="O101" s="25"/>
      <c r="P101" s="25"/>
      <c r="Q101" s="25"/>
      <c r="R101" s="53">
        <v>0</v>
      </c>
      <c r="S101" s="25"/>
      <c r="T101" s="5"/>
    </row>
    <row r="102" spans="1:21" ht="15.6" x14ac:dyDescent="0.3">
      <c r="A102" s="24">
        <f>+A101+1</f>
        <v>2</v>
      </c>
      <c r="B102" s="25" t="s">
        <v>40</v>
      </c>
      <c r="C102" s="25"/>
      <c r="D102" s="25"/>
      <c r="E102" s="25"/>
      <c r="F102" s="25"/>
      <c r="G102" s="25"/>
      <c r="H102" s="25"/>
      <c r="I102" s="25"/>
      <c r="J102" s="25"/>
      <c r="K102" s="25"/>
      <c r="L102" s="25"/>
      <c r="M102" s="25"/>
      <c r="N102" s="25"/>
      <c r="O102" s="25"/>
      <c r="P102" s="25"/>
      <c r="Q102" s="25"/>
      <c r="R102" s="53">
        <v>-2</v>
      </c>
      <c r="S102" s="25"/>
      <c r="T102" s="5"/>
    </row>
    <row r="103" spans="1:21" ht="15.6" x14ac:dyDescent="0.3">
      <c r="A103" s="24">
        <f>+A102+1</f>
        <v>3</v>
      </c>
      <c r="B103" s="25" t="s">
        <v>174</v>
      </c>
      <c r="C103" s="25"/>
      <c r="D103" s="25"/>
      <c r="E103" s="25"/>
      <c r="F103" s="25"/>
      <c r="G103" s="25"/>
      <c r="H103" s="25"/>
      <c r="I103" s="25"/>
      <c r="J103" s="25"/>
      <c r="K103" s="25"/>
      <c r="L103" s="25"/>
      <c r="M103" s="25"/>
      <c r="N103" s="25"/>
      <c r="O103" s="25"/>
      <c r="P103" s="25"/>
      <c r="Q103" s="25"/>
      <c r="R103" s="53">
        <f>-124-129-6</f>
        <v>-259</v>
      </c>
      <c r="S103" s="25"/>
      <c r="T103" s="5"/>
    </row>
    <row r="104" spans="1:21" ht="15.6" x14ac:dyDescent="0.3">
      <c r="A104" s="24" t="s">
        <v>146</v>
      </c>
      <c r="B104" s="25" t="s">
        <v>131</v>
      </c>
      <c r="C104" s="25"/>
      <c r="D104" s="25"/>
      <c r="E104" s="25"/>
      <c r="F104" s="25"/>
      <c r="G104" s="25"/>
      <c r="H104" s="25"/>
      <c r="I104" s="25"/>
      <c r="J104" s="25"/>
      <c r="K104" s="25"/>
      <c r="L104" s="25"/>
      <c r="M104" s="25"/>
      <c r="N104" s="25"/>
      <c r="O104" s="25"/>
      <c r="P104" s="25"/>
      <c r="Q104" s="25"/>
      <c r="R104" s="53">
        <v>-1294</v>
      </c>
      <c r="S104" s="25"/>
      <c r="T104" s="5"/>
    </row>
    <row r="105" spans="1:21" ht="15.6" x14ac:dyDescent="0.3">
      <c r="A105" s="24" t="s">
        <v>147</v>
      </c>
      <c r="B105" s="25" t="s">
        <v>218</v>
      </c>
      <c r="C105" s="25"/>
      <c r="D105" s="25"/>
      <c r="E105" s="25"/>
      <c r="F105" s="25"/>
      <c r="G105" s="25"/>
      <c r="H105" s="25"/>
      <c r="I105" s="25"/>
      <c r="J105" s="25"/>
      <c r="K105" s="25"/>
      <c r="L105" s="25"/>
      <c r="M105" s="25"/>
      <c r="N105" s="25"/>
      <c r="O105" s="25"/>
      <c r="P105" s="25"/>
      <c r="Q105" s="25"/>
      <c r="R105" s="53">
        <v>-1</v>
      </c>
      <c r="S105" s="25"/>
      <c r="T105" s="5"/>
    </row>
    <row r="106" spans="1:21" ht="15.6" x14ac:dyDescent="0.3">
      <c r="A106" s="24" t="s">
        <v>176</v>
      </c>
      <c r="B106" s="25" t="s">
        <v>230</v>
      </c>
      <c r="C106" s="25"/>
      <c r="D106" s="25"/>
      <c r="E106" s="25"/>
      <c r="F106" s="25"/>
      <c r="G106" s="25"/>
      <c r="H106" s="25"/>
      <c r="I106" s="25"/>
      <c r="J106" s="25"/>
      <c r="K106" s="25"/>
      <c r="L106" s="25"/>
      <c r="M106" s="25"/>
      <c r="N106" s="25"/>
      <c r="O106" s="25"/>
      <c r="P106" s="25"/>
      <c r="Q106" s="25"/>
      <c r="R106" s="53">
        <v>0</v>
      </c>
      <c r="S106" s="25"/>
      <c r="T106" s="5"/>
      <c r="U106" s="110"/>
    </row>
    <row r="107" spans="1:21" ht="15.6" x14ac:dyDescent="0.3">
      <c r="A107" s="24" t="s">
        <v>177</v>
      </c>
      <c r="B107" s="25" t="s">
        <v>231</v>
      </c>
      <c r="C107" s="25"/>
      <c r="D107" s="25"/>
      <c r="E107" s="25"/>
      <c r="F107" s="25"/>
      <c r="G107" s="25"/>
      <c r="H107" s="25"/>
      <c r="I107" s="25"/>
      <c r="J107" s="25"/>
      <c r="K107" s="25"/>
      <c r="L107" s="25"/>
      <c r="M107" s="25"/>
      <c r="N107" s="25"/>
      <c r="O107" s="25"/>
      <c r="P107" s="25"/>
      <c r="Q107" s="25"/>
      <c r="R107" s="53">
        <v>0</v>
      </c>
      <c r="S107" s="25"/>
      <c r="T107" s="5"/>
      <c r="U107" s="110"/>
    </row>
    <row r="108" spans="1:21" ht="15.6" x14ac:dyDescent="0.3">
      <c r="A108" s="24" t="s">
        <v>248</v>
      </c>
      <c r="B108" s="25" t="s">
        <v>232</v>
      </c>
      <c r="C108" s="25"/>
      <c r="D108" s="25"/>
      <c r="E108" s="25"/>
      <c r="F108" s="25"/>
      <c r="G108" s="25"/>
      <c r="H108" s="25"/>
      <c r="I108" s="25"/>
      <c r="J108" s="25"/>
      <c r="K108" s="25"/>
      <c r="L108" s="25"/>
      <c r="M108" s="25"/>
      <c r="N108" s="25"/>
      <c r="O108" s="25"/>
      <c r="P108" s="25"/>
      <c r="Q108" s="25"/>
      <c r="R108" s="53">
        <v>-369</v>
      </c>
      <c r="S108" s="25"/>
      <c r="T108" s="5"/>
    </row>
    <row r="109" spans="1:21" ht="15.6" x14ac:dyDescent="0.3">
      <c r="A109" s="24" t="s">
        <v>205</v>
      </c>
      <c r="B109" s="25" t="s">
        <v>233</v>
      </c>
      <c r="C109" s="25"/>
      <c r="D109" s="25"/>
      <c r="E109" s="25"/>
      <c r="F109" s="25"/>
      <c r="G109" s="25"/>
      <c r="H109" s="25"/>
      <c r="I109" s="25"/>
      <c r="J109" s="25"/>
      <c r="K109" s="25"/>
      <c r="L109" s="25"/>
      <c r="M109" s="25"/>
      <c r="N109" s="25"/>
      <c r="O109" s="25"/>
      <c r="P109" s="25"/>
      <c r="Q109" s="25"/>
      <c r="R109" s="53">
        <v>-401</v>
      </c>
      <c r="S109" s="25"/>
      <c r="T109" s="5"/>
      <c r="U109" s="110"/>
    </row>
    <row r="110" spans="1:21" ht="15.6" x14ac:dyDescent="0.3">
      <c r="A110" s="24" t="s">
        <v>249</v>
      </c>
      <c r="B110" s="25" t="s">
        <v>234</v>
      </c>
      <c r="C110" s="25"/>
      <c r="D110" s="25"/>
      <c r="E110" s="25"/>
      <c r="F110" s="25"/>
      <c r="G110" s="25"/>
      <c r="H110" s="25"/>
      <c r="I110" s="25"/>
      <c r="J110" s="25"/>
      <c r="K110" s="25"/>
      <c r="L110" s="25"/>
      <c r="M110" s="25"/>
      <c r="N110" s="25"/>
      <c r="O110" s="25"/>
      <c r="P110" s="25"/>
      <c r="Q110" s="25"/>
      <c r="R110" s="53">
        <v>-200</v>
      </c>
      <c r="S110" s="25"/>
      <c r="T110" s="5"/>
      <c r="U110" s="110"/>
    </row>
    <row r="111" spans="1:21" ht="15.6" x14ac:dyDescent="0.3">
      <c r="A111" s="24" t="s">
        <v>250</v>
      </c>
      <c r="B111" s="25" t="s">
        <v>168</v>
      </c>
      <c r="C111" s="25"/>
      <c r="D111" s="25"/>
      <c r="E111" s="25"/>
      <c r="F111" s="25"/>
      <c r="G111" s="25"/>
      <c r="H111" s="25"/>
      <c r="I111" s="25"/>
      <c r="J111" s="25"/>
      <c r="K111" s="25"/>
      <c r="L111" s="25"/>
      <c r="M111" s="25"/>
      <c r="N111" s="25"/>
      <c r="O111" s="25"/>
      <c r="P111" s="25"/>
      <c r="Q111" s="25"/>
      <c r="R111" s="53">
        <v>-110</v>
      </c>
      <c r="S111" s="25"/>
      <c r="T111" s="5"/>
      <c r="U111" s="110"/>
    </row>
    <row r="112" spans="1:21" ht="15.6" x14ac:dyDescent="0.3">
      <c r="A112" s="24">
        <v>6</v>
      </c>
      <c r="B112" s="25" t="s">
        <v>41</v>
      </c>
      <c r="C112" s="25"/>
      <c r="D112" s="25"/>
      <c r="E112" s="25"/>
      <c r="F112" s="25"/>
      <c r="G112" s="25"/>
      <c r="H112" s="25"/>
      <c r="I112" s="25"/>
      <c r="J112" s="25"/>
      <c r="K112" s="25"/>
      <c r="L112" s="25"/>
      <c r="M112" s="25"/>
      <c r="N112" s="25"/>
      <c r="O112" s="25"/>
      <c r="P112" s="25"/>
      <c r="Q112" s="25"/>
      <c r="R112" s="53">
        <v>-8</v>
      </c>
      <c r="S112" s="25"/>
      <c r="T112" s="5"/>
    </row>
    <row r="113" spans="1:20" ht="15.6" x14ac:dyDescent="0.3">
      <c r="A113" s="24">
        <f t="shared" ref="A113:A118" si="0">+A112+1</f>
        <v>7</v>
      </c>
      <c r="B113" s="25" t="s">
        <v>53</v>
      </c>
      <c r="C113" s="25"/>
      <c r="D113" s="25"/>
      <c r="E113" s="25"/>
      <c r="F113" s="25"/>
      <c r="G113" s="25"/>
      <c r="H113" s="25"/>
      <c r="I113" s="25"/>
      <c r="J113" s="25"/>
      <c r="K113" s="25"/>
      <c r="L113" s="25"/>
      <c r="M113" s="25"/>
      <c r="N113" s="25"/>
      <c r="O113" s="25"/>
      <c r="P113" s="34">
        <f>-R113</f>
        <v>606</v>
      </c>
      <c r="Q113" s="25"/>
      <c r="R113" s="53">
        <v>-606</v>
      </c>
      <c r="S113" s="25"/>
      <c r="T113" s="5"/>
    </row>
    <row r="114" spans="1:20" ht="15.6" x14ac:dyDescent="0.3">
      <c r="A114" s="24">
        <f t="shared" si="0"/>
        <v>8</v>
      </c>
      <c r="B114" s="25" t="s">
        <v>144</v>
      </c>
      <c r="C114" s="25"/>
      <c r="D114" s="25"/>
      <c r="E114" s="25"/>
      <c r="F114" s="25"/>
      <c r="G114" s="25"/>
      <c r="H114" s="25"/>
      <c r="I114" s="25"/>
      <c r="J114" s="25"/>
      <c r="K114" s="25"/>
      <c r="L114" s="25"/>
      <c r="M114" s="25"/>
      <c r="N114" s="25"/>
      <c r="O114" s="25"/>
      <c r="P114" s="34"/>
      <c r="Q114" s="25"/>
      <c r="R114" s="53">
        <v>0</v>
      </c>
      <c r="S114" s="25"/>
      <c r="T114" s="5"/>
    </row>
    <row r="115" spans="1:20" ht="15.6" x14ac:dyDescent="0.3">
      <c r="A115" s="24">
        <f t="shared" si="0"/>
        <v>9</v>
      </c>
      <c r="B115" s="25" t="s">
        <v>42</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10</v>
      </c>
      <c r="B116" s="25" t="s">
        <v>43</v>
      </c>
      <c r="C116" s="25"/>
      <c r="D116" s="25"/>
      <c r="E116" s="25"/>
      <c r="F116" s="25"/>
      <c r="G116" s="25"/>
      <c r="H116" s="25"/>
      <c r="I116" s="25"/>
      <c r="J116" s="25"/>
      <c r="K116" s="25"/>
      <c r="L116" s="25"/>
      <c r="M116" s="25"/>
      <c r="N116" s="25"/>
      <c r="O116" s="25"/>
      <c r="P116" s="25"/>
      <c r="Q116" s="25"/>
      <c r="R116" s="53">
        <v>0</v>
      </c>
      <c r="S116" s="25"/>
      <c r="T116" s="5"/>
    </row>
    <row r="117" spans="1:20" ht="15.6" x14ac:dyDescent="0.3">
      <c r="A117" s="24">
        <f t="shared" si="0"/>
        <v>11</v>
      </c>
      <c r="B117" s="25" t="s">
        <v>175</v>
      </c>
      <c r="C117" s="25"/>
      <c r="D117" s="25"/>
      <c r="E117" s="25"/>
      <c r="F117" s="25"/>
      <c r="G117" s="25"/>
      <c r="H117" s="25"/>
      <c r="I117" s="25"/>
      <c r="J117" s="25"/>
      <c r="K117" s="25"/>
      <c r="L117" s="25"/>
      <c r="M117" s="25"/>
      <c r="N117" s="25"/>
      <c r="O117" s="25"/>
      <c r="P117" s="25"/>
      <c r="Q117" s="25"/>
      <c r="R117" s="53">
        <v>-251</v>
      </c>
      <c r="S117" s="25"/>
      <c r="T117" s="5"/>
    </row>
    <row r="118" spans="1:20" ht="15.6" x14ac:dyDescent="0.3">
      <c r="A118" s="24">
        <f t="shared" si="0"/>
        <v>12</v>
      </c>
      <c r="B118" s="25" t="s">
        <v>145</v>
      </c>
      <c r="C118" s="25"/>
      <c r="D118" s="25"/>
      <c r="E118" s="25"/>
      <c r="F118" s="25"/>
      <c r="G118" s="25"/>
      <c r="H118" s="25"/>
      <c r="I118" s="25"/>
      <c r="J118" s="25"/>
      <c r="K118" s="25"/>
      <c r="L118" s="25"/>
      <c r="M118" s="25"/>
      <c r="N118" s="25"/>
      <c r="O118" s="25"/>
      <c r="P118" s="25"/>
      <c r="Q118" s="25"/>
      <c r="R118" s="53">
        <f>-R99-SUM(R101:R117)</f>
        <v>-795</v>
      </c>
      <c r="S118" s="25"/>
      <c r="T118" s="5"/>
    </row>
    <row r="119" spans="1:20" ht="15.6" x14ac:dyDescent="0.3">
      <c r="A119" s="24"/>
      <c r="B119" s="119" t="s">
        <v>44</v>
      </c>
      <c r="C119" s="25"/>
      <c r="D119" s="25"/>
      <c r="E119" s="25"/>
      <c r="F119" s="25"/>
      <c r="G119" s="25"/>
      <c r="H119" s="25"/>
      <c r="I119" s="25"/>
      <c r="J119" s="25"/>
      <c r="K119" s="25"/>
      <c r="L119" s="25"/>
      <c r="M119" s="25"/>
      <c r="N119" s="25"/>
      <c r="O119" s="25"/>
      <c r="P119" s="25"/>
      <c r="Q119" s="25"/>
      <c r="R119" s="59"/>
      <c r="S119" s="25"/>
      <c r="T119" s="5"/>
    </row>
    <row r="120" spans="1:20" ht="15.6" x14ac:dyDescent="0.3">
      <c r="A120" s="24"/>
      <c r="B120" s="25" t="s">
        <v>45</v>
      </c>
      <c r="C120" s="25"/>
      <c r="D120" s="25"/>
      <c r="E120" s="25"/>
      <c r="F120" s="25"/>
      <c r="G120" s="25"/>
      <c r="H120" s="25"/>
      <c r="I120" s="25"/>
      <c r="J120" s="25"/>
      <c r="K120" s="25"/>
      <c r="L120" s="25"/>
      <c r="M120" s="25"/>
      <c r="N120" s="25"/>
      <c r="O120" s="25"/>
      <c r="P120" s="34">
        <v>-53</v>
      </c>
      <c r="Q120" s="34"/>
      <c r="R120" s="53"/>
      <c r="S120" s="25"/>
      <c r="T120" s="5"/>
    </row>
    <row r="121" spans="1:20" ht="15.6" x14ac:dyDescent="0.3">
      <c r="A121" s="24"/>
      <c r="B121" s="25" t="s">
        <v>46</v>
      </c>
      <c r="C121" s="25"/>
      <c r="D121" s="25"/>
      <c r="E121" s="25"/>
      <c r="F121" s="25"/>
      <c r="G121" s="25"/>
      <c r="H121" s="25"/>
      <c r="I121" s="25"/>
      <c r="J121" s="25"/>
      <c r="K121" s="25"/>
      <c r="L121" s="25"/>
      <c r="M121" s="25"/>
      <c r="N121" s="25"/>
      <c r="O121" s="25"/>
      <c r="P121" s="34">
        <f>-O176</f>
        <v>-1035</v>
      </c>
      <c r="Q121" s="34"/>
      <c r="R121" s="53"/>
      <c r="S121" s="25"/>
      <c r="T121" s="5"/>
    </row>
    <row r="122" spans="1:20" ht="15.6" x14ac:dyDescent="0.3">
      <c r="A122" s="24"/>
      <c r="B122" s="25" t="s">
        <v>219</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220</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221</v>
      </c>
      <c r="C124" s="25"/>
      <c r="D124" s="25"/>
      <c r="E124" s="25"/>
      <c r="F124" s="25"/>
      <c r="G124" s="25"/>
      <c r="H124" s="25"/>
      <c r="I124" s="25"/>
      <c r="J124" s="25"/>
      <c r="K124" s="25"/>
      <c r="L124" s="25"/>
      <c r="M124" s="25"/>
      <c r="N124" s="25"/>
      <c r="O124" s="25"/>
      <c r="P124" s="34">
        <v>-932</v>
      </c>
      <c r="Q124" s="34"/>
      <c r="R124" s="53"/>
      <c r="S124" s="25"/>
      <c r="T124" s="5"/>
    </row>
    <row r="125" spans="1:20" ht="15.6" x14ac:dyDescent="0.3">
      <c r="A125" s="24"/>
      <c r="B125" s="25" t="s">
        <v>222</v>
      </c>
      <c r="C125" s="25"/>
      <c r="D125" s="25"/>
      <c r="E125" s="25"/>
      <c r="F125" s="25"/>
      <c r="G125" s="25"/>
      <c r="H125" s="25"/>
      <c r="I125" s="25"/>
      <c r="J125" s="25"/>
      <c r="K125" s="25"/>
      <c r="L125" s="25"/>
      <c r="M125" s="25"/>
      <c r="N125" s="25"/>
      <c r="O125" s="25"/>
      <c r="P125" s="34">
        <v>-963</v>
      </c>
      <c r="Q125" s="34"/>
      <c r="R125" s="53"/>
      <c r="S125" s="25"/>
      <c r="T125" s="5"/>
    </row>
    <row r="126" spans="1:20" ht="15.6" x14ac:dyDescent="0.3">
      <c r="A126" s="24"/>
      <c r="B126" s="25" t="s">
        <v>223</v>
      </c>
      <c r="C126" s="25"/>
      <c r="D126" s="25"/>
      <c r="E126" s="25"/>
      <c r="F126" s="25"/>
      <c r="G126" s="25"/>
      <c r="H126" s="25"/>
      <c r="I126" s="25"/>
      <c r="J126" s="25"/>
      <c r="K126" s="25"/>
      <c r="L126" s="25"/>
      <c r="M126" s="25"/>
      <c r="N126" s="25"/>
      <c r="O126" s="25"/>
      <c r="P126" s="34">
        <v>-1571</v>
      </c>
      <c r="Q126" s="34"/>
      <c r="R126" s="53"/>
      <c r="S126" s="25"/>
      <c r="T126" s="5"/>
    </row>
    <row r="127" spans="1:20" ht="15.6" x14ac:dyDescent="0.3">
      <c r="A127" s="24"/>
      <c r="B127" s="25" t="s">
        <v>173</v>
      </c>
      <c r="C127" s="25"/>
      <c r="D127" s="25"/>
      <c r="E127" s="25"/>
      <c r="F127" s="25"/>
      <c r="G127" s="25"/>
      <c r="H127" s="25"/>
      <c r="I127" s="25"/>
      <c r="J127" s="25"/>
      <c r="K127" s="25"/>
      <c r="L127" s="25"/>
      <c r="M127" s="25"/>
      <c r="N127" s="25"/>
      <c r="O127" s="25"/>
      <c r="P127" s="34">
        <v>-846</v>
      </c>
      <c r="Q127" s="34"/>
      <c r="R127" s="53"/>
      <c r="S127" s="25"/>
      <c r="T127" s="5"/>
    </row>
    <row r="128" spans="1:20" ht="15.6" x14ac:dyDescent="0.3">
      <c r="A128" s="24"/>
      <c r="B128" s="25" t="s">
        <v>47</v>
      </c>
      <c r="C128" s="25"/>
      <c r="D128" s="25"/>
      <c r="E128" s="25"/>
      <c r="F128" s="25"/>
      <c r="G128" s="25"/>
      <c r="H128" s="25"/>
      <c r="I128" s="25"/>
      <c r="J128" s="25"/>
      <c r="K128" s="25"/>
      <c r="L128" s="25"/>
      <c r="M128" s="25"/>
      <c r="N128" s="25"/>
      <c r="O128" s="25"/>
      <c r="P128" s="34">
        <f>SUM(P120:P127)</f>
        <v>-5400</v>
      </c>
      <c r="Q128" s="34"/>
      <c r="R128" s="34">
        <f>SUM(R100:R127)</f>
        <v>-4296</v>
      </c>
      <c r="S128" s="25"/>
      <c r="T128" s="5"/>
    </row>
    <row r="129" spans="1:21" ht="15.6" x14ac:dyDescent="0.3">
      <c r="A129" s="24"/>
      <c r="B129" s="25" t="s">
        <v>48</v>
      </c>
      <c r="C129" s="25"/>
      <c r="D129" s="25"/>
      <c r="E129" s="25"/>
      <c r="F129" s="25"/>
      <c r="G129" s="25"/>
      <c r="H129" s="25"/>
      <c r="I129" s="25"/>
      <c r="J129" s="25"/>
      <c r="K129" s="25"/>
      <c r="L129" s="25"/>
      <c r="M129" s="25"/>
      <c r="N129" s="25"/>
      <c r="O129" s="25"/>
      <c r="P129" s="34">
        <f>P99+P128+P113</f>
        <v>0</v>
      </c>
      <c r="Q129" s="34"/>
      <c r="R129" s="34">
        <f>R99+R128</f>
        <v>0</v>
      </c>
      <c r="S129" s="25"/>
      <c r="T129" s="5"/>
    </row>
    <row r="130" spans="1:21" ht="15.6" x14ac:dyDescent="0.3">
      <c r="A130" s="24"/>
      <c r="B130" s="25"/>
      <c r="C130" s="25"/>
      <c r="D130" s="25"/>
      <c r="E130" s="25"/>
      <c r="F130" s="25"/>
      <c r="G130" s="25"/>
      <c r="H130" s="25"/>
      <c r="I130" s="25"/>
      <c r="J130" s="25"/>
      <c r="K130" s="25"/>
      <c r="L130" s="25"/>
      <c r="M130" s="25"/>
      <c r="N130" s="25"/>
      <c r="O130" s="25"/>
      <c r="P130" s="34"/>
      <c r="Q130" s="34"/>
      <c r="R130" s="34"/>
      <c r="S130" s="25"/>
      <c r="T130" s="5"/>
    </row>
    <row r="131" spans="1:21" ht="15.6" x14ac:dyDescent="0.3">
      <c r="A131" s="6"/>
      <c r="B131" s="8"/>
      <c r="C131" s="8"/>
      <c r="D131" s="8"/>
      <c r="E131" s="8"/>
      <c r="F131" s="8"/>
      <c r="G131" s="8"/>
      <c r="H131" s="8"/>
      <c r="I131" s="8"/>
      <c r="J131" s="8"/>
      <c r="K131" s="8"/>
      <c r="L131" s="8"/>
      <c r="M131" s="8"/>
      <c r="N131" s="8"/>
      <c r="O131" s="8"/>
      <c r="P131" s="8"/>
      <c r="Q131" s="8"/>
      <c r="R131" s="52"/>
      <c r="S131" s="8"/>
      <c r="T131" s="5"/>
    </row>
    <row r="132" spans="1:21" ht="18" thickBot="1" x14ac:dyDescent="0.35">
      <c r="A132" s="102"/>
      <c r="B132" s="103" t="str">
        <f>B62</f>
        <v>PM8 INVESTOR REPORT QUARTER ENDING DECEMBER 2009</v>
      </c>
      <c r="C132" s="104"/>
      <c r="D132" s="104"/>
      <c r="E132" s="104"/>
      <c r="F132" s="104"/>
      <c r="G132" s="104"/>
      <c r="H132" s="104"/>
      <c r="I132" s="104"/>
      <c r="J132" s="104"/>
      <c r="K132" s="104"/>
      <c r="L132" s="104"/>
      <c r="M132" s="104"/>
      <c r="N132" s="104"/>
      <c r="O132" s="104"/>
      <c r="P132" s="104"/>
      <c r="Q132" s="104"/>
      <c r="R132" s="107"/>
      <c r="S132" s="106"/>
      <c r="T132" s="5"/>
    </row>
    <row r="133" spans="1:21" ht="15.6" x14ac:dyDescent="0.3">
      <c r="A133" s="2"/>
      <c r="B133" s="60" t="s">
        <v>49</v>
      </c>
      <c r="C133" s="4"/>
      <c r="D133" s="4"/>
      <c r="E133" s="4"/>
      <c r="F133" s="4"/>
      <c r="G133" s="4"/>
      <c r="H133" s="4"/>
      <c r="I133" s="4"/>
      <c r="J133" s="4"/>
      <c r="K133" s="4"/>
      <c r="L133" s="4"/>
      <c r="M133" s="4"/>
      <c r="N133" s="4"/>
      <c r="O133" s="4"/>
      <c r="P133" s="4"/>
      <c r="Q133" s="4"/>
      <c r="R133" s="50"/>
      <c r="S133" s="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ht="15.6" x14ac:dyDescent="0.3">
      <c r="A136" s="24"/>
      <c r="B136" s="25" t="s">
        <v>51</v>
      </c>
      <c r="C136" s="25"/>
      <c r="D136" s="25"/>
      <c r="E136" s="25"/>
      <c r="F136" s="25"/>
      <c r="G136" s="25"/>
      <c r="H136" s="25"/>
      <c r="I136" s="25"/>
      <c r="J136" s="25"/>
      <c r="K136" s="25"/>
      <c r="L136" s="25"/>
      <c r="M136" s="25"/>
      <c r="N136" s="25"/>
      <c r="O136" s="25"/>
      <c r="P136" s="25"/>
      <c r="Q136" s="25"/>
      <c r="R136" s="53">
        <f>+R33*0.019</f>
        <v>19000</v>
      </c>
      <c r="S136" s="25"/>
      <c r="T136" s="5"/>
    </row>
    <row r="137" spans="1:21" ht="15.6" x14ac:dyDescent="0.3">
      <c r="A137" s="24"/>
      <c r="B137" s="25" t="s">
        <v>52</v>
      </c>
      <c r="C137" s="25"/>
      <c r="D137" s="25"/>
      <c r="E137" s="25"/>
      <c r="F137" s="25"/>
      <c r="G137" s="25"/>
      <c r="H137" s="25"/>
      <c r="I137" s="25"/>
      <c r="J137" s="25"/>
      <c r="K137" s="25"/>
      <c r="L137" s="25"/>
      <c r="M137" s="25"/>
      <c r="N137" s="25"/>
      <c r="O137" s="25"/>
      <c r="P137" s="25"/>
      <c r="Q137" s="25"/>
      <c r="R137" s="53">
        <v>19000</v>
      </c>
      <c r="S137" s="25"/>
      <c r="T137" s="5"/>
    </row>
    <row r="138" spans="1:21" ht="15.6" x14ac:dyDescent="0.3">
      <c r="A138" s="24"/>
      <c r="B138" s="25" t="s">
        <v>155</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142</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53</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148</v>
      </c>
      <c r="C142" s="25"/>
      <c r="D142" s="25"/>
      <c r="E142" s="25"/>
      <c r="F142" s="25"/>
      <c r="G142" s="25"/>
      <c r="H142" s="25"/>
      <c r="I142" s="25"/>
      <c r="J142" s="25"/>
      <c r="K142" s="25"/>
      <c r="L142" s="25"/>
      <c r="M142" s="25"/>
      <c r="N142" s="25"/>
      <c r="O142" s="25"/>
      <c r="P142" s="25"/>
      <c r="Q142" s="25"/>
      <c r="R142" s="53">
        <v>0</v>
      </c>
      <c r="S142" s="25"/>
      <c r="T142" s="5"/>
    </row>
    <row r="143" spans="1:21" ht="15.6" x14ac:dyDescent="0.3">
      <c r="A143" s="24"/>
      <c r="B143" s="25" t="s">
        <v>203</v>
      </c>
      <c r="C143" s="25"/>
      <c r="D143" s="25"/>
      <c r="E143" s="25"/>
      <c r="F143" s="25"/>
      <c r="G143" s="25"/>
      <c r="H143" s="25"/>
      <c r="I143" s="25"/>
      <c r="J143" s="25"/>
      <c r="K143" s="25"/>
      <c r="L143" s="25"/>
      <c r="M143" s="25"/>
      <c r="N143" s="25"/>
      <c r="O143" s="25"/>
      <c r="P143" s="25"/>
      <c r="Q143" s="25"/>
      <c r="R143" s="53">
        <v>0</v>
      </c>
      <c r="S143" s="25"/>
      <c r="T143" s="5"/>
      <c r="U143" s="110"/>
    </row>
    <row r="144" spans="1:21" ht="15.6" x14ac:dyDescent="0.3">
      <c r="A144" s="24"/>
      <c r="B144" s="25" t="s">
        <v>54</v>
      </c>
      <c r="C144" s="25"/>
      <c r="D144" s="25"/>
      <c r="E144" s="25"/>
      <c r="F144" s="25"/>
      <c r="G144" s="25"/>
      <c r="H144" s="25"/>
      <c r="I144" s="25"/>
      <c r="J144" s="25"/>
      <c r="K144" s="25"/>
      <c r="L144" s="25"/>
      <c r="M144" s="25"/>
      <c r="N144" s="25"/>
      <c r="O144" s="25"/>
      <c r="P144" s="25"/>
      <c r="Q144" s="25"/>
      <c r="R144" s="53">
        <f>SUM(R137:R143)</f>
        <v>19000</v>
      </c>
      <c r="S144" s="25"/>
      <c r="T144" s="5"/>
    </row>
    <row r="145" spans="1:20" ht="15.6" x14ac:dyDescent="0.3">
      <c r="A145" s="24"/>
      <c r="B145" s="25"/>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141" t="s">
        <v>264</v>
      </c>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t="s">
        <v>206</v>
      </c>
      <c r="C147" s="25"/>
      <c r="D147" s="25"/>
      <c r="E147" s="25"/>
      <c r="F147" s="25"/>
      <c r="G147" s="25"/>
      <c r="H147" s="25"/>
      <c r="I147" s="25"/>
      <c r="J147" s="25"/>
      <c r="K147" s="25"/>
      <c r="L147" s="25"/>
      <c r="M147" s="25"/>
      <c r="N147" s="25"/>
      <c r="O147" s="25"/>
      <c r="P147" s="25"/>
      <c r="Q147" s="25"/>
      <c r="R147" s="53">
        <f>+R33*0.005</f>
        <v>5000</v>
      </c>
      <c r="S147" s="25"/>
      <c r="T147" s="5"/>
    </row>
    <row r="148" spans="1:20" ht="15.6" x14ac:dyDescent="0.3">
      <c r="A148" s="24"/>
      <c r="B148" s="25" t="s">
        <v>260</v>
      </c>
      <c r="C148" s="25"/>
      <c r="D148" s="25"/>
      <c r="E148" s="25"/>
      <c r="F148" s="25"/>
      <c r="G148" s="25"/>
      <c r="H148" s="25"/>
      <c r="I148" s="25"/>
      <c r="J148" s="25"/>
      <c r="K148" s="25"/>
      <c r="L148" s="25"/>
      <c r="M148" s="25"/>
      <c r="N148" s="25"/>
      <c r="O148" s="25"/>
      <c r="P148" s="25"/>
      <c r="Q148" s="25"/>
      <c r="R148" s="53">
        <v>0</v>
      </c>
      <c r="S148" s="25"/>
      <c r="T148" s="5"/>
    </row>
    <row r="149" spans="1:20" ht="15.6" x14ac:dyDescent="0.3">
      <c r="A149" s="24"/>
      <c r="B149" s="25" t="s">
        <v>294</v>
      </c>
      <c r="C149" s="25"/>
      <c r="D149" s="25"/>
      <c r="E149" s="25"/>
      <c r="F149" s="25"/>
      <c r="G149" s="25"/>
      <c r="H149" s="25"/>
      <c r="I149" s="25"/>
      <c r="J149" s="25"/>
      <c r="K149" s="25"/>
      <c r="L149" s="25"/>
      <c r="M149" s="25"/>
      <c r="N149" s="25"/>
      <c r="O149" s="25"/>
      <c r="P149" s="25"/>
      <c r="Q149" s="25"/>
      <c r="R149" s="178">
        <v>1698</v>
      </c>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53"/>
      <c r="S150" s="25"/>
      <c r="T150" s="5"/>
    </row>
    <row r="151" spans="1:20" ht="15.6" x14ac:dyDescent="0.3">
      <c r="A151" s="24"/>
      <c r="B151" s="25"/>
      <c r="C151" s="25"/>
      <c r="D151" s="25"/>
      <c r="E151" s="25"/>
      <c r="F151" s="25"/>
      <c r="G151" s="25"/>
      <c r="H151" s="25"/>
      <c r="I151" s="25"/>
      <c r="J151" s="25"/>
      <c r="K151" s="25"/>
      <c r="L151" s="25"/>
      <c r="M151" s="25"/>
      <c r="N151" s="25"/>
      <c r="O151" s="25"/>
      <c r="P151" s="25"/>
      <c r="Q151" s="25"/>
      <c r="R151" s="61"/>
      <c r="S151" s="25"/>
      <c r="T151" s="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ht="15.6" x14ac:dyDescent="0.3">
      <c r="A153" s="24"/>
      <c r="B153" s="25" t="s">
        <v>55</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56</v>
      </c>
      <c r="C154" s="146"/>
      <c r="D154" s="146"/>
      <c r="E154" s="146"/>
      <c r="F154" s="146"/>
      <c r="G154" s="146"/>
      <c r="H154" s="146"/>
      <c r="I154" s="146"/>
      <c r="J154" s="146"/>
      <c r="K154" s="146"/>
      <c r="L154" s="146"/>
      <c r="M154" s="146"/>
      <c r="N154" s="146"/>
      <c r="O154" s="146"/>
      <c r="P154" s="146"/>
      <c r="Q154" s="146"/>
      <c r="R154" s="59" t="s">
        <v>137</v>
      </c>
      <c r="S154" s="25"/>
      <c r="T154" s="5"/>
    </row>
    <row r="155" spans="1:20" ht="15.6" x14ac:dyDescent="0.3">
      <c r="A155" s="24"/>
      <c r="B155" s="25" t="s">
        <v>57</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t="s">
        <v>58</v>
      </c>
      <c r="C156" s="25"/>
      <c r="D156" s="25"/>
      <c r="E156" s="25"/>
      <c r="F156" s="25"/>
      <c r="G156" s="25"/>
      <c r="H156" s="25"/>
      <c r="I156" s="25"/>
      <c r="J156" s="25"/>
      <c r="K156" s="25"/>
      <c r="L156" s="25"/>
      <c r="M156" s="25"/>
      <c r="N156" s="25"/>
      <c r="O156" s="25"/>
      <c r="P156" s="25"/>
      <c r="Q156" s="25"/>
      <c r="R156" s="59" t="s">
        <v>137</v>
      </c>
      <c r="S156" s="25"/>
      <c r="T156" s="5"/>
    </row>
    <row r="157" spans="1:20" ht="15.6" x14ac:dyDescent="0.3">
      <c r="A157" s="24"/>
      <c r="B157" s="25"/>
      <c r="C157" s="25"/>
      <c r="D157" s="25"/>
      <c r="E157" s="25"/>
      <c r="F157" s="25"/>
      <c r="G157" s="25"/>
      <c r="H157" s="25"/>
      <c r="I157" s="25"/>
      <c r="J157" s="25"/>
      <c r="K157" s="25"/>
      <c r="L157" s="25"/>
      <c r="M157" s="25"/>
      <c r="N157" s="25"/>
      <c r="O157" s="25"/>
      <c r="P157" s="25"/>
      <c r="Q157" s="25"/>
      <c r="R157" s="61"/>
      <c r="S157" s="25"/>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ht="15.6" x14ac:dyDescent="0.3">
      <c r="A159" s="24"/>
      <c r="B159" s="25" t="s">
        <v>60</v>
      </c>
      <c r="C159" s="25"/>
      <c r="D159" s="25"/>
      <c r="E159" s="25"/>
      <c r="F159" s="25"/>
      <c r="G159" s="25"/>
      <c r="H159" s="25"/>
      <c r="I159" s="25"/>
      <c r="J159" s="25"/>
      <c r="K159" s="25"/>
      <c r="L159" s="25"/>
      <c r="M159" s="25"/>
      <c r="N159" s="25"/>
      <c r="O159" s="25"/>
      <c r="P159" s="25"/>
      <c r="Q159" s="25"/>
      <c r="R159" s="53">
        <v>0</v>
      </c>
      <c r="S159" s="25"/>
      <c r="T159" s="5"/>
    </row>
    <row r="160" spans="1:20" ht="15.6" x14ac:dyDescent="0.3">
      <c r="A160" s="24"/>
      <c r="B160" s="25" t="s">
        <v>61</v>
      </c>
      <c r="C160" s="25"/>
      <c r="D160" s="25"/>
      <c r="E160" s="25"/>
      <c r="F160" s="25"/>
      <c r="G160" s="25"/>
      <c r="H160" s="25"/>
      <c r="I160" s="25"/>
      <c r="J160" s="25"/>
      <c r="K160" s="25"/>
      <c r="L160" s="25"/>
      <c r="M160" s="25"/>
      <c r="N160" s="25"/>
      <c r="O160" s="25"/>
      <c r="P160" s="25"/>
      <c r="Q160" s="25"/>
      <c r="R160" s="53">
        <f>P113</f>
        <v>606</v>
      </c>
      <c r="S160" s="25"/>
      <c r="T160" s="5"/>
    </row>
    <row r="161" spans="1:20" ht="15.6" x14ac:dyDescent="0.3">
      <c r="A161" s="24"/>
      <c r="B161" s="25" t="s">
        <v>62</v>
      </c>
      <c r="C161" s="25"/>
      <c r="D161" s="25"/>
      <c r="E161" s="25"/>
      <c r="F161" s="25"/>
      <c r="G161" s="25"/>
      <c r="H161" s="25"/>
      <c r="I161" s="25"/>
      <c r="J161" s="25"/>
      <c r="K161" s="25"/>
      <c r="L161" s="25"/>
      <c r="M161" s="25"/>
      <c r="N161" s="25"/>
      <c r="O161" s="25"/>
      <c r="P161" s="25"/>
      <c r="Q161" s="25"/>
      <c r="R161" s="53">
        <f>R160+R159</f>
        <v>606</v>
      </c>
      <c r="S161" s="25"/>
      <c r="T161" s="5"/>
    </row>
    <row r="162" spans="1:20" ht="15.6" x14ac:dyDescent="0.3">
      <c r="A162" s="24"/>
      <c r="B162" s="155" t="s">
        <v>308</v>
      </c>
      <c r="C162" s="25"/>
      <c r="D162" s="25"/>
      <c r="E162" s="25"/>
      <c r="F162" s="25"/>
      <c r="G162" s="25"/>
      <c r="H162" s="25"/>
      <c r="I162" s="25"/>
      <c r="J162" s="25"/>
      <c r="K162" s="25"/>
      <c r="L162" s="25"/>
      <c r="M162" s="25"/>
      <c r="N162" s="25"/>
      <c r="O162" s="25"/>
      <c r="P162" s="25"/>
      <c r="Q162" s="25"/>
      <c r="R162" s="53">
        <f>R113</f>
        <v>-606</v>
      </c>
      <c r="S162" s="25"/>
      <c r="T162" s="5"/>
    </row>
    <row r="163" spans="1:20" ht="15.6" x14ac:dyDescent="0.3">
      <c r="A163" s="24"/>
      <c r="B163" s="25" t="s">
        <v>63</v>
      </c>
      <c r="C163" s="25"/>
      <c r="D163" s="25"/>
      <c r="E163" s="25"/>
      <c r="F163" s="25"/>
      <c r="G163" s="25"/>
      <c r="H163" s="25"/>
      <c r="I163" s="25"/>
      <c r="J163" s="25"/>
      <c r="K163" s="25"/>
      <c r="L163" s="25"/>
      <c r="M163" s="25"/>
      <c r="N163" s="25"/>
      <c r="O163" s="25"/>
      <c r="P163" s="25"/>
      <c r="Q163" s="25"/>
      <c r="R163" s="53">
        <f>R161+R162</f>
        <v>0</v>
      </c>
      <c r="S163" s="25"/>
      <c r="T163" s="5"/>
    </row>
    <row r="164" spans="1:20" ht="15.6" x14ac:dyDescent="0.3">
      <c r="A164" s="24"/>
      <c r="B164" s="25" t="s">
        <v>276</v>
      </c>
      <c r="C164" s="25"/>
      <c r="D164" s="25"/>
      <c r="E164" s="25"/>
      <c r="F164" s="25"/>
      <c r="G164" s="25"/>
      <c r="H164" s="25"/>
      <c r="I164" s="25"/>
      <c r="J164" s="25"/>
      <c r="K164" s="25"/>
      <c r="L164" s="25"/>
      <c r="M164" s="25"/>
      <c r="N164" s="25"/>
      <c r="O164" s="25"/>
      <c r="P164" s="25"/>
      <c r="Q164" s="25"/>
      <c r="R164" s="53">
        <v>0</v>
      </c>
      <c r="S164" s="25"/>
      <c r="T164" s="5"/>
    </row>
    <row r="165" spans="1:20" ht="16.2" thickBot="1" x14ac:dyDescent="0.35">
      <c r="A165" s="24"/>
      <c r="B165" s="25"/>
      <c r="C165" s="25"/>
      <c r="D165" s="25"/>
      <c r="E165" s="25"/>
      <c r="F165" s="25"/>
      <c r="G165" s="25"/>
      <c r="H165" s="25"/>
      <c r="I165" s="25"/>
      <c r="J165" s="25"/>
      <c r="K165" s="25"/>
      <c r="L165" s="25"/>
      <c r="M165" s="25"/>
      <c r="N165" s="25"/>
      <c r="O165" s="25"/>
      <c r="P165" s="25"/>
      <c r="Q165" s="25"/>
      <c r="R165" s="61"/>
      <c r="S165" s="25"/>
      <c r="T165" s="5"/>
    </row>
    <row r="166" spans="1:20" ht="15.6" x14ac:dyDescent="0.3">
      <c r="A166" s="2"/>
      <c r="B166" s="4"/>
      <c r="C166" s="4"/>
      <c r="D166" s="4"/>
      <c r="E166" s="4"/>
      <c r="F166" s="4"/>
      <c r="G166" s="4"/>
      <c r="H166" s="4"/>
      <c r="I166" s="4"/>
      <c r="J166" s="4"/>
      <c r="K166" s="4"/>
      <c r="L166" s="4"/>
      <c r="M166" s="4"/>
      <c r="N166" s="4"/>
      <c r="O166" s="4"/>
      <c r="P166" s="4"/>
      <c r="Q166" s="4"/>
      <c r="R166" s="50"/>
      <c r="S166" s="4"/>
      <c r="T166" s="5"/>
    </row>
    <row r="167" spans="1:20" ht="15.6" x14ac:dyDescent="0.3">
      <c r="A167" s="6"/>
      <c r="B167" s="120" t="s">
        <v>64</v>
      </c>
      <c r="C167" s="8"/>
      <c r="D167" s="8"/>
      <c r="E167" s="8"/>
      <c r="F167" s="8"/>
      <c r="G167" s="8"/>
      <c r="H167" s="8"/>
      <c r="I167" s="8"/>
      <c r="J167" s="8"/>
      <c r="K167" s="8"/>
      <c r="L167" s="8"/>
      <c r="M167" s="8"/>
      <c r="N167" s="8"/>
      <c r="O167" s="8"/>
      <c r="P167" s="8"/>
      <c r="Q167" s="8"/>
      <c r="R167" s="52"/>
      <c r="S167" s="8"/>
      <c r="T167" s="5"/>
    </row>
    <row r="168" spans="1:20" ht="15.6" x14ac:dyDescent="0.3">
      <c r="A168" s="6"/>
      <c r="B168" s="21"/>
      <c r="C168" s="8"/>
      <c r="D168" s="8"/>
      <c r="E168" s="8"/>
      <c r="F168" s="8"/>
      <c r="G168" s="8"/>
      <c r="H168" s="8"/>
      <c r="I168" s="8"/>
      <c r="J168" s="8"/>
      <c r="K168" s="8"/>
      <c r="L168" s="8"/>
      <c r="M168" s="8"/>
      <c r="N168" s="8"/>
      <c r="O168" s="8"/>
      <c r="P168" s="8"/>
      <c r="Q168" s="8"/>
      <c r="R168" s="52"/>
      <c r="S168" s="8"/>
      <c r="T168" s="5"/>
    </row>
    <row r="169" spans="1:20" ht="15.6" x14ac:dyDescent="0.3">
      <c r="A169" s="24"/>
      <c r="B169" s="25" t="s">
        <v>65</v>
      </c>
      <c r="C169" s="25"/>
      <c r="D169" s="25"/>
      <c r="E169" s="25"/>
      <c r="F169" s="25"/>
      <c r="G169" s="25"/>
      <c r="H169" s="25"/>
      <c r="I169" s="25"/>
      <c r="J169" s="25"/>
      <c r="K169" s="25"/>
      <c r="L169" s="25"/>
      <c r="M169" s="25"/>
      <c r="N169" s="25"/>
      <c r="O169" s="25"/>
      <c r="P169" s="25"/>
      <c r="Q169" s="25"/>
      <c r="R169" s="53">
        <f>R70</f>
        <v>487912</v>
      </c>
      <c r="S169" s="25"/>
      <c r="T169" s="5"/>
    </row>
    <row r="170" spans="1:20" ht="15.6" x14ac:dyDescent="0.3">
      <c r="A170" s="24"/>
      <c r="B170" s="25" t="s">
        <v>66</v>
      </c>
      <c r="C170" s="25"/>
      <c r="D170" s="25"/>
      <c r="E170" s="25"/>
      <c r="F170" s="25"/>
      <c r="G170" s="25"/>
      <c r="H170" s="25"/>
      <c r="I170" s="25"/>
      <c r="J170" s="25"/>
      <c r="K170" s="25"/>
      <c r="L170" s="25"/>
      <c r="M170" s="25"/>
      <c r="N170" s="25"/>
      <c r="O170" s="25"/>
      <c r="P170" s="25"/>
      <c r="Q170" s="25"/>
      <c r="R170" s="53">
        <f>R83</f>
        <v>487912</v>
      </c>
      <c r="S170" s="25"/>
      <c r="T170" s="5"/>
    </row>
    <row r="171" spans="1:20" ht="16.2" thickBot="1" x14ac:dyDescent="0.35">
      <c r="A171" s="24"/>
      <c r="B171" s="25"/>
      <c r="C171" s="25"/>
      <c r="D171" s="25"/>
      <c r="E171" s="25"/>
      <c r="F171" s="25"/>
      <c r="G171" s="25"/>
      <c r="H171" s="25"/>
      <c r="I171" s="25"/>
      <c r="J171" s="25"/>
      <c r="K171" s="25"/>
      <c r="L171" s="25"/>
      <c r="M171" s="25"/>
      <c r="N171" s="25"/>
      <c r="O171" s="25"/>
      <c r="P171" s="25"/>
      <c r="Q171" s="25"/>
      <c r="R171" s="61"/>
      <c r="S171" s="25"/>
      <c r="T171" s="5"/>
    </row>
    <row r="172" spans="1:20" ht="15.6" x14ac:dyDescent="0.3">
      <c r="A172" s="2"/>
      <c r="B172" s="4"/>
      <c r="C172" s="4"/>
      <c r="D172" s="4"/>
      <c r="E172" s="4"/>
      <c r="F172" s="4"/>
      <c r="G172" s="4"/>
      <c r="H172" s="4"/>
      <c r="I172" s="4"/>
      <c r="J172" s="4"/>
      <c r="K172" s="4"/>
      <c r="L172" s="4"/>
      <c r="M172" s="4"/>
      <c r="N172" s="4"/>
      <c r="O172" s="4"/>
      <c r="P172" s="4"/>
      <c r="Q172" s="4"/>
      <c r="R172" s="50"/>
      <c r="S172" s="4"/>
      <c r="T172" s="5"/>
    </row>
    <row r="173" spans="1:20" ht="15.6" x14ac:dyDescent="0.3">
      <c r="A173" s="6"/>
      <c r="B173" s="120" t="s">
        <v>67</v>
      </c>
      <c r="C173" s="118"/>
      <c r="D173" s="118"/>
      <c r="E173" s="118"/>
      <c r="F173" s="118"/>
      <c r="G173" s="118"/>
      <c r="H173" s="121"/>
      <c r="I173" s="121"/>
      <c r="J173" s="121"/>
      <c r="K173" s="121"/>
      <c r="L173" s="121"/>
      <c r="M173" s="121"/>
      <c r="N173" s="121"/>
      <c r="O173" s="121" t="s">
        <v>112</v>
      </c>
      <c r="P173" s="121" t="s">
        <v>120</v>
      </c>
      <c r="Q173" s="112"/>
      <c r="R173" s="122" t="s">
        <v>129</v>
      </c>
      <c r="S173" s="10"/>
      <c r="T173" s="5"/>
    </row>
    <row r="174" spans="1:20" ht="15.6" x14ac:dyDescent="0.3">
      <c r="A174" s="24"/>
      <c r="B174" s="25" t="s">
        <v>68</v>
      </c>
      <c r="C174" s="25"/>
      <c r="D174" s="25"/>
      <c r="E174" s="25"/>
      <c r="F174" s="25"/>
      <c r="G174" s="25"/>
      <c r="H174" s="25"/>
      <c r="I174" s="25"/>
      <c r="J174" s="25"/>
      <c r="K174" s="25"/>
      <c r="L174" s="25"/>
      <c r="M174" s="25"/>
      <c r="N174" s="25"/>
      <c r="O174" s="53">
        <v>160000</v>
      </c>
      <c r="P174" s="40"/>
      <c r="Q174" s="25"/>
      <c r="R174" s="53"/>
      <c r="S174" s="25"/>
      <c r="T174" s="5"/>
    </row>
    <row r="175" spans="1:20" ht="15.6" x14ac:dyDescent="0.3">
      <c r="A175" s="24"/>
      <c r="B175" s="25" t="s">
        <v>69</v>
      </c>
      <c r="C175" s="25"/>
      <c r="D175" s="25"/>
      <c r="E175" s="25"/>
      <c r="F175" s="25"/>
      <c r="G175" s="25"/>
      <c r="H175" s="25"/>
      <c r="I175" s="25"/>
      <c r="J175" s="25"/>
      <c r="K175" s="25"/>
      <c r="L175" s="25"/>
      <c r="M175" s="25"/>
      <c r="N175" s="25"/>
      <c r="O175" s="53">
        <f>+'Sept 09'!O176</f>
        <v>83494</v>
      </c>
      <c r="P175" s="53">
        <f>+'Sept 09'!P176</f>
        <v>8286</v>
      </c>
      <c r="Q175" s="25"/>
      <c r="R175" s="53">
        <f>O175+P175</f>
        <v>91780</v>
      </c>
      <c r="S175" s="25"/>
      <c r="T175" s="5"/>
    </row>
    <row r="176" spans="1:20" ht="15.6" x14ac:dyDescent="0.3">
      <c r="A176" s="24"/>
      <c r="B176" s="25" t="s">
        <v>70</v>
      </c>
      <c r="C176" s="25"/>
      <c r="D176" s="25"/>
      <c r="E176" s="25"/>
      <c r="F176" s="25"/>
      <c r="G176" s="25"/>
      <c r="H176" s="25"/>
      <c r="I176" s="25"/>
      <c r="J176" s="25"/>
      <c r="K176" s="25"/>
      <c r="L176" s="25"/>
      <c r="M176" s="25"/>
      <c r="N176" s="25"/>
      <c r="O176" s="34">
        <f>901+134</f>
        <v>1035</v>
      </c>
      <c r="P176" s="34">
        <f>-P96-P120</f>
        <v>58</v>
      </c>
      <c r="Q176" s="25"/>
      <c r="R176" s="53">
        <f>O176+P176</f>
        <v>1093</v>
      </c>
      <c r="S176" s="25"/>
      <c r="T176" s="5"/>
    </row>
    <row r="177" spans="1:20" ht="15.6" x14ac:dyDescent="0.3">
      <c r="A177" s="24"/>
      <c r="B177" s="25" t="s">
        <v>71</v>
      </c>
      <c r="C177" s="25"/>
      <c r="D177" s="25"/>
      <c r="E177" s="25"/>
      <c r="F177" s="25"/>
      <c r="G177" s="25"/>
      <c r="H177" s="25"/>
      <c r="I177" s="25"/>
      <c r="J177" s="25"/>
      <c r="K177" s="25"/>
      <c r="L177" s="25"/>
      <c r="M177" s="25"/>
      <c r="N177" s="25"/>
      <c r="O177" s="53">
        <f>O175+O176</f>
        <v>84529</v>
      </c>
      <c r="P177" s="53">
        <f>P176+P175</f>
        <v>8344</v>
      </c>
      <c r="Q177" s="25"/>
      <c r="R177" s="53">
        <f>O177+P177</f>
        <v>92873</v>
      </c>
      <c r="S177" s="25"/>
      <c r="T177" s="5"/>
    </row>
    <row r="178" spans="1:20" ht="15.6" x14ac:dyDescent="0.3">
      <c r="A178" s="24"/>
      <c r="B178" s="25" t="s">
        <v>72</v>
      </c>
      <c r="C178" s="25"/>
      <c r="D178" s="25"/>
      <c r="E178" s="25"/>
      <c r="F178" s="25"/>
      <c r="G178" s="25"/>
      <c r="H178" s="25"/>
      <c r="I178" s="25"/>
      <c r="J178" s="25"/>
      <c r="K178" s="25"/>
      <c r="L178" s="25"/>
      <c r="M178" s="25"/>
      <c r="N178" s="25"/>
      <c r="O178" s="53">
        <f>O174-O177-P177</f>
        <v>67127</v>
      </c>
      <c r="P178" s="40"/>
      <c r="Q178" s="25"/>
      <c r="R178" s="53"/>
      <c r="S178" s="25"/>
      <c r="T178" s="5"/>
    </row>
    <row r="179" spans="1:20" ht="16.2" thickBot="1" x14ac:dyDescent="0.35">
      <c r="A179" s="24"/>
      <c r="B179" s="25"/>
      <c r="C179" s="25"/>
      <c r="D179" s="25"/>
      <c r="E179" s="25"/>
      <c r="F179" s="25"/>
      <c r="G179" s="25"/>
      <c r="H179" s="25"/>
      <c r="I179" s="25"/>
      <c r="J179" s="25"/>
      <c r="K179" s="25"/>
      <c r="L179" s="25"/>
      <c r="M179" s="25"/>
      <c r="N179" s="25"/>
      <c r="O179" s="25"/>
      <c r="P179" s="25"/>
      <c r="Q179" s="25"/>
      <c r="R179" s="61"/>
      <c r="S179" s="25"/>
      <c r="T179" s="5"/>
    </row>
    <row r="180" spans="1:20" ht="15.6" x14ac:dyDescent="0.3">
      <c r="A180" s="2"/>
      <c r="B180" s="4"/>
      <c r="C180" s="4"/>
      <c r="D180" s="4"/>
      <c r="E180" s="4"/>
      <c r="F180" s="4"/>
      <c r="G180" s="4"/>
      <c r="H180" s="4"/>
      <c r="I180" s="4"/>
      <c r="J180" s="4"/>
      <c r="K180" s="4"/>
      <c r="L180" s="4"/>
      <c r="M180" s="4"/>
      <c r="N180" s="4"/>
      <c r="O180" s="4"/>
      <c r="P180" s="4"/>
      <c r="Q180" s="4"/>
      <c r="R180" s="50"/>
      <c r="S180" s="4"/>
      <c r="T180" s="5"/>
    </row>
    <row r="181" spans="1:20" ht="15.6" x14ac:dyDescent="0.3">
      <c r="A181" s="6"/>
      <c r="B181" s="120" t="s">
        <v>73</v>
      </c>
      <c r="C181" s="8"/>
      <c r="D181" s="8"/>
      <c r="E181" s="8"/>
      <c r="F181" s="8"/>
      <c r="G181" s="8"/>
      <c r="H181" s="8"/>
      <c r="I181" s="8"/>
      <c r="J181" s="8"/>
      <c r="K181" s="8"/>
      <c r="L181" s="8"/>
      <c r="M181" s="8"/>
      <c r="N181" s="8"/>
      <c r="O181" s="8"/>
      <c r="P181" s="8"/>
      <c r="Q181" s="8"/>
      <c r="R181" s="65"/>
      <c r="S181" s="8"/>
      <c r="T181" s="5"/>
    </row>
    <row r="182" spans="1:20" ht="15.6" x14ac:dyDescent="0.3">
      <c r="A182" s="24"/>
      <c r="B182" s="25" t="s">
        <v>74</v>
      </c>
      <c r="C182" s="25"/>
      <c r="D182" s="25"/>
      <c r="E182" s="25"/>
      <c r="F182" s="25"/>
      <c r="G182" s="25"/>
      <c r="H182" s="25"/>
      <c r="I182" s="25"/>
      <c r="J182" s="25"/>
      <c r="K182" s="25"/>
      <c r="L182" s="25"/>
      <c r="M182" s="25"/>
      <c r="N182" s="25"/>
      <c r="O182" s="25"/>
      <c r="P182" s="25"/>
      <c r="Q182" s="25"/>
      <c r="R182" s="59">
        <f>(R99+R101+R102+R103+R104+R105)/-(R106+R107+R108+R109)</f>
        <v>3.5584415584415585</v>
      </c>
      <c r="S182" s="25" t="s">
        <v>130</v>
      </c>
      <c r="T182" s="5"/>
    </row>
    <row r="183" spans="1:20" ht="15.6" x14ac:dyDescent="0.3">
      <c r="A183" s="24"/>
      <c r="B183" s="25" t="s">
        <v>75</v>
      </c>
      <c r="C183" s="25"/>
      <c r="D183" s="25"/>
      <c r="E183" s="25"/>
      <c r="F183" s="25"/>
      <c r="G183" s="25"/>
      <c r="H183" s="25"/>
      <c r="I183" s="25"/>
      <c r="J183" s="25"/>
      <c r="K183" s="25"/>
      <c r="L183" s="25"/>
      <c r="M183" s="25"/>
      <c r="N183" s="25"/>
      <c r="O183" s="25"/>
      <c r="P183" s="25"/>
      <c r="Q183" s="25"/>
      <c r="R183" s="59">
        <v>1.44</v>
      </c>
      <c r="S183" s="25" t="s">
        <v>130</v>
      </c>
      <c r="T183" s="5"/>
    </row>
    <row r="184" spans="1:20" ht="15.6" x14ac:dyDescent="0.3">
      <c r="A184" s="24"/>
      <c r="B184" s="25" t="s">
        <v>76</v>
      </c>
      <c r="C184" s="25"/>
      <c r="D184" s="25"/>
      <c r="E184" s="25"/>
      <c r="F184" s="25"/>
      <c r="G184" s="25"/>
      <c r="H184" s="25"/>
      <c r="I184" s="25"/>
      <c r="J184" s="25"/>
      <c r="K184" s="25"/>
      <c r="L184" s="25"/>
      <c r="M184" s="25"/>
      <c r="N184" s="25"/>
      <c r="O184" s="25"/>
      <c r="P184" s="25"/>
      <c r="Q184" s="25"/>
      <c r="R184" s="59">
        <f>(R99+R101+R102+R103+R104+R105+R106+R107+R108+R109)/-(R110+R111)</f>
        <v>6.354838709677419</v>
      </c>
      <c r="S184" s="25" t="s">
        <v>130</v>
      </c>
      <c r="T184" s="5"/>
    </row>
    <row r="185" spans="1:20" ht="15.6" x14ac:dyDescent="0.3">
      <c r="A185" s="24"/>
      <c r="B185" s="25" t="s">
        <v>77</v>
      </c>
      <c r="C185" s="25"/>
      <c r="D185" s="25"/>
      <c r="E185" s="25"/>
      <c r="F185" s="25"/>
      <c r="G185" s="25"/>
      <c r="H185" s="25"/>
      <c r="I185" s="25"/>
      <c r="J185" s="25"/>
      <c r="K185" s="25"/>
      <c r="L185" s="25"/>
      <c r="M185" s="25"/>
      <c r="N185" s="25"/>
      <c r="O185" s="25"/>
      <c r="P185" s="25"/>
      <c r="Q185" s="25"/>
      <c r="R185" s="67">
        <v>2.59</v>
      </c>
      <c r="S185" s="25" t="s">
        <v>130</v>
      </c>
      <c r="T185" s="5"/>
    </row>
    <row r="186" spans="1:20" ht="15.6" x14ac:dyDescent="0.3">
      <c r="A186" s="24"/>
      <c r="B186" s="25"/>
      <c r="C186" s="25"/>
      <c r="D186" s="25"/>
      <c r="E186" s="25"/>
      <c r="F186" s="25"/>
      <c r="G186" s="25"/>
      <c r="H186" s="25"/>
      <c r="I186" s="25"/>
      <c r="J186" s="25"/>
      <c r="K186" s="25"/>
      <c r="L186" s="25"/>
      <c r="M186" s="25"/>
      <c r="N186" s="25"/>
      <c r="O186" s="25"/>
      <c r="P186" s="25"/>
      <c r="Q186" s="25"/>
      <c r="R186" s="25"/>
      <c r="S186" s="25"/>
      <c r="T186" s="5"/>
    </row>
    <row r="187" spans="1:20" ht="15.6" x14ac:dyDescent="0.3">
      <c r="A187" s="24"/>
      <c r="B187" s="25"/>
      <c r="C187" s="25"/>
      <c r="D187" s="25"/>
      <c r="E187" s="25"/>
      <c r="F187" s="25"/>
      <c r="G187" s="25"/>
      <c r="H187" s="25"/>
      <c r="I187" s="25"/>
      <c r="J187" s="25"/>
      <c r="K187" s="25"/>
      <c r="L187" s="25"/>
      <c r="M187" s="25"/>
      <c r="N187" s="25"/>
      <c r="O187" s="25"/>
      <c r="P187" s="25"/>
      <c r="Q187" s="25"/>
      <c r="R187" s="25"/>
      <c r="S187" s="25"/>
      <c r="T187" s="5"/>
    </row>
    <row r="188" spans="1:20" ht="15.6" x14ac:dyDescent="0.3">
      <c r="A188" s="6"/>
      <c r="B188" s="8"/>
      <c r="C188" s="8"/>
      <c r="D188" s="8"/>
      <c r="E188" s="8"/>
      <c r="F188" s="8"/>
      <c r="G188" s="8"/>
      <c r="H188" s="8"/>
      <c r="I188" s="8"/>
      <c r="J188" s="8"/>
      <c r="K188" s="8"/>
      <c r="L188" s="8"/>
      <c r="M188" s="8"/>
      <c r="N188" s="8"/>
      <c r="O188" s="8"/>
      <c r="P188" s="8"/>
      <c r="Q188" s="8"/>
      <c r="R188" s="8"/>
      <c r="S188" s="8"/>
      <c r="T188" s="5"/>
    </row>
    <row r="189" spans="1:20" ht="18" thickBot="1" x14ac:dyDescent="0.35">
      <c r="A189" s="102"/>
      <c r="B189" s="103" t="str">
        <f>B132</f>
        <v>PM8 INVESTOR REPORT QUARTER ENDING DECEMBER 2009</v>
      </c>
      <c r="C189" s="148"/>
      <c r="D189" s="148"/>
      <c r="E189" s="148"/>
      <c r="F189" s="148"/>
      <c r="G189" s="148"/>
      <c r="H189" s="148"/>
      <c r="I189" s="148"/>
      <c r="J189" s="148"/>
      <c r="K189" s="148"/>
      <c r="L189" s="148"/>
      <c r="M189" s="148"/>
      <c r="N189" s="148"/>
      <c r="O189" s="148"/>
      <c r="P189" s="148"/>
      <c r="Q189" s="148"/>
      <c r="R189" s="148"/>
      <c r="S189" s="149"/>
      <c r="T189" s="5"/>
    </row>
    <row r="190" spans="1:20" ht="15.6" x14ac:dyDescent="0.3">
      <c r="A190" s="68"/>
      <c r="B190" s="60" t="s">
        <v>78</v>
      </c>
      <c r="C190" s="69"/>
      <c r="D190" s="69"/>
      <c r="E190" s="69"/>
      <c r="F190" s="69"/>
      <c r="G190" s="70"/>
      <c r="H190" s="70"/>
      <c r="I190" s="70"/>
      <c r="J190" s="70"/>
      <c r="K190" s="70"/>
      <c r="L190" s="70"/>
      <c r="M190" s="70"/>
      <c r="N190" s="70"/>
      <c r="O190" s="70"/>
      <c r="P190" s="71">
        <v>40178</v>
      </c>
      <c r="Q190" s="4"/>
      <c r="R190" s="4"/>
      <c r="S190" s="4"/>
      <c r="T190" s="5"/>
    </row>
    <row r="191" spans="1:20" ht="15.6" x14ac:dyDescent="0.3">
      <c r="A191" s="72"/>
      <c r="B191" s="73"/>
      <c r="C191" s="74"/>
      <c r="D191" s="74"/>
      <c r="E191" s="74"/>
      <c r="F191" s="74"/>
      <c r="G191" s="75"/>
      <c r="H191" s="75"/>
      <c r="I191" s="75"/>
      <c r="J191" s="75"/>
      <c r="K191" s="75"/>
      <c r="L191" s="75"/>
      <c r="M191" s="75"/>
      <c r="N191" s="75"/>
      <c r="O191" s="75"/>
      <c r="P191" s="75"/>
      <c r="Q191" s="8"/>
      <c r="R191" s="8"/>
      <c r="S191" s="8"/>
      <c r="T191" s="5"/>
    </row>
    <row r="192" spans="1:20" ht="15.6" x14ac:dyDescent="0.3">
      <c r="A192" s="76"/>
      <c r="B192" s="77" t="s">
        <v>79</v>
      </c>
      <c r="C192" s="78"/>
      <c r="D192" s="78"/>
      <c r="E192" s="78"/>
      <c r="F192" s="78"/>
      <c r="G192" s="64"/>
      <c r="H192" s="64"/>
      <c r="I192" s="64"/>
      <c r="J192" s="64"/>
      <c r="K192" s="64"/>
      <c r="L192" s="64"/>
      <c r="M192" s="64"/>
      <c r="N192" s="64"/>
      <c r="O192" s="64"/>
      <c r="P192" s="79">
        <v>6.2039999999999998E-2</v>
      </c>
      <c r="Q192" s="25"/>
      <c r="R192" s="25"/>
      <c r="S192" s="25"/>
      <c r="T192" s="5"/>
    </row>
    <row r="193" spans="1:20" ht="15.6" x14ac:dyDescent="0.3">
      <c r="A193" s="76"/>
      <c r="B193" s="77" t="s">
        <v>178</v>
      </c>
      <c r="C193" s="78"/>
      <c r="D193" s="78"/>
      <c r="E193" s="78"/>
      <c r="F193" s="78"/>
      <c r="G193" s="64"/>
      <c r="H193" s="64"/>
      <c r="I193" s="64"/>
      <c r="J193" s="64"/>
      <c r="K193" s="64"/>
      <c r="L193" s="64"/>
      <c r="M193" s="64"/>
      <c r="N193" s="64"/>
      <c r="O193" s="64"/>
      <c r="P193" s="39">
        <v>5.1733455000000005E-2</v>
      </c>
      <c r="Q193" s="25"/>
      <c r="R193" s="25"/>
      <c r="S193" s="25"/>
      <c r="T193" s="5"/>
    </row>
    <row r="194" spans="1:20" ht="15.6" x14ac:dyDescent="0.3">
      <c r="A194" s="76"/>
      <c r="B194" s="77" t="s">
        <v>80</v>
      </c>
      <c r="C194" s="78"/>
      <c r="D194" s="78"/>
      <c r="E194" s="78"/>
      <c r="F194" s="78"/>
      <c r="G194" s="64"/>
      <c r="H194" s="64"/>
      <c r="I194" s="64"/>
      <c r="J194" s="64"/>
      <c r="K194" s="64"/>
      <c r="L194" s="64"/>
      <c r="M194" s="64"/>
      <c r="N194" s="64"/>
      <c r="O194" s="64"/>
      <c r="P194" s="79">
        <f>P192-P193</f>
        <v>1.0306544999999993E-2</v>
      </c>
      <c r="Q194" s="25"/>
      <c r="R194" s="25"/>
      <c r="S194" s="25"/>
      <c r="T194" s="5"/>
    </row>
    <row r="195" spans="1:20" ht="15.6" x14ac:dyDescent="0.3">
      <c r="A195" s="76"/>
      <c r="B195" s="77" t="s">
        <v>81</v>
      </c>
      <c r="C195" s="78"/>
      <c r="D195" s="78"/>
      <c r="E195" s="78"/>
      <c r="F195" s="78"/>
      <c r="G195" s="64"/>
      <c r="H195" s="64"/>
      <c r="I195" s="64"/>
      <c r="J195" s="64"/>
      <c r="K195" s="64"/>
      <c r="L195" s="64"/>
      <c r="M195" s="64"/>
      <c r="N195" s="64"/>
      <c r="O195" s="64"/>
      <c r="P195" s="79">
        <v>3.056E-2</v>
      </c>
      <c r="Q195" s="25"/>
      <c r="R195" s="25"/>
      <c r="S195" s="25"/>
      <c r="T195" s="5"/>
    </row>
    <row r="196" spans="1:20" ht="15.6" x14ac:dyDescent="0.3">
      <c r="A196" s="76"/>
      <c r="B196" s="77" t="s">
        <v>261</v>
      </c>
      <c r="C196" s="78"/>
      <c r="D196" s="78"/>
      <c r="E196" s="78"/>
      <c r="F196" s="78"/>
      <c r="G196" s="64"/>
      <c r="H196" s="64"/>
      <c r="I196" s="64"/>
      <c r="J196" s="64"/>
      <c r="K196" s="64"/>
      <c r="L196" s="64"/>
      <c r="M196" s="64"/>
      <c r="N196" s="64"/>
      <c r="O196" s="64"/>
      <c r="P196" s="79">
        <f>+R42</f>
        <v>8.7037704996062639E-3</v>
      </c>
      <c r="Q196" s="25"/>
      <c r="R196" s="25"/>
      <c r="S196" s="25"/>
      <c r="T196" s="5"/>
    </row>
    <row r="197" spans="1:20" ht="15.6" x14ac:dyDescent="0.3">
      <c r="A197" s="76"/>
      <c r="B197" s="77" t="s">
        <v>82</v>
      </c>
      <c r="C197" s="78"/>
      <c r="D197" s="78"/>
      <c r="E197" s="78"/>
      <c r="F197" s="78"/>
      <c r="G197" s="64"/>
      <c r="H197" s="64"/>
      <c r="I197" s="64"/>
      <c r="J197" s="64"/>
      <c r="K197" s="64"/>
      <c r="L197" s="64"/>
      <c r="M197" s="64"/>
      <c r="N197" s="64"/>
      <c r="O197" s="64"/>
      <c r="P197" s="79">
        <f>P195-P196</f>
        <v>2.1856229500393738E-2</v>
      </c>
      <c r="Q197" s="25"/>
      <c r="R197" s="25"/>
      <c r="S197" s="25"/>
      <c r="T197" s="5"/>
    </row>
    <row r="198" spans="1:20" ht="15.6" x14ac:dyDescent="0.3">
      <c r="A198" s="76"/>
      <c r="B198" s="77" t="s">
        <v>267</v>
      </c>
      <c r="C198" s="78"/>
      <c r="D198" s="78"/>
      <c r="E198" s="78"/>
      <c r="F198" s="78"/>
      <c r="G198" s="64"/>
      <c r="H198" s="64"/>
      <c r="I198" s="64"/>
      <c r="J198" s="64"/>
      <c r="K198" s="64"/>
      <c r="L198" s="64"/>
      <c r="M198" s="64"/>
      <c r="N198" s="64"/>
      <c r="O198" s="64"/>
      <c r="P198" s="79">
        <f>+R99/J70</f>
        <v>8.7277337147315046E-3</v>
      </c>
      <c r="Q198" s="25"/>
      <c r="R198" s="25"/>
      <c r="S198" s="25"/>
      <c r="T198" s="5"/>
    </row>
    <row r="199" spans="1:20" ht="15.6" x14ac:dyDescent="0.3">
      <c r="A199" s="76"/>
      <c r="B199" s="77" t="s">
        <v>208</v>
      </c>
      <c r="C199" s="78"/>
      <c r="D199" s="78"/>
      <c r="E199" s="78"/>
      <c r="F199" s="78"/>
      <c r="G199" s="64"/>
      <c r="H199" s="64"/>
      <c r="I199" s="64"/>
      <c r="J199" s="64"/>
      <c r="K199" s="64"/>
      <c r="L199" s="64"/>
      <c r="M199" s="64"/>
      <c r="N199" s="64"/>
      <c r="O199" s="64"/>
      <c r="P199" s="132">
        <v>12875</v>
      </c>
      <c r="Q199" s="25"/>
      <c r="R199" s="25"/>
      <c r="S199" s="25"/>
      <c r="T199" s="5"/>
    </row>
    <row r="200" spans="1:20" ht="15.6" x14ac:dyDescent="0.3">
      <c r="A200" s="76"/>
      <c r="B200" s="77" t="s">
        <v>209</v>
      </c>
      <c r="C200" s="78"/>
      <c r="D200" s="78"/>
      <c r="E200" s="78"/>
      <c r="F200" s="78"/>
      <c r="G200" s="64"/>
      <c r="H200" s="64"/>
      <c r="I200" s="64"/>
      <c r="J200" s="64"/>
      <c r="K200" s="64"/>
      <c r="L200" s="64"/>
      <c r="M200" s="64"/>
      <c r="N200" s="64"/>
      <c r="O200" s="64"/>
      <c r="P200" s="132">
        <v>16163</v>
      </c>
      <c r="Q200" s="25"/>
      <c r="R200" s="25"/>
      <c r="S200" s="25"/>
      <c r="T200" s="5"/>
    </row>
    <row r="201" spans="1:20" ht="15.6" x14ac:dyDescent="0.3">
      <c r="A201" s="76"/>
      <c r="B201" s="77" t="s">
        <v>83</v>
      </c>
      <c r="C201" s="78"/>
      <c r="D201" s="78"/>
      <c r="E201" s="78"/>
      <c r="F201" s="78"/>
      <c r="G201" s="64"/>
      <c r="H201" s="64"/>
      <c r="I201" s="64"/>
      <c r="J201" s="64"/>
      <c r="K201" s="64"/>
      <c r="L201" s="64"/>
      <c r="M201" s="64"/>
      <c r="N201" s="64"/>
      <c r="O201" s="64"/>
      <c r="P201" s="136">
        <v>19.739999999999998</v>
      </c>
      <c r="Q201" s="25" t="s">
        <v>125</v>
      </c>
      <c r="R201" s="25"/>
      <c r="S201" s="25"/>
      <c r="T201" s="5"/>
    </row>
    <row r="202" spans="1:20" ht="15.6" x14ac:dyDescent="0.3">
      <c r="A202" s="76"/>
      <c r="B202" s="77" t="s">
        <v>84</v>
      </c>
      <c r="C202" s="78"/>
      <c r="D202" s="78"/>
      <c r="E202" s="78"/>
      <c r="F202" s="78"/>
      <c r="G202" s="64"/>
      <c r="H202" s="64"/>
      <c r="I202" s="64"/>
      <c r="J202" s="64"/>
      <c r="K202" s="64"/>
      <c r="L202" s="64"/>
      <c r="M202" s="64"/>
      <c r="N202" s="64"/>
      <c r="O202" s="64"/>
      <c r="P202" s="136">
        <v>15.92</v>
      </c>
      <c r="Q202" s="25" t="s">
        <v>125</v>
      </c>
      <c r="R202" s="25"/>
      <c r="S202" s="25"/>
      <c r="T202" s="5"/>
    </row>
    <row r="203" spans="1:20" ht="15.6" x14ac:dyDescent="0.3">
      <c r="A203" s="76"/>
      <c r="B203" s="77" t="s">
        <v>85</v>
      </c>
      <c r="C203" s="78"/>
      <c r="D203" s="78"/>
      <c r="E203" s="78"/>
      <c r="F203" s="78"/>
      <c r="G203" s="64"/>
      <c r="H203" s="64"/>
      <c r="I203" s="64"/>
      <c r="J203" s="64"/>
      <c r="K203" s="64"/>
      <c r="L203" s="64"/>
      <c r="M203" s="64"/>
      <c r="N203" s="64"/>
      <c r="O203" s="64"/>
      <c r="P203" s="79">
        <f>+L67/J67</f>
        <v>1.0980772981406839E-2</v>
      </c>
      <c r="Q203" s="25"/>
      <c r="R203" s="25"/>
      <c r="S203" s="25"/>
      <c r="T203" s="5"/>
    </row>
    <row r="204" spans="1:20" ht="15.6" x14ac:dyDescent="0.3">
      <c r="A204" s="76"/>
      <c r="B204" s="77" t="s">
        <v>86</v>
      </c>
      <c r="C204" s="78"/>
      <c r="D204" s="78"/>
      <c r="E204" s="78"/>
      <c r="F204" s="78"/>
      <c r="G204" s="64"/>
      <c r="H204" s="64"/>
      <c r="I204" s="64"/>
      <c r="J204" s="64"/>
      <c r="K204" s="64"/>
      <c r="L204" s="64"/>
      <c r="M204" s="64"/>
      <c r="N204" s="64"/>
      <c r="O204" s="64"/>
      <c r="P204" s="79">
        <v>0.15110000000000001</v>
      </c>
      <c r="Q204" s="25"/>
      <c r="R204" s="25"/>
      <c r="S204" s="25"/>
      <c r="T204" s="5"/>
    </row>
    <row r="205" spans="1:20" ht="15.6" x14ac:dyDescent="0.3">
      <c r="A205" s="76"/>
      <c r="B205" s="77"/>
      <c r="C205" s="77"/>
      <c r="D205" s="77"/>
      <c r="E205" s="77"/>
      <c r="F205" s="77"/>
      <c r="G205" s="25"/>
      <c r="H205" s="25"/>
      <c r="I205" s="25"/>
      <c r="J205" s="25"/>
      <c r="K205" s="25"/>
      <c r="L205" s="25"/>
      <c r="M205" s="25"/>
      <c r="N205" s="25"/>
      <c r="O205" s="25"/>
      <c r="P205" s="61"/>
      <c r="Q205" s="25"/>
      <c r="R205" s="80"/>
      <c r="S205" s="25"/>
      <c r="T205" s="5"/>
    </row>
    <row r="206" spans="1:20" ht="15.6" x14ac:dyDescent="0.3">
      <c r="A206" s="81"/>
      <c r="B206" s="14" t="s">
        <v>87</v>
      </c>
      <c r="C206" s="82"/>
      <c r="D206" s="82"/>
      <c r="E206" s="82"/>
      <c r="F206" s="83"/>
      <c r="G206" s="82"/>
      <c r="H206" s="17"/>
      <c r="I206" s="17"/>
      <c r="J206" s="17"/>
      <c r="K206" s="17"/>
      <c r="L206" s="17"/>
      <c r="M206" s="17"/>
      <c r="N206" s="17"/>
      <c r="O206" s="17" t="s">
        <v>113</v>
      </c>
      <c r="P206" s="84" t="s">
        <v>121</v>
      </c>
      <c r="Q206" s="8"/>
      <c r="R206" s="8"/>
      <c r="S206" s="8"/>
      <c r="T206" s="5"/>
    </row>
    <row r="207" spans="1:20" ht="15.6" x14ac:dyDescent="0.3">
      <c r="A207" s="85"/>
      <c r="B207" s="77" t="s">
        <v>88</v>
      </c>
      <c r="C207" s="54"/>
      <c r="D207" s="54"/>
      <c r="E207" s="54"/>
      <c r="F207" s="25"/>
      <c r="G207" s="25"/>
      <c r="H207" s="30"/>
      <c r="I207" s="30"/>
      <c r="J207" s="30"/>
      <c r="K207" s="30"/>
      <c r="L207" s="30"/>
      <c r="M207" s="30"/>
      <c r="N207" s="30"/>
      <c r="O207" s="30">
        <v>3</v>
      </c>
      <c r="P207" s="86">
        <v>1196</v>
      </c>
      <c r="Q207" s="25"/>
      <c r="R207" s="80"/>
      <c r="S207" s="87"/>
      <c r="T207" s="5"/>
    </row>
    <row r="208" spans="1:20" ht="15.6" x14ac:dyDescent="0.3">
      <c r="A208" s="85"/>
      <c r="B208" s="77" t="s">
        <v>169</v>
      </c>
      <c r="C208" s="54"/>
      <c r="D208" s="54"/>
      <c r="E208" s="54"/>
      <c r="F208" s="25"/>
      <c r="G208" s="25"/>
      <c r="H208" s="30"/>
      <c r="I208" s="30"/>
      <c r="J208" s="30"/>
      <c r="K208" s="30"/>
      <c r="L208" s="30"/>
      <c r="M208" s="30"/>
      <c r="N208" s="30"/>
      <c r="O208" s="163">
        <f>+N246</f>
        <v>105</v>
      </c>
      <c r="P208" s="86">
        <f>+P246</f>
        <v>13904</v>
      </c>
      <c r="Q208" s="25"/>
      <c r="R208" s="80"/>
      <c r="S208" s="87"/>
      <c r="T208" s="5"/>
    </row>
    <row r="209" spans="1:20" ht="15.6" x14ac:dyDescent="0.3">
      <c r="A209" s="85"/>
      <c r="B209" s="77" t="s">
        <v>89</v>
      </c>
      <c r="C209" s="54"/>
      <c r="D209" s="54"/>
      <c r="E209" s="54"/>
      <c r="F209" s="25"/>
      <c r="G209" s="25"/>
      <c r="H209" s="30"/>
      <c r="I209" s="30"/>
      <c r="J209" s="30"/>
      <c r="K209" s="30"/>
      <c r="L209" s="30"/>
      <c r="M209" s="30"/>
      <c r="N209" s="30"/>
      <c r="O209" s="163">
        <f>+N258</f>
        <v>2</v>
      </c>
      <c r="P209" s="176">
        <f>+P258</f>
        <v>53</v>
      </c>
      <c r="Q209" s="25"/>
      <c r="R209" s="80"/>
      <c r="S209" s="87"/>
      <c r="T209" s="5"/>
    </row>
    <row r="210" spans="1:20" ht="15.6" x14ac:dyDescent="0.3">
      <c r="A210" s="85"/>
      <c r="B210" s="123" t="s">
        <v>90</v>
      </c>
      <c r="C210" s="54"/>
      <c r="D210" s="54"/>
      <c r="E210" s="54"/>
      <c r="F210" s="25"/>
      <c r="G210" s="25"/>
      <c r="H210" s="25"/>
      <c r="I210" s="25"/>
      <c r="J210" s="25"/>
      <c r="K210" s="25"/>
      <c r="L210" s="25"/>
      <c r="M210" s="25"/>
      <c r="N210" s="25"/>
      <c r="O210" s="25"/>
      <c r="P210" s="86">
        <v>0</v>
      </c>
      <c r="Q210" s="25"/>
      <c r="R210" s="80"/>
      <c r="S210" s="87"/>
      <c r="T210" s="5"/>
    </row>
    <row r="211" spans="1:20" ht="15.6" x14ac:dyDescent="0.3">
      <c r="A211" s="85"/>
      <c r="B211" s="123" t="s">
        <v>91</v>
      </c>
      <c r="C211" s="54"/>
      <c r="D211" s="54"/>
      <c r="E211" s="54"/>
      <c r="F211" s="25"/>
      <c r="G211" s="25"/>
      <c r="H211" s="25"/>
      <c r="I211" s="25"/>
      <c r="J211" s="25"/>
      <c r="K211" s="25"/>
      <c r="L211" s="25"/>
      <c r="M211" s="25"/>
      <c r="N211" s="25"/>
      <c r="O211" s="25"/>
      <c r="P211" s="62" t="s">
        <v>122</v>
      </c>
      <c r="Q211" s="25"/>
      <c r="R211" s="80"/>
      <c r="S211" s="87"/>
      <c r="T211" s="5"/>
    </row>
    <row r="212" spans="1:20" ht="15.6" x14ac:dyDescent="0.3">
      <c r="A212" s="88"/>
      <c r="B212" s="123" t="s">
        <v>92</v>
      </c>
      <c r="C212" s="77"/>
      <c r="D212" s="77"/>
      <c r="E212" s="77"/>
      <c r="F212" s="77"/>
      <c r="G212" s="25"/>
      <c r="H212" s="25"/>
      <c r="I212" s="25"/>
      <c r="J212" s="25"/>
      <c r="K212" s="25"/>
      <c r="L212" s="25"/>
      <c r="M212" s="25"/>
      <c r="N212" s="25"/>
      <c r="O212" s="25"/>
      <c r="P212" s="86"/>
      <c r="Q212" s="25"/>
      <c r="R212" s="80"/>
      <c r="S212" s="89"/>
      <c r="T212" s="5"/>
    </row>
    <row r="213" spans="1:20" ht="15.6" x14ac:dyDescent="0.3">
      <c r="A213" s="88"/>
      <c r="B213" s="134" t="s">
        <v>93</v>
      </c>
      <c r="C213" s="77"/>
      <c r="D213" s="77"/>
      <c r="E213" s="77"/>
      <c r="F213" s="77"/>
      <c r="G213" s="25"/>
      <c r="H213" s="25"/>
      <c r="I213" s="25"/>
      <c r="J213" s="25"/>
      <c r="K213" s="25"/>
      <c r="L213" s="25"/>
      <c r="M213" s="25"/>
      <c r="N213" s="25"/>
      <c r="O213" s="30"/>
      <c r="P213" s="86">
        <f>R160</f>
        <v>606</v>
      </c>
      <c r="Q213" s="25"/>
      <c r="R213" s="80"/>
      <c r="S213" s="89"/>
      <c r="T213" s="5"/>
    </row>
    <row r="214" spans="1:20" ht="15.6" x14ac:dyDescent="0.3">
      <c r="A214" s="85"/>
      <c r="B214" s="77" t="s">
        <v>94</v>
      </c>
      <c r="C214" s="54"/>
      <c r="D214" s="54"/>
      <c r="E214" s="54"/>
      <c r="F214" s="54"/>
      <c r="G214" s="25"/>
      <c r="H214" s="25"/>
      <c r="I214" s="25"/>
      <c r="J214" s="25"/>
      <c r="K214" s="25"/>
      <c r="L214" s="25"/>
      <c r="M214" s="25"/>
      <c r="N214" s="25"/>
      <c r="O214" s="30"/>
      <c r="P214" s="86">
        <f>'Sept 09'!P213+P213</f>
        <v>1987</v>
      </c>
      <c r="Q214" s="25"/>
      <c r="R214" s="80"/>
      <c r="S214" s="89"/>
      <c r="T214" s="5"/>
    </row>
    <row r="215" spans="1:20" ht="15.6" x14ac:dyDescent="0.3">
      <c r="A215" s="88" t="s">
        <v>255</v>
      </c>
      <c r="B215" s="123" t="s">
        <v>256</v>
      </c>
      <c r="C215" s="77"/>
      <c r="D215" s="77"/>
      <c r="E215" s="77"/>
      <c r="F215" s="77"/>
      <c r="G215" s="25"/>
      <c r="H215" s="25"/>
      <c r="I215" s="25"/>
      <c r="J215" s="25"/>
      <c r="K215" s="25"/>
      <c r="L215" s="25"/>
      <c r="M215" s="25"/>
      <c r="N215" s="25"/>
      <c r="O215" s="25"/>
      <c r="P215" s="86"/>
      <c r="Q215" s="25"/>
      <c r="R215" s="80"/>
      <c r="S215" s="89"/>
      <c r="T215" s="5"/>
    </row>
    <row r="216" spans="1:20" ht="15.6" x14ac:dyDescent="0.3">
      <c r="A216" s="88"/>
      <c r="B216" s="77" t="s">
        <v>283</v>
      </c>
      <c r="C216" s="77"/>
      <c r="D216" s="77"/>
      <c r="E216" s="77"/>
      <c r="F216" s="77"/>
      <c r="G216" s="25"/>
      <c r="H216" s="25"/>
      <c r="I216" s="25"/>
      <c r="J216" s="25"/>
      <c r="K216" s="25"/>
      <c r="L216" s="25"/>
      <c r="M216" s="25"/>
      <c r="N216" s="25"/>
      <c r="O216" s="30">
        <v>1</v>
      </c>
      <c r="P216" s="176">
        <v>24</v>
      </c>
      <c r="Q216" s="25"/>
      <c r="R216" s="80"/>
      <c r="S216" s="89"/>
      <c r="T216" s="5"/>
    </row>
    <row r="217" spans="1:20" ht="15.6" x14ac:dyDescent="0.3">
      <c r="A217" s="85"/>
      <c r="B217" s="77" t="s">
        <v>97</v>
      </c>
      <c r="C217" s="90"/>
      <c r="D217" s="90"/>
      <c r="E217" s="90"/>
      <c r="F217" s="91"/>
      <c r="G217" s="25"/>
      <c r="H217" s="25"/>
      <c r="I217" s="25"/>
      <c r="J217" s="25"/>
      <c r="K217" s="25"/>
      <c r="L217" s="25"/>
      <c r="M217" s="25"/>
      <c r="N217" s="25"/>
      <c r="O217" s="30"/>
      <c r="P217" s="179">
        <v>15.33</v>
      </c>
      <c r="Q217" s="25"/>
      <c r="R217" s="80"/>
      <c r="S217" s="89"/>
      <c r="T217" s="5"/>
    </row>
    <row r="218" spans="1:20" ht="15.6" x14ac:dyDescent="0.3">
      <c r="A218" s="85"/>
      <c r="B218" s="77" t="s">
        <v>98</v>
      </c>
      <c r="C218" s="90"/>
      <c r="D218" s="90"/>
      <c r="E218" s="90"/>
      <c r="F218" s="91"/>
      <c r="G218" s="25"/>
      <c r="H218" s="25"/>
      <c r="I218" s="25"/>
      <c r="J218" s="25"/>
      <c r="K218" s="25"/>
      <c r="L218" s="25"/>
      <c r="M218" s="25"/>
      <c r="N218" s="25"/>
      <c r="O218" s="30"/>
      <c r="P218" s="179">
        <v>3.78</v>
      </c>
      <c r="Q218" s="25"/>
      <c r="R218" s="80"/>
      <c r="S218" s="89"/>
      <c r="T218" s="5"/>
    </row>
    <row r="219" spans="1:20" ht="15.6" x14ac:dyDescent="0.3">
      <c r="A219" s="85"/>
      <c r="B219" s="123" t="s">
        <v>257</v>
      </c>
      <c r="C219" s="90"/>
      <c r="D219" s="90"/>
      <c r="E219" s="90"/>
      <c r="F219" s="91"/>
      <c r="G219" s="25"/>
      <c r="H219" s="25"/>
      <c r="I219" s="25"/>
      <c r="J219" s="25"/>
      <c r="K219" s="25"/>
      <c r="L219" s="25"/>
      <c r="M219" s="25"/>
      <c r="N219" s="25"/>
      <c r="O219" s="174"/>
      <c r="P219" s="175"/>
      <c r="Q219" s="25"/>
      <c r="R219" s="80"/>
      <c r="S219" s="89"/>
      <c r="T219" s="5"/>
    </row>
    <row r="220" spans="1:20" ht="15.6" x14ac:dyDescent="0.3">
      <c r="A220" s="85"/>
      <c r="B220" s="77" t="s">
        <v>283</v>
      </c>
      <c r="C220" s="90"/>
      <c r="D220" s="90"/>
      <c r="E220" s="90"/>
      <c r="F220" s="91"/>
      <c r="G220" s="25"/>
      <c r="H220" s="25"/>
      <c r="I220" s="25"/>
      <c r="J220" s="25"/>
      <c r="K220" s="25"/>
      <c r="L220" s="25"/>
      <c r="M220" s="25"/>
      <c r="N220" s="25"/>
      <c r="O220" s="30">
        <v>9</v>
      </c>
      <c r="P220" s="176">
        <v>1517</v>
      </c>
      <c r="Q220" s="25"/>
      <c r="R220" s="80"/>
      <c r="S220" s="89"/>
      <c r="T220" s="5"/>
    </row>
    <row r="221" spans="1:20" ht="15.6" x14ac:dyDescent="0.3">
      <c r="A221" s="85"/>
      <c r="B221" s="77" t="s">
        <v>258</v>
      </c>
      <c r="C221" s="90"/>
      <c r="D221" s="90"/>
      <c r="E221" s="90"/>
      <c r="F221" s="91"/>
      <c r="G221" s="25"/>
      <c r="H221" s="25"/>
      <c r="I221" s="25"/>
      <c r="J221" s="25"/>
      <c r="K221" s="25"/>
      <c r="L221" s="25"/>
      <c r="M221" s="25"/>
      <c r="N221" s="25"/>
      <c r="O221" s="25"/>
      <c r="P221" s="177">
        <v>23.92</v>
      </c>
      <c r="Q221" s="25"/>
      <c r="R221" s="80"/>
      <c r="S221" s="89"/>
      <c r="T221" s="5"/>
    </row>
    <row r="222" spans="1:20" ht="17.399999999999999" x14ac:dyDescent="0.3">
      <c r="A222" s="85"/>
      <c r="B222" s="166" t="s">
        <v>247</v>
      </c>
      <c r="C222" s="90"/>
      <c r="D222" s="90"/>
      <c r="E222" s="90"/>
      <c r="F222" s="91"/>
      <c r="G222" s="25"/>
      <c r="H222" s="25"/>
      <c r="I222" s="25"/>
      <c r="J222" s="168" t="s">
        <v>246</v>
      </c>
      <c r="K222" s="25"/>
      <c r="L222" s="25"/>
      <c r="M222" s="25"/>
      <c r="N222" s="25"/>
      <c r="O222" s="25"/>
      <c r="P222" s="92"/>
      <c r="Q222" s="25"/>
      <c r="R222" s="80"/>
      <c r="S222" s="89"/>
      <c r="T222" s="5"/>
    </row>
    <row r="223" spans="1:20" ht="15.6" x14ac:dyDescent="0.3">
      <c r="A223" s="85"/>
      <c r="B223" s="77"/>
      <c r="C223" s="90"/>
      <c r="D223" s="90"/>
      <c r="E223" s="90"/>
      <c r="F223" s="91"/>
      <c r="G223" s="25"/>
      <c r="H223" s="25"/>
      <c r="I223" s="25"/>
      <c r="J223" s="25"/>
      <c r="K223" s="25"/>
      <c r="L223" s="25"/>
      <c r="M223" s="25"/>
      <c r="N223" s="25"/>
      <c r="O223" s="25"/>
      <c r="P223" s="92"/>
      <c r="Q223" s="25"/>
      <c r="R223" s="80"/>
      <c r="S223" s="89"/>
      <c r="T223" s="5"/>
    </row>
    <row r="224" spans="1:20" ht="15.6" x14ac:dyDescent="0.3">
      <c r="A224" s="6"/>
      <c r="B224" s="14" t="s">
        <v>236</v>
      </c>
      <c r="C224" s="82"/>
      <c r="D224" s="82"/>
      <c r="E224" s="82"/>
      <c r="F224" s="83"/>
      <c r="G224" s="82"/>
      <c r="H224" s="17"/>
      <c r="I224" s="17"/>
      <c r="J224" s="17"/>
      <c r="K224" s="17"/>
      <c r="L224" s="17"/>
      <c r="M224" s="17"/>
      <c r="N224" s="84" t="s">
        <v>113</v>
      </c>
      <c r="O224" s="17" t="s">
        <v>114</v>
      </c>
      <c r="P224" s="84" t="s">
        <v>123</v>
      </c>
      <c r="Q224" s="17" t="s">
        <v>114</v>
      </c>
      <c r="R224" s="8"/>
      <c r="S224" s="93"/>
      <c r="T224" s="5"/>
    </row>
    <row r="225" spans="1:21" ht="15.6" x14ac:dyDescent="0.3">
      <c r="A225" s="24"/>
      <c r="B225" s="54" t="s">
        <v>99</v>
      </c>
      <c r="C225" s="94"/>
      <c r="D225" s="94"/>
      <c r="E225" s="94"/>
      <c r="F225" s="25"/>
      <c r="G225" s="94"/>
      <c r="H225" s="94"/>
      <c r="I225" s="94"/>
      <c r="J225" s="94"/>
      <c r="K225" s="94"/>
      <c r="L225" s="94"/>
      <c r="M225" s="94"/>
      <c r="N225" s="54">
        <v>3959</v>
      </c>
      <c r="O225" s="95">
        <f t="shared" ref="O225:O232" si="1">N225/$N$234</f>
        <v>0.97536338999753636</v>
      </c>
      <c r="P225" s="53">
        <v>459335</v>
      </c>
      <c r="Q225" s="135">
        <f t="shared" ref="Q225:Q232" si="2">P225/$P$234</f>
        <v>0.96915318964880637</v>
      </c>
      <c r="R225" s="80"/>
      <c r="S225" s="89"/>
      <c r="T225" s="5"/>
    </row>
    <row r="226" spans="1:21" ht="15.6" x14ac:dyDescent="0.3">
      <c r="A226" s="24"/>
      <c r="B226" s="54" t="s">
        <v>100</v>
      </c>
      <c r="C226" s="94"/>
      <c r="D226" s="94"/>
      <c r="E226" s="94"/>
      <c r="F226" s="25"/>
      <c r="G226" s="95"/>
      <c r="H226" s="94"/>
      <c r="I226" s="94"/>
      <c r="J226" s="94"/>
      <c r="K226" s="94"/>
      <c r="L226" s="94"/>
      <c r="M226" s="94"/>
      <c r="N226" s="54">
        <v>75</v>
      </c>
      <c r="O226" s="95">
        <f t="shared" si="1"/>
        <v>1.8477457501847747E-2</v>
      </c>
      <c r="P226" s="53">
        <v>10359</v>
      </c>
      <c r="Q226" s="135">
        <f t="shared" si="2"/>
        <v>2.1856505364433333E-2</v>
      </c>
      <c r="R226" s="80"/>
      <c r="S226" s="89"/>
      <c r="T226" s="5"/>
      <c r="U226" s="110"/>
    </row>
    <row r="227" spans="1:21" ht="15.6" x14ac:dyDescent="0.3">
      <c r="A227" s="24"/>
      <c r="B227" s="54" t="s">
        <v>101</v>
      </c>
      <c r="C227" s="94"/>
      <c r="D227" s="94"/>
      <c r="E227" s="94"/>
      <c r="F227" s="25"/>
      <c r="G227" s="95"/>
      <c r="H227" s="94"/>
      <c r="I227" s="94"/>
      <c r="J227" s="94"/>
      <c r="K227" s="94"/>
      <c r="L227" s="94"/>
      <c r="M227" s="94"/>
      <c r="N227" s="54">
        <v>9</v>
      </c>
      <c r="O227" s="95">
        <f t="shared" si="1"/>
        <v>2.2172949002217295E-3</v>
      </c>
      <c r="P227" s="53">
        <v>2032</v>
      </c>
      <c r="Q227" s="135">
        <f t="shared" si="2"/>
        <v>4.2873268559251408E-3</v>
      </c>
      <c r="R227" s="80"/>
      <c r="S227" s="89"/>
      <c r="T227" s="5"/>
    </row>
    <row r="228" spans="1:21" ht="15.6" x14ac:dyDescent="0.3">
      <c r="A228" s="24"/>
      <c r="B228" s="54" t="s">
        <v>210</v>
      </c>
      <c r="C228" s="94"/>
      <c r="D228" s="94"/>
      <c r="E228" s="94"/>
      <c r="F228" s="25"/>
      <c r="G228" s="95"/>
      <c r="H228" s="94"/>
      <c r="I228" s="94"/>
      <c r="J228" s="94"/>
      <c r="K228" s="94"/>
      <c r="L228" s="94"/>
      <c r="M228" s="94"/>
      <c r="N228" s="54">
        <v>5</v>
      </c>
      <c r="O228" s="95">
        <f t="shared" si="1"/>
        <v>1.231830500123183E-3</v>
      </c>
      <c r="P228" s="53">
        <v>885</v>
      </c>
      <c r="Q228" s="135">
        <f t="shared" si="2"/>
        <v>1.8672658796721209E-3</v>
      </c>
      <c r="R228" s="80"/>
      <c r="S228" s="89"/>
      <c r="T228" s="5"/>
      <c r="U228" s="110"/>
    </row>
    <row r="229" spans="1:21" ht="15.6" x14ac:dyDescent="0.3">
      <c r="A229" s="24"/>
      <c r="B229" s="54" t="s">
        <v>211</v>
      </c>
      <c r="C229" s="94"/>
      <c r="D229" s="94"/>
      <c r="E229" s="94"/>
      <c r="F229" s="25"/>
      <c r="G229" s="95"/>
      <c r="H229" s="94"/>
      <c r="I229" s="94"/>
      <c r="J229" s="94"/>
      <c r="K229" s="94"/>
      <c r="L229" s="94"/>
      <c r="M229" s="94"/>
      <c r="N229" s="54">
        <v>0</v>
      </c>
      <c r="O229" s="95">
        <f t="shared" si="1"/>
        <v>0</v>
      </c>
      <c r="P229" s="53">
        <v>0</v>
      </c>
      <c r="Q229" s="135">
        <f t="shared" si="2"/>
        <v>0</v>
      </c>
      <c r="R229" s="80"/>
      <c r="S229" s="89"/>
      <c r="T229" s="5"/>
    </row>
    <row r="230" spans="1:21" ht="15.6" x14ac:dyDescent="0.3">
      <c r="A230" s="24"/>
      <c r="B230" s="54" t="s">
        <v>212</v>
      </c>
      <c r="C230" s="94"/>
      <c r="D230" s="94"/>
      <c r="E230" s="94"/>
      <c r="F230" s="25"/>
      <c r="G230" s="95"/>
      <c r="H230" s="94"/>
      <c r="I230" s="94"/>
      <c r="J230" s="94"/>
      <c r="K230" s="94"/>
      <c r="L230" s="94"/>
      <c r="M230" s="94"/>
      <c r="N230" s="54">
        <v>2</v>
      </c>
      <c r="O230" s="95">
        <f t="shared" si="1"/>
        <v>4.9273220004927322E-4</v>
      </c>
      <c r="P230" s="53">
        <v>198</v>
      </c>
      <c r="Q230" s="135">
        <f t="shared" si="2"/>
        <v>4.1776117985884738E-4</v>
      </c>
      <c r="R230" s="80"/>
      <c r="S230" s="89"/>
      <c r="T230" s="5"/>
      <c r="U230" s="110"/>
    </row>
    <row r="231" spans="1:21" ht="15.6" x14ac:dyDescent="0.3">
      <c r="A231" s="24"/>
      <c r="B231" s="54" t="s">
        <v>213</v>
      </c>
      <c r="C231" s="94"/>
      <c r="D231" s="94"/>
      <c r="E231" s="94"/>
      <c r="F231" s="25"/>
      <c r="G231" s="95"/>
      <c r="H231" s="94"/>
      <c r="I231" s="94"/>
      <c r="J231" s="94"/>
      <c r="K231" s="94"/>
      <c r="L231" s="94"/>
      <c r="M231" s="94"/>
      <c r="N231" s="54">
        <v>5</v>
      </c>
      <c r="O231" s="95">
        <f t="shared" si="1"/>
        <v>1.231830500123183E-3</v>
      </c>
      <c r="P231" s="53">
        <v>355</v>
      </c>
      <c r="Q231" s="135">
        <f t="shared" si="2"/>
        <v>7.4901625681763034E-4</v>
      </c>
      <c r="R231" s="80"/>
      <c r="S231" s="89"/>
      <c r="T231" s="5"/>
    </row>
    <row r="232" spans="1:21" ht="15.6" x14ac:dyDescent="0.3">
      <c r="A232" s="24"/>
      <c r="B232" s="54" t="s">
        <v>214</v>
      </c>
      <c r="C232" s="94"/>
      <c r="D232" s="94"/>
      <c r="E232" s="94"/>
      <c r="F232" s="25"/>
      <c r="G232" s="95"/>
      <c r="H232" s="94"/>
      <c r="I232" s="94"/>
      <c r="J232" s="94"/>
      <c r="K232" s="94"/>
      <c r="L232" s="94"/>
      <c r="M232" s="94"/>
      <c r="N232" s="54">
        <v>4</v>
      </c>
      <c r="O232" s="95">
        <f t="shared" si="1"/>
        <v>9.8546440009854644E-4</v>
      </c>
      <c r="P232" s="53">
        <v>791</v>
      </c>
      <c r="Q232" s="135">
        <f t="shared" si="2"/>
        <v>1.6689348144866075E-3</v>
      </c>
      <c r="R232" s="80"/>
      <c r="S232" s="89"/>
      <c r="T232" s="5"/>
      <c r="U232" s="110"/>
    </row>
    <row r="233" spans="1:21" ht="15.6" x14ac:dyDescent="0.3">
      <c r="A233" s="24"/>
      <c r="B233" s="25"/>
      <c r="C233" s="94"/>
      <c r="D233" s="94"/>
      <c r="E233" s="94"/>
      <c r="F233" s="25"/>
      <c r="G233" s="95"/>
      <c r="H233" s="94"/>
      <c r="I233" s="94"/>
      <c r="J233" s="94"/>
      <c r="K233" s="94"/>
      <c r="L233" s="94"/>
      <c r="M233" s="94"/>
      <c r="N233" s="54"/>
      <c r="O233" s="95"/>
      <c r="P233" s="53"/>
      <c r="Q233" s="135"/>
      <c r="R233" s="80"/>
      <c r="S233" s="89"/>
      <c r="T233" s="5"/>
    </row>
    <row r="234" spans="1:21" ht="15.6" x14ac:dyDescent="0.3">
      <c r="A234" s="24"/>
      <c r="B234" s="25" t="s">
        <v>129</v>
      </c>
      <c r="C234" s="25"/>
      <c r="D234" s="25"/>
      <c r="E234" s="25"/>
      <c r="F234" s="25"/>
      <c r="G234" s="25"/>
      <c r="H234" s="96"/>
      <c r="I234" s="96"/>
      <c r="J234" s="96"/>
      <c r="K234" s="96"/>
      <c r="L234" s="96"/>
      <c r="M234" s="96"/>
      <c r="N234" s="34">
        <f>SUM(N225:N233)</f>
        <v>4059</v>
      </c>
      <c r="O234" s="135">
        <f>SUM(O225:O233)</f>
        <v>1</v>
      </c>
      <c r="P234" s="53">
        <f>SUM(P225:P233)</f>
        <v>473955</v>
      </c>
      <c r="Q234" s="135">
        <f>SUM(Q225:Q233)</f>
        <v>1</v>
      </c>
      <c r="R234" s="25"/>
      <c r="S234" s="25"/>
      <c r="T234" s="5"/>
    </row>
    <row r="235" spans="1:21" ht="15.6" x14ac:dyDescent="0.3">
      <c r="A235" s="24"/>
      <c r="B235" s="25"/>
      <c r="C235" s="25"/>
      <c r="D235" s="25"/>
      <c r="E235" s="25"/>
      <c r="F235" s="25"/>
      <c r="G235" s="25"/>
      <c r="H235" s="96"/>
      <c r="I235" s="96"/>
      <c r="J235" s="96"/>
      <c r="K235" s="96"/>
      <c r="L235" s="96"/>
      <c r="M235" s="96"/>
      <c r="N235" s="34"/>
      <c r="O235" s="135"/>
      <c r="P235" s="53"/>
      <c r="Q235" s="135"/>
      <c r="R235" s="25"/>
      <c r="S235" s="25"/>
      <c r="T235" s="5"/>
    </row>
    <row r="236" spans="1:21" ht="15.6" x14ac:dyDescent="0.3">
      <c r="A236" s="144"/>
      <c r="B236" s="14" t="s">
        <v>241</v>
      </c>
      <c r="C236" s="82"/>
      <c r="D236" s="82"/>
      <c r="E236" s="82"/>
      <c r="F236" s="83"/>
      <c r="G236" s="82"/>
      <c r="H236" s="17"/>
      <c r="I236" s="17"/>
      <c r="J236" s="17"/>
      <c r="K236" s="17"/>
      <c r="L236" s="17"/>
      <c r="M236" s="17"/>
      <c r="N236" s="84" t="s">
        <v>113</v>
      </c>
      <c r="O236" s="17" t="s">
        <v>114</v>
      </c>
      <c r="P236" s="84" t="s">
        <v>123</v>
      </c>
      <c r="Q236" s="17" t="s">
        <v>114</v>
      </c>
      <c r="R236" s="142"/>
      <c r="S236" s="143"/>
      <c r="T236" s="5"/>
    </row>
    <row r="237" spans="1:21" ht="15.6" x14ac:dyDescent="0.3">
      <c r="A237" s="24"/>
      <c r="B237" s="54" t="s">
        <v>99</v>
      </c>
      <c r="C237" s="94"/>
      <c r="D237" s="94"/>
      <c r="E237" s="94"/>
      <c r="F237" s="25"/>
      <c r="G237" s="94"/>
      <c r="H237" s="94"/>
      <c r="I237" s="94"/>
      <c r="J237" s="94"/>
      <c r="K237" s="94"/>
      <c r="L237" s="94"/>
      <c r="M237" s="94"/>
      <c r="N237" s="34">
        <v>59</v>
      </c>
      <c r="O237" s="135">
        <f t="shared" ref="O237:O244" si="3">N237/$N$246</f>
        <v>0.56190476190476191</v>
      </c>
      <c r="P237" s="178">
        <v>8038</v>
      </c>
      <c r="Q237" s="135">
        <f t="shared" ref="Q237:Q244" si="4">P237/$P$246</f>
        <v>0.57810701956271582</v>
      </c>
      <c r="R237" s="25"/>
      <c r="S237" s="25"/>
      <c r="T237" s="5"/>
    </row>
    <row r="238" spans="1:21" ht="15.6" x14ac:dyDescent="0.3">
      <c r="A238" s="24"/>
      <c r="B238" s="54" t="s">
        <v>100</v>
      </c>
      <c r="C238" s="94"/>
      <c r="D238" s="94"/>
      <c r="E238" s="94"/>
      <c r="F238" s="25"/>
      <c r="G238" s="95"/>
      <c r="H238" s="94"/>
      <c r="I238" s="94"/>
      <c r="J238" s="94"/>
      <c r="K238" s="94"/>
      <c r="L238" s="94"/>
      <c r="M238" s="94"/>
      <c r="N238" s="34">
        <v>4</v>
      </c>
      <c r="O238" s="135">
        <f t="shared" si="3"/>
        <v>3.8095238095238099E-2</v>
      </c>
      <c r="P238" s="178">
        <v>498</v>
      </c>
      <c r="Q238" s="135">
        <f t="shared" si="4"/>
        <v>3.5817031070195626E-2</v>
      </c>
      <c r="R238" s="25"/>
      <c r="S238" s="25"/>
      <c r="T238" s="5"/>
    </row>
    <row r="239" spans="1:21" ht="15.6" x14ac:dyDescent="0.3">
      <c r="A239" s="24"/>
      <c r="B239" s="54" t="s">
        <v>101</v>
      </c>
      <c r="C239" s="94"/>
      <c r="D239" s="94"/>
      <c r="E239" s="94"/>
      <c r="F239" s="25"/>
      <c r="G239" s="95"/>
      <c r="H239" s="94"/>
      <c r="I239" s="94"/>
      <c r="J239" s="94"/>
      <c r="K239" s="94"/>
      <c r="L239" s="94"/>
      <c r="M239" s="94"/>
      <c r="N239" s="34">
        <v>8</v>
      </c>
      <c r="O239" s="135">
        <f t="shared" si="3"/>
        <v>7.6190476190476197E-2</v>
      </c>
      <c r="P239" s="178">
        <v>827</v>
      </c>
      <c r="Q239" s="135">
        <f t="shared" si="4"/>
        <v>5.9479286536248559E-2</v>
      </c>
      <c r="R239" s="25"/>
      <c r="S239" s="25"/>
      <c r="T239" s="5"/>
    </row>
    <row r="240" spans="1:21" ht="15.6" x14ac:dyDescent="0.3">
      <c r="A240" s="24"/>
      <c r="B240" s="54" t="s">
        <v>210</v>
      </c>
      <c r="C240" s="94"/>
      <c r="D240" s="94"/>
      <c r="E240" s="94"/>
      <c r="F240" s="25"/>
      <c r="G240" s="95"/>
      <c r="H240" s="94"/>
      <c r="I240" s="94"/>
      <c r="J240" s="94"/>
      <c r="K240" s="94"/>
      <c r="L240" s="94"/>
      <c r="M240" s="94"/>
      <c r="N240" s="34">
        <v>0</v>
      </c>
      <c r="O240" s="135">
        <f t="shared" si="3"/>
        <v>0</v>
      </c>
      <c r="P240" s="178">
        <v>0</v>
      </c>
      <c r="Q240" s="135">
        <f t="shared" si="4"/>
        <v>0</v>
      </c>
      <c r="R240" s="25"/>
      <c r="S240" s="25"/>
      <c r="T240" s="5"/>
    </row>
    <row r="241" spans="1:20" ht="15.6" x14ac:dyDescent="0.3">
      <c r="A241" s="24"/>
      <c r="B241" s="54" t="s">
        <v>211</v>
      </c>
      <c r="C241" s="94"/>
      <c r="D241" s="94"/>
      <c r="E241" s="94"/>
      <c r="F241" s="25"/>
      <c r="G241" s="95"/>
      <c r="H241" s="94"/>
      <c r="I241" s="94"/>
      <c r="J241" s="94"/>
      <c r="K241" s="94"/>
      <c r="L241" s="94"/>
      <c r="M241" s="94"/>
      <c r="N241" s="34">
        <v>0</v>
      </c>
      <c r="O241" s="135">
        <f t="shared" si="3"/>
        <v>0</v>
      </c>
      <c r="P241" s="178">
        <v>0</v>
      </c>
      <c r="Q241" s="135">
        <f t="shared" si="4"/>
        <v>0</v>
      </c>
      <c r="R241" s="25"/>
      <c r="S241" s="25"/>
      <c r="T241" s="5"/>
    </row>
    <row r="242" spans="1:20" ht="15.6" x14ac:dyDescent="0.3">
      <c r="A242" s="24"/>
      <c r="B242" s="54" t="s">
        <v>212</v>
      </c>
      <c r="C242" s="94"/>
      <c r="D242" s="94"/>
      <c r="E242" s="94"/>
      <c r="F242" s="25"/>
      <c r="G242" s="95"/>
      <c r="H242" s="94"/>
      <c r="I242" s="94"/>
      <c r="J242" s="94"/>
      <c r="K242" s="94"/>
      <c r="L242" s="94"/>
      <c r="M242" s="94"/>
      <c r="N242" s="34">
        <v>1</v>
      </c>
      <c r="O242" s="135">
        <f t="shared" si="3"/>
        <v>9.5238095238095247E-3</v>
      </c>
      <c r="P242" s="178">
        <v>121</v>
      </c>
      <c r="Q242" s="135">
        <f t="shared" si="4"/>
        <v>8.7025316455696198E-3</v>
      </c>
      <c r="R242" s="25"/>
      <c r="S242" s="25"/>
      <c r="T242" s="5"/>
    </row>
    <row r="243" spans="1:20" ht="15.6" x14ac:dyDescent="0.3">
      <c r="A243" s="24"/>
      <c r="B243" s="54" t="s">
        <v>213</v>
      </c>
      <c r="C243" s="94"/>
      <c r="D243" s="94"/>
      <c r="E243" s="94"/>
      <c r="F243" s="25"/>
      <c r="G243" s="95"/>
      <c r="H243" s="94"/>
      <c r="I243" s="94"/>
      <c r="J243" s="94"/>
      <c r="K243" s="94"/>
      <c r="L243" s="94"/>
      <c r="M243" s="94"/>
      <c r="N243" s="34">
        <v>13</v>
      </c>
      <c r="O243" s="135">
        <f t="shared" si="3"/>
        <v>0.12380952380952381</v>
      </c>
      <c r="P243" s="178">
        <v>1725</v>
      </c>
      <c r="Q243" s="135">
        <f t="shared" si="4"/>
        <v>0.1240650172612198</v>
      </c>
      <c r="R243" s="25"/>
      <c r="S243" s="25"/>
      <c r="T243" s="5"/>
    </row>
    <row r="244" spans="1:20" ht="15.6" x14ac:dyDescent="0.3">
      <c r="A244" s="24"/>
      <c r="B244" s="54" t="s">
        <v>214</v>
      </c>
      <c r="C244" s="94"/>
      <c r="D244" s="94"/>
      <c r="E244" s="94"/>
      <c r="F244" s="25"/>
      <c r="G244" s="95"/>
      <c r="H244" s="94"/>
      <c r="I244" s="94"/>
      <c r="J244" s="94"/>
      <c r="K244" s="94"/>
      <c r="L244" s="94"/>
      <c r="M244" s="94"/>
      <c r="N244" s="34">
        <v>20</v>
      </c>
      <c r="O244" s="135">
        <f t="shared" si="3"/>
        <v>0.19047619047619047</v>
      </c>
      <c r="P244" s="178">
        <v>2695</v>
      </c>
      <c r="Q244" s="135">
        <f t="shared" si="4"/>
        <v>0.19382911392405064</v>
      </c>
      <c r="R244" s="25"/>
      <c r="S244" s="25"/>
      <c r="T244" s="5"/>
    </row>
    <row r="245" spans="1:20" ht="15.6" x14ac:dyDescent="0.3">
      <c r="A245" s="24"/>
      <c r="B245" s="25"/>
      <c r="C245" s="94"/>
      <c r="D245" s="94"/>
      <c r="E245" s="94"/>
      <c r="F245" s="25"/>
      <c r="G245" s="95"/>
      <c r="H245" s="94"/>
      <c r="I245" s="94"/>
      <c r="J245" s="94"/>
      <c r="K245" s="94"/>
      <c r="L245" s="94"/>
      <c r="M245" s="94"/>
      <c r="N245" s="34"/>
      <c r="O245" s="135"/>
      <c r="P245" s="178"/>
      <c r="Q245" s="135"/>
      <c r="R245" s="25"/>
      <c r="S245" s="25"/>
      <c r="T245" s="5"/>
    </row>
    <row r="246" spans="1:20" ht="15.6" x14ac:dyDescent="0.3">
      <c r="A246" s="24"/>
      <c r="B246" s="25" t="s">
        <v>129</v>
      </c>
      <c r="C246" s="25"/>
      <c r="D246" s="25"/>
      <c r="E246" s="25"/>
      <c r="F246" s="25"/>
      <c r="G246" s="25"/>
      <c r="H246" s="96"/>
      <c r="I246" s="96"/>
      <c r="J246" s="96"/>
      <c r="K246" s="96"/>
      <c r="L246" s="96"/>
      <c r="M246" s="96"/>
      <c r="N246" s="34">
        <f>SUM(N237:N245)</f>
        <v>105</v>
      </c>
      <c r="O246" s="135">
        <f>SUM(O237:O245)</f>
        <v>1</v>
      </c>
      <c r="P246" s="178">
        <f>SUM(P237:P245)</f>
        <v>13904</v>
      </c>
      <c r="Q246" s="135">
        <f>SUM(Q237:Q245)</f>
        <v>1</v>
      </c>
      <c r="R246" s="25"/>
      <c r="S246" s="25"/>
      <c r="T246" s="5"/>
    </row>
    <row r="247" spans="1:20" ht="15.6" x14ac:dyDescent="0.3">
      <c r="A247" s="24"/>
      <c r="B247" s="25"/>
      <c r="C247" s="25"/>
      <c r="D247" s="25"/>
      <c r="E247" s="25"/>
      <c r="F247" s="25"/>
      <c r="G247" s="25"/>
      <c r="H247" s="96"/>
      <c r="I247" s="96"/>
      <c r="J247" s="96"/>
      <c r="K247" s="96"/>
      <c r="L247" s="96"/>
      <c r="M247" s="96"/>
      <c r="N247" s="34"/>
      <c r="O247" s="135"/>
      <c r="P247" s="53"/>
      <c r="Q247" s="135"/>
      <c r="R247" s="25"/>
      <c r="S247" s="25"/>
      <c r="T247" s="5"/>
    </row>
    <row r="248" spans="1:20" s="153" customFormat="1" ht="15.6" x14ac:dyDescent="0.3">
      <c r="A248" s="144"/>
      <c r="B248" s="14" t="s">
        <v>239</v>
      </c>
      <c r="C248" s="151"/>
      <c r="D248" s="151"/>
      <c r="E248" s="151"/>
      <c r="F248" s="151"/>
      <c r="G248" s="151"/>
      <c r="H248" s="152"/>
      <c r="I248" s="152"/>
      <c r="J248" s="152"/>
      <c r="K248" s="152"/>
      <c r="L248" s="152"/>
      <c r="M248" s="152"/>
      <c r="N248" s="84" t="s">
        <v>113</v>
      </c>
      <c r="O248" s="17" t="s">
        <v>114</v>
      </c>
      <c r="P248" s="84" t="s">
        <v>123</v>
      </c>
      <c r="Q248" s="17" t="s">
        <v>114</v>
      </c>
      <c r="R248" s="151"/>
      <c r="S248" s="151"/>
      <c r="T248" s="5"/>
    </row>
    <row r="249" spans="1:20" s="153" customFormat="1" ht="15.6" x14ac:dyDescent="0.3">
      <c r="A249" s="24"/>
      <c r="B249" s="54" t="s">
        <v>99</v>
      </c>
      <c r="C249" s="161"/>
      <c r="D249" s="161"/>
      <c r="E249" s="161"/>
      <c r="F249" s="161"/>
      <c r="G249" s="161"/>
      <c r="H249" s="162"/>
      <c r="I249" s="162"/>
      <c r="J249" s="162"/>
      <c r="K249" s="162"/>
      <c r="L249" s="162"/>
      <c r="M249" s="162"/>
      <c r="N249" s="34">
        <v>0</v>
      </c>
      <c r="O249" s="135">
        <f t="shared" ref="O249:O256" si="5">N249/$N$258</f>
        <v>0</v>
      </c>
      <c r="P249" s="178">
        <v>0</v>
      </c>
      <c r="Q249" s="135">
        <f t="shared" ref="Q249:Q256" si="6">P249/$P$258</f>
        <v>0</v>
      </c>
      <c r="R249" s="155"/>
      <c r="S249" s="160"/>
      <c r="T249" s="5"/>
    </row>
    <row r="250" spans="1:20" s="153" customFormat="1" ht="15.6" x14ac:dyDescent="0.3">
      <c r="A250" s="24"/>
      <c r="B250" s="54" t="s">
        <v>100</v>
      </c>
      <c r="C250" s="161"/>
      <c r="D250" s="161"/>
      <c r="E250" s="161"/>
      <c r="F250" s="161"/>
      <c r="G250" s="161"/>
      <c r="H250" s="162"/>
      <c r="I250" s="162"/>
      <c r="J250" s="162"/>
      <c r="K250" s="162"/>
      <c r="L250" s="162"/>
      <c r="M250" s="162"/>
      <c r="N250" s="34">
        <v>0</v>
      </c>
      <c r="O250" s="135">
        <f t="shared" si="5"/>
        <v>0</v>
      </c>
      <c r="P250" s="178">
        <v>0</v>
      </c>
      <c r="Q250" s="135">
        <f t="shared" si="6"/>
        <v>0</v>
      </c>
      <c r="R250" s="135"/>
      <c r="S250" s="160"/>
      <c r="T250" s="5"/>
    </row>
    <row r="251" spans="1:20" s="153" customFormat="1" ht="15.6" x14ac:dyDescent="0.3">
      <c r="A251" s="24"/>
      <c r="B251" s="54" t="s">
        <v>101</v>
      </c>
      <c r="C251" s="161"/>
      <c r="D251" s="161"/>
      <c r="E251" s="161"/>
      <c r="F251" s="161"/>
      <c r="G251" s="161"/>
      <c r="H251" s="162"/>
      <c r="I251" s="162"/>
      <c r="J251" s="162"/>
      <c r="K251" s="162"/>
      <c r="L251" s="162"/>
      <c r="M251" s="162"/>
      <c r="N251" s="34">
        <v>0</v>
      </c>
      <c r="O251" s="135">
        <f t="shared" si="5"/>
        <v>0</v>
      </c>
      <c r="P251" s="178">
        <v>0</v>
      </c>
      <c r="Q251" s="135">
        <f t="shared" si="6"/>
        <v>0</v>
      </c>
      <c r="R251" s="155"/>
      <c r="S251" s="160"/>
      <c r="T251" s="5"/>
    </row>
    <row r="252" spans="1:20" s="153" customFormat="1" ht="15.6" x14ac:dyDescent="0.3">
      <c r="A252" s="24"/>
      <c r="B252" s="54" t="s">
        <v>210</v>
      </c>
      <c r="C252" s="161"/>
      <c r="D252" s="161"/>
      <c r="E252" s="161"/>
      <c r="F252" s="161"/>
      <c r="G252" s="161"/>
      <c r="H252" s="162"/>
      <c r="I252" s="162"/>
      <c r="J252" s="162"/>
      <c r="K252" s="162"/>
      <c r="L252" s="162"/>
      <c r="M252" s="162"/>
      <c r="N252" s="34">
        <v>0</v>
      </c>
      <c r="O252" s="135">
        <f t="shared" si="5"/>
        <v>0</v>
      </c>
      <c r="P252" s="178">
        <v>0</v>
      </c>
      <c r="Q252" s="135">
        <f t="shared" si="6"/>
        <v>0</v>
      </c>
      <c r="R252" s="155"/>
      <c r="S252" s="160"/>
      <c r="T252" s="5"/>
    </row>
    <row r="253" spans="1:20" s="153" customFormat="1" ht="15.6" x14ac:dyDescent="0.3">
      <c r="A253" s="24"/>
      <c r="B253" s="54" t="s">
        <v>211</v>
      </c>
      <c r="C253" s="161"/>
      <c r="D253" s="161"/>
      <c r="E253" s="161"/>
      <c r="F253" s="161"/>
      <c r="G253" s="161"/>
      <c r="H253" s="162"/>
      <c r="I253" s="162"/>
      <c r="J253" s="162"/>
      <c r="K253" s="162"/>
      <c r="L253" s="162"/>
      <c r="M253" s="162"/>
      <c r="N253" s="34">
        <v>0</v>
      </c>
      <c r="O253" s="135">
        <f t="shared" si="5"/>
        <v>0</v>
      </c>
      <c r="P253" s="178">
        <v>0</v>
      </c>
      <c r="Q253" s="135">
        <f t="shared" si="6"/>
        <v>0</v>
      </c>
      <c r="R253" s="155"/>
      <c r="S253" s="160"/>
      <c r="T253" s="5"/>
    </row>
    <row r="254" spans="1:20" s="153" customFormat="1" ht="15.6" x14ac:dyDescent="0.3">
      <c r="A254" s="24"/>
      <c r="B254" s="54" t="s">
        <v>212</v>
      </c>
      <c r="C254" s="161"/>
      <c r="D254" s="161"/>
      <c r="E254" s="161"/>
      <c r="F254" s="161"/>
      <c r="G254" s="161"/>
      <c r="H254" s="162"/>
      <c r="I254" s="162"/>
      <c r="J254" s="162"/>
      <c r="K254" s="162"/>
      <c r="L254" s="162"/>
      <c r="M254" s="162"/>
      <c r="N254" s="34">
        <v>0</v>
      </c>
      <c r="O254" s="135">
        <f t="shared" si="5"/>
        <v>0</v>
      </c>
      <c r="P254" s="178">
        <v>0</v>
      </c>
      <c r="Q254" s="135">
        <f t="shared" si="6"/>
        <v>0</v>
      </c>
      <c r="R254" s="155"/>
      <c r="S254" s="160"/>
      <c r="T254" s="5"/>
    </row>
    <row r="255" spans="1:20" s="153" customFormat="1" ht="15.6" x14ac:dyDescent="0.3">
      <c r="A255" s="24"/>
      <c r="B255" s="54" t="s">
        <v>213</v>
      </c>
      <c r="C255" s="161"/>
      <c r="D255" s="161"/>
      <c r="E255" s="161"/>
      <c r="F255" s="161"/>
      <c r="G255" s="161"/>
      <c r="H255" s="162"/>
      <c r="I255" s="162"/>
      <c r="J255" s="162"/>
      <c r="K255" s="162"/>
      <c r="L255" s="162"/>
      <c r="M255" s="162"/>
      <c r="N255" s="34">
        <v>0</v>
      </c>
      <c r="O255" s="135">
        <f t="shared" si="5"/>
        <v>0</v>
      </c>
      <c r="P255" s="178">
        <v>0</v>
      </c>
      <c r="Q255" s="135">
        <f t="shared" si="6"/>
        <v>0</v>
      </c>
      <c r="R255" s="155"/>
      <c r="S255" s="160"/>
      <c r="T255" s="5"/>
    </row>
    <row r="256" spans="1:20" s="153" customFormat="1" ht="15.6" x14ac:dyDescent="0.3">
      <c r="A256" s="24"/>
      <c r="B256" s="54" t="s">
        <v>214</v>
      </c>
      <c r="C256" s="161"/>
      <c r="D256" s="161"/>
      <c r="E256" s="161"/>
      <c r="F256" s="161"/>
      <c r="G256" s="161"/>
      <c r="H256" s="162"/>
      <c r="I256" s="162"/>
      <c r="J256" s="162"/>
      <c r="K256" s="162"/>
      <c r="L256" s="162"/>
      <c r="M256" s="162"/>
      <c r="N256" s="34">
        <v>2</v>
      </c>
      <c r="O256" s="135">
        <f t="shared" si="5"/>
        <v>1</v>
      </c>
      <c r="P256" s="178">
        <v>53</v>
      </c>
      <c r="Q256" s="135">
        <f t="shared" si="6"/>
        <v>1</v>
      </c>
      <c r="R256" s="155"/>
      <c r="S256" s="160"/>
      <c r="T256" s="5"/>
    </row>
    <row r="257" spans="1:20" s="153" customFormat="1" ht="15.6" x14ac:dyDescent="0.3">
      <c r="A257" s="24"/>
      <c r="B257" s="54"/>
      <c r="C257" s="161"/>
      <c r="D257" s="161"/>
      <c r="E257" s="161"/>
      <c r="F257" s="161"/>
      <c r="G257" s="161"/>
      <c r="H257" s="162"/>
      <c r="I257" s="162"/>
      <c r="J257" s="162"/>
      <c r="K257" s="162"/>
      <c r="L257" s="162"/>
      <c r="M257" s="162"/>
      <c r="N257" s="34"/>
      <c r="O257" s="135"/>
      <c r="P257" s="178"/>
      <c r="Q257" s="135"/>
      <c r="R257" s="155"/>
      <c r="S257" s="160"/>
      <c r="T257" s="5"/>
    </row>
    <row r="258" spans="1:20" ht="15.6" x14ac:dyDescent="0.3">
      <c r="A258" s="24"/>
      <c r="B258" s="25" t="s">
        <v>129</v>
      </c>
      <c r="C258" s="161"/>
      <c r="D258" s="161"/>
      <c r="E258" s="161"/>
      <c r="F258" s="161"/>
      <c r="G258" s="161"/>
      <c r="H258" s="162"/>
      <c r="I258" s="162"/>
      <c r="J258" s="162"/>
      <c r="K258" s="162"/>
      <c r="L258" s="162"/>
      <c r="M258" s="162"/>
      <c r="N258" s="34">
        <f>SUM(N249:N256)</f>
        <v>2</v>
      </c>
      <c r="O258" s="135">
        <f>SUM(O249:O256)</f>
        <v>1</v>
      </c>
      <c r="P258" s="178">
        <f>SUM(P249:P256)</f>
        <v>53</v>
      </c>
      <c r="Q258" s="135">
        <f>SUM(Q249:Q256)</f>
        <v>1</v>
      </c>
      <c r="R258" s="155"/>
      <c r="S258" s="160"/>
      <c r="T258" s="5"/>
    </row>
    <row r="259" spans="1:20" ht="15.6" x14ac:dyDescent="0.3">
      <c r="A259" s="24"/>
      <c r="B259" s="25"/>
      <c r="C259" s="151"/>
      <c r="D259" s="151"/>
      <c r="E259" s="151"/>
      <c r="F259" s="151"/>
      <c r="G259" s="151"/>
      <c r="H259" s="152"/>
      <c r="I259" s="152"/>
      <c r="J259" s="152"/>
      <c r="K259" s="152"/>
      <c r="L259" s="152"/>
      <c r="M259" s="152"/>
      <c r="N259" s="34"/>
      <c r="O259" s="135"/>
      <c r="P259" s="53"/>
      <c r="Q259" s="135"/>
      <c r="R259" s="151"/>
      <c r="S259" s="151"/>
      <c r="T259" s="5"/>
    </row>
    <row r="260" spans="1:20" ht="15.6" x14ac:dyDescent="0.3">
      <c r="A260" s="24"/>
      <c r="B260" s="154" t="s">
        <v>240</v>
      </c>
      <c r="C260" s="155"/>
      <c r="D260" s="155"/>
      <c r="E260" s="155"/>
      <c r="F260" s="155"/>
      <c r="G260" s="155"/>
      <c r="H260" s="156"/>
      <c r="I260" s="156"/>
      <c r="J260" s="156"/>
      <c r="K260" s="156"/>
      <c r="L260" s="156"/>
      <c r="M260" s="156"/>
      <c r="N260" s="173">
        <f>+N234+N246+N258</f>
        <v>4166</v>
      </c>
      <c r="O260" s="158"/>
      <c r="P260" s="159">
        <f>+P258+P246+P234</f>
        <v>487912</v>
      </c>
      <c r="Q260" s="158"/>
      <c r="R260" s="155"/>
      <c r="S260" s="160"/>
      <c r="T260" s="5"/>
    </row>
    <row r="261" spans="1:20" ht="15.6" x14ac:dyDescent="0.3">
      <c r="A261" s="24"/>
      <c r="B261" s="154"/>
      <c r="C261" s="8"/>
      <c r="D261" s="8"/>
      <c r="E261" s="8"/>
      <c r="F261" s="8"/>
      <c r="G261" s="8"/>
      <c r="H261" s="97"/>
      <c r="I261" s="97"/>
      <c r="J261" s="97"/>
      <c r="K261" s="97"/>
      <c r="L261" s="97"/>
      <c r="M261" s="97"/>
      <c r="N261" s="97"/>
      <c r="O261" s="97"/>
      <c r="P261" s="98"/>
      <c r="Q261" s="97"/>
      <c r="R261" s="8"/>
      <c r="S261" s="8"/>
      <c r="T261" s="5"/>
    </row>
    <row r="262" spans="1:20" ht="15.6" x14ac:dyDescent="0.3">
      <c r="A262" s="150"/>
      <c r="B262" s="14" t="s">
        <v>102</v>
      </c>
      <c r="C262" s="15"/>
      <c r="D262" s="15"/>
      <c r="E262" s="15"/>
      <c r="F262" s="17" t="s">
        <v>108</v>
      </c>
      <c r="G262" s="15"/>
      <c r="H262" s="14" t="s">
        <v>110</v>
      </c>
      <c r="I262" s="145"/>
      <c r="J262" s="145"/>
      <c r="K262" s="145"/>
      <c r="L262" s="145"/>
      <c r="M262" s="145"/>
      <c r="N262" s="145"/>
      <c r="O262" s="145"/>
      <c r="P262" s="145"/>
      <c r="Q262" s="145"/>
      <c r="R262" s="145"/>
      <c r="S262" s="145"/>
      <c r="T262" s="5"/>
    </row>
    <row r="263" spans="1:20" ht="15.6" x14ac:dyDescent="0.3">
      <c r="A263" s="150"/>
      <c r="B263" s="145"/>
      <c r="C263" s="8"/>
      <c r="D263" s="8"/>
      <c r="E263" s="8"/>
      <c r="F263" s="8"/>
      <c r="G263" s="8"/>
      <c r="H263" s="8"/>
      <c r="I263" s="145"/>
      <c r="J263" s="145"/>
      <c r="K263" s="145"/>
      <c r="L263" s="145"/>
      <c r="M263" s="145"/>
      <c r="N263" s="145"/>
      <c r="O263" s="145"/>
      <c r="P263" s="145"/>
      <c r="Q263" s="145"/>
      <c r="R263" s="145"/>
      <c r="S263" s="145"/>
      <c r="T263" s="5"/>
    </row>
    <row r="264" spans="1:20" ht="15.6" x14ac:dyDescent="0.3">
      <c r="A264" s="150"/>
      <c r="B264" s="13" t="s">
        <v>103</v>
      </c>
      <c r="C264" s="13"/>
      <c r="D264" s="13"/>
      <c r="E264" s="13"/>
      <c r="F264" s="133" t="s">
        <v>172</v>
      </c>
      <c r="G264" s="13"/>
      <c r="H264" s="13" t="s">
        <v>200</v>
      </c>
      <c r="I264" s="145"/>
      <c r="J264" s="145"/>
      <c r="K264" s="145"/>
      <c r="L264" s="145"/>
      <c r="M264" s="145"/>
      <c r="N264" s="145"/>
      <c r="O264" s="145"/>
      <c r="P264" s="145"/>
      <c r="Q264" s="145"/>
      <c r="R264" s="145"/>
      <c r="S264" s="145"/>
      <c r="T264" s="5"/>
    </row>
    <row r="265" spans="1:20" ht="15.6" x14ac:dyDescent="0.3">
      <c r="A265" s="150"/>
      <c r="B265" s="13" t="s">
        <v>271</v>
      </c>
      <c r="C265" s="13"/>
      <c r="D265" s="13"/>
      <c r="E265" s="13"/>
      <c r="F265" s="133" t="s">
        <v>272</v>
      </c>
      <c r="G265" s="13"/>
      <c r="H265" s="13" t="s">
        <v>273</v>
      </c>
      <c r="I265" s="145"/>
      <c r="J265" s="145"/>
      <c r="K265" s="145"/>
      <c r="L265" s="145"/>
      <c r="M265" s="145"/>
      <c r="N265" s="145"/>
      <c r="O265" s="145"/>
      <c r="P265" s="145"/>
      <c r="Q265" s="145"/>
      <c r="R265" s="145"/>
      <c r="S265" s="145"/>
      <c r="T265" s="5"/>
    </row>
    <row r="266" spans="1:20" ht="15.6" x14ac:dyDescent="0.3">
      <c r="A266" s="150"/>
      <c r="B266" s="13" t="s">
        <v>104</v>
      </c>
      <c r="C266" s="13"/>
      <c r="D266" s="13"/>
      <c r="E266" s="13"/>
      <c r="F266" s="133" t="s">
        <v>171</v>
      </c>
      <c r="G266" s="13"/>
      <c r="H266" s="13" t="s">
        <v>201</v>
      </c>
      <c r="I266" s="145"/>
      <c r="J266" s="145"/>
      <c r="K266" s="145"/>
      <c r="L266" s="145"/>
      <c r="M266" s="145"/>
      <c r="N266" s="145"/>
      <c r="O266" s="145"/>
      <c r="P266" s="145"/>
      <c r="Q266" s="145"/>
      <c r="R266" s="145"/>
      <c r="S266" s="145"/>
      <c r="T266" s="5"/>
    </row>
    <row r="267" spans="1:20" ht="15.6" x14ac:dyDescent="0.3">
      <c r="A267" s="150"/>
      <c r="B267" s="13"/>
      <c r="C267" s="13"/>
      <c r="D267" s="13"/>
      <c r="E267" s="13"/>
      <c r="F267" s="13"/>
      <c r="G267" s="100"/>
      <c r="H267" s="145"/>
      <c r="I267" s="145"/>
      <c r="J267" s="145"/>
      <c r="K267" s="145"/>
      <c r="L267" s="145"/>
      <c r="M267" s="145"/>
      <c r="N267" s="145"/>
      <c r="O267" s="145"/>
      <c r="P267" s="145"/>
      <c r="Q267" s="145"/>
      <c r="R267" s="145"/>
      <c r="S267" s="145"/>
      <c r="T267" s="5"/>
    </row>
    <row r="268" spans="1:20" ht="18" thickBot="1" x14ac:dyDescent="0.35">
      <c r="A268" s="150"/>
      <c r="B268" s="49" t="str">
        <f>B189</f>
        <v>PM8 INVESTOR REPORT QUARTER ENDING DECEMBER 2009</v>
      </c>
      <c r="C268" s="13"/>
      <c r="D268" s="13"/>
      <c r="E268" s="13"/>
      <c r="F268" s="13"/>
      <c r="G268" s="100"/>
      <c r="H268" s="145"/>
      <c r="I268" s="145"/>
      <c r="J268" s="145"/>
      <c r="K268" s="145"/>
      <c r="L268" s="145"/>
      <c r="M268" s="145"/>
      <c r="N268" s="145"/>
      <c r="O268" s="145"/>
      <c r="P268" s="145"/>
      <c r="Q268" s="145"/>
      <c r="R268" s="145"/>
      <c r="S268" s="145"/>
      <c r="T268" s="5"/>
    </row>
    <row r="269" spans="1:20" x14ac:dyDescent="0.25">
      <c r="A269" s="101"/>
      <c r="B269" s="101"/>
      <c r="C269" s="101"/>
      <c r="D269" s="101"/>
      <c r="E269" s="101"/>
      <c r="F269" s="101"/>
      <c r="G269" s="101"/>
      <c r="H269" s="101"/>
      <c r="I269" s="101"/>
      <c r="J269" s="101"/>
      <c r="K269" s="101"/>
      <c r="L269" s="101"/>
      <c r="M269" s="101"/>
      <c r="N269" s="101"/>
      <c r="O269" s="101"/>
      <c r="P269" s="101"/>
      <c r="Q269" s="101"/>
      <c r="R269" s="101"/>
      <c r="S269" s="101"/>
    </row>
  </sheetData>
  <phoneticPr fontId="0" type="noConversion"/>
  <hyperlinks>
    <hyperlink ref="J222"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2" max="14" man="1"/>
    <brk id="189"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9"/>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15"/>
      <c r="D11" s="15"/>
      <c r="E11" s="15"/>
      <c r="F11" s="15"/>
      <c r="G11" s="15"/>
      <c r="H11" s="15"/>
      <c r="I11" s="15"/>
      <c r="J11" s="15"/>
      <c r="K11" s="15"/>
      <c r="L11" s="15"/>
      <c r="M11" s="15"/>
      <c r="N11" s="15"/>
      <c r="O11" s="15"/>
      <c r="P11" s="15"/>
      <c r="Q11" s="15"/>
      <c r="R11" s="15"/>
      <c r="S11" s="8"/>
      <c r="T11" s="5"/>
    </row>
    <row r="12" spans="1:20" ht="16.2" thickBot="1" x14ac:dyDescent="0.35">
      <c r="A12" s="6"/>
      <c r="B12" s="14"/>
      <c r="C12" s="15"/>
      <c r="D12" s="15"/>
      <c r="E12" s="15"/>
      <c r="F12" s="15"/>
      <c r="G12" s="15"/>
      <c r="H12" s="15"/>
      <c r="I12" s="15"/>
      <c r="J12" s="15"/>
      <c r="K12" s="15"/>
      <c r="L12" s="15"/>
      <c r="M12" s="15"/>
      <c r="N12" s="15"/>
      <c r="O12" s="15"/>
      <c r="P12" s="15"/>
      <c r="Q12" s="15"/>
      <c r="R12" s="15"/>
      <c r="S12" s="8"/>
      <c r="T12" s="5"/>
    </row>
    <row r="13" spans="1:20" ht="15.6" x14ac:dyDescent="0.3">
      <c r="A13" s="2"/>
      <c r="B13" s="450"/>
      <c r="C13" s="450"/>
      <c r="D13" s="450"/>
      <c r="E13" s="450"/>
      <c r="F13" s="450"/>
      <c r="G13" s="450"/>
      <c r="H13" s="450"/>
      <c r="I13" s="450"/>
      <c r="J13" s="450"/>
      <c r="K13" s="450"/>
      <c r="L13" s="450"/>
      <c r="M13" s="450"/>
      <c r="N13" s="450"/>
      <c r="O13" s="450"/>
      <c r="P13" s="450"/>
      <c r="Q13" s="450"/>
      <c r="R13" s="450"/>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0.88109999999999999</v>
      </c>
      <c r="P16" s="17" t="s">
        <v>161</v>
      </c>
      <c r="Q16" s="140">
        <v>0.11890000000000001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40289</v>
      </c>
      <c r="S18" s="15"/>
      <c r="T18" s="5"/>
    </row>
    <row r="19" spans="1:20" ht="15.6" x14ac:dyDescent="0.3">
      <c r="A19" s="6"/>
      <c r="B19" s="408"/>
      <c r="C19" s="8"/>
      <c r="D19" s="8"/>
      <c r="E19" s="8"/>
      <c r="F19" s="8"/>
      <c r="G19" s="8"/>
      <c r="H19" s="8"/>
      <c r="I19" s="8"/>
      <c r="J19" s="8"/>
      <c r="K19" s="8"/>
      <c r="L19" s="8"/>
      <c r="M19" s="8"/>
      <c r="N19" s="408"/>
      <c r="O19" s="408"/>
      <c r="P19" s="408"/>
      <c r="Q19" s="408"/>
      <c r="R19" s="409"/>
      <c r="S19" s="8"/>
      <c r="T19" s="5"/>
    </row>
    <row r="20" spans="1:20" ht="15.6" x14ac:dyDescent="0.3">
      <c r="A20" s="6"/>
      <c r="B20" s="21" t="s">
        <v>6</v>
      </c>
      <c r="C20" s="8"/>
      <c r="D20" s="8"/>
      <c r="E20" s="8"/>
      <c r="F20" s="8"/>
      <c r="G20" s="8"/>
      <c r="H20" s="8"/>
      <c r="I20" s="8"/>
      <c r="J20" s="8"/>
      <c r="K20" s="8"/>
      <c r="L20" s="8"/>
      <c r="M20" s="8"/>
      <c r="N20" s="408"/>
      <c r="O20" s="408"/>
      <c r="P20" s="20" t="s">
        <v>116</v>
      </c>
      <c r="Q20" s="408"/>
      <c r="R20" s="410"/>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411"/>
      <c r="B22" s="412"/>
      <c r="C22" s="413"/>
      <c r="D22" s="113" t="s">
        <v>159</v>
      </c>
      <c r="E22" s="113"/>
      <c r="F22" s="113" t="s">
        <v>160</v>
      </c>
      <c r="G22" s="113"/>
      <c r="H22" s="113" t="s">
        <v>182</v>
      </c>
      <c r="I22" s="113"/>
      <c r="J22" s="113" t="s">
        <v>183</v>
      </c>
      <c r="K22" s="113"/>
      <c r="L22" s="113" t="s">
        <v>133</v>
      </c>
      <c r="M22" s="113"/>
      <c r="N22" s="113" t="s">
        <v>134</v>
      </c>
      <c r="O22" s="114"/>
      <c r="P22" s="448"/>
      <c r="Q22" s="449"/>
      <c r="R22" s="449"/>
      <c r="S22" s="412"/>
      <c r="T22" s="5"/>
    </row>
    <row r="23" spans="1:20" s="256" customFormat="1" ht="15.6" x14ac:dyDescent="0.3">
      <c r="A23" s="455"/>
      <c r="B23" s="155" t="s">
        <v>7</v>
      </c>
      <c r="C23" s="456"/>
      <c r="D23" s="456" t="s">
        <v>162</v>
      </c>
      <c r="E23" s="456"/>
      <c r="F23" s="456" t="s">
        <v>162</v>
      </c>
      <c r="G23" s="456"/>
      <c r="H23" s="456" t="s">
        <v>162</v>
      </c>
      <c r="I23" s="456"/>
      <c r="J23" s="456" t="s">
        <v>162</v>
      </c>
      <c r="K23" s="456"/>
      <c r="L23" s="456" t="s">
        <v>163</v>
      </c>
      <c r="M23" s="456"/>
      <c r="N23" s="456" t="s">
        <v>163</v>
      </c>
      <c r="O23" s="456"/>
      <c r="P23" s="456"/>
      <c r="Q23" s="457"/>
      <c r="R23" s="457"/>
      <c r="S23" s="160"/>
      <c r="T23" s="255"/>
    </row>
    <row r="24" spans="1:20" s="256" customFormat="1" ht="15.6" x14ac:dyDescent="0.3">
      <c r="A24" s="455"/>
      <c r="B24" s="155" t="s">
        <v>8</v>
      </c>
      <c r="C24" s="456"/>
      <c r="D24" s="456" t="s">
        <v>164</v>
      </c>
      <c r="E24" s="456"/>
      <c r="F24" s="456" t="s">
        <v>164</v>
      </c>
      <c r="G24" s="456"/>
      <c r="H24" s="456" t="s">
        <v>164</v>
      </c>
      <c r="I24" s="456"/>
      <c r="J24" s="456" t="s">
        <v>164</v>
      </c>
      <c r="K24" s="456"/>
      <c r="L24" s="456" t="s">
        <v>165</v>
      </c>
      <c r="M24" s="456"/>
      <c r="N24" s="456" t="s">
        <v>165</v>
      </c>
      <c r="O24" s="456"/>
      <c r="P24" s="456"/>
      <c r="Q24" s="457"/>
      <c r="R24" s="457"/>
      <c r="S24" s="160"/>
      <c r="T24" s="255"/>
    </row>
    <row r="25" spans="1:20" s="256" customFormat="1" ht="15.6" x14ac:dyDescent="0.3">
      <c r="A25" s="455"/>
      <c r="B25" s="155" t="s">
        <v>135</v>
      </c>
      <c r="C25" s="456"/>
      <c r="D25" s="456" t="s">
        <v>164</v>
      </c>
      <c r="E25" s="456"/>
      <c r="F25" s="456" t="s">
        <v>164</v>
      </c>
      <c r="G25" s="456"/>
      <c r="H25" s="456" t="s">
        <v>164</v>
      </c>
      <c r="I25" s="456"/>
      <c r="J25" s="456" t="s">
        <v>164</v>
      </c>
      <c r="K25" s="456"/>
      <c r="L25" s="456" t="s">
        <v>165</v>
      </c>
      <c r="M25" s="456"/>
      <c r="N25" s="456" t="s">
        <v>165</v>
      </c>
      <c r="O25" s="456"/>
      <c r="P25" s="456"/>
      <c r="Q25" s="457"/>
      <c r="R25" s="457"/>
      <c r="S25" s="160"/>
      <c r="T25" s="255"/>
    </row>
    <row r="26" spans="1:20" s="256" customFormat="1" ht="15.6" x14ac:dyDescent="0.3">
      <c r="A26" s="458"/>
      <c r="B26" s="459" t="s">
        <v>9</v>
      </c>
      <c r="C26" s="460"/>
      <c r="D26" s="460" t="s">
        <v>162</v>
      </c>
      <c r="E26" s="460"/>
      <c r="F26" s="460" t="s">
        <v>162</v>
      </c>
      <c r="G26" s="460"/>
      <c r="H26" s="460" t="s">
        <v>162</v>
      </c>
      <c r="I26" s="460"/>
      <c r="J26" s="460" t="s">
        <v>162</v>
      </c>
      <c r="K26" s="460"/>
      <c r="L26" s="460" t="s">
        <v>163</v>
      </c>
      <c r="M26" s="460"/>
      <c r="N26" s="460" t="s">
        <v>163</v>
      </c>
      <c r="O26" s="460"/>
      <c r="P26" s="461"/>
      <c r="Q26" s="462"/>
      <c r="R26" s="462"/>
      <c r="S26" s="463"/>
      <c r="T26" s="255"/>
    </row>
    <row r="27" spans="1:20" s="256" customFormat="1" ht="15.6" x14ac:dyDescent="0.3">
      <c r="A27" s="458"/>
      <c r="B27" s="459" t="s">
        <v>10</v>
      </c>
      <c r="C27" s="460"/>
      <c r="D27" s="460" t="s">
        <v>164</v>
      </c>
      <c r="E27" s="460"/>
      <c r="F27" s="460" t="s">
        <v>164</v>
      </c>
      <c r="G27" s="460"/>
      <c r="H27" s="460" t="s">
        <v>164</v>
      </c>
      <c r="I27" s="460"/>
      <c r="J27" s="460" t="s">
        <v>164</v>
      </c>
      <c r="K27" s="460"/>
      <c r="L27" s="460" t="s">
        <v>165</v>
      </c>
      <c r="M27" s="460"/>
      <c r="N27" s="460" t="s">
        <v>165</v>
      </c>
      <c r="O27" s="460"/>
      <c r="P27" s="461"/>
      <c r="Q27" s="462"/>
      <c r="R27" s="462"/>
      <c r="S27" s="463"/>
      <c r="T27" s="255"/>
    </row>
    <row r="28" spans="1:20" s="256" customFormat="1" ht="15.6" x14ac:dyDescent="0.3">
      <c r="A28" s="458"/>
      <c r="B28" s="459" t="s">
        <v>136</v>
      </c>
      <c r="C28" s="460"/>
      <c r="D28" s="460" t="s">
        <v>164</v>
      </c>
      <c r="E28" s="460"/>
      <c r="F28" s="460" t="s">
        <v>164</v>
      </c>
      <c r="G28" s="460"/>
      <c r="H28" s="460" t="s">
        <v>164</v>
      </c>
      <c r="I28" s="460"/>
      <c r="J28" s="460" t="s">
        <v>164</v>
      </c>
      <c r="K28" s="460"/>
      <c r="L28" s="460" t="s">
        <v>165</v>
      </c>
      <c r="M28" s="460"/>
      <c r="N28" s="460" t="s">
        <v>165</v>
      </c>
      <c r="O28" s="460"/>
      <c r="P28" s="461"/>
      <c r="Q28" s="462"/>
      <c r="R28" s="462"/>
      <c r="S28" s="463"/>
      <c r="T28" s="255"/>
    </row>
    <row r="29" spans="1:20" s="256" customFormat="1" ht="15.6" x14ac:dyDescent="0.3">
      <c r="A29" s="455"/>
      <c r="B29" s="155" t="s">
        <v>11</v>
      </c>
      <c r="C29" s="456"/>
      <c r="D29" s="456" t="s">
        <v>184</v>
      </c>
      <c r="E29" s="456"/>
      <c r="F29" s="464" t="s">
        <v>224</v>
      </c>
      <c r="G29" s="456"/>
      <c r="H29" s="456" t="s">
        <v>185</v>
      </c>
      <c r="I29" s="456"/>
      <c r="J29" s="456" t="s">
        <v>186</v>
      </c>
      <c r="K29" s="456"/>
      <c r="L29" s="456" t="s">
        <v>187</v>
      </c>
      <c r="M29" s="456"/>
      <c r="N29" s="456" t="s">
        <v>188</v>
      </c>
      <c r="O29" s="456"/>
      <c r="P29" s="464"/>
      <c r="Q29" s="457"/>
      <c r="R29" s="457"/>
      <c r="S29" s="463"/>
      <c r="T29" s="255"/>
    </row>
    <row r="30" spans="1:20" s="256" customFormat="1" ht="15.6" x14ac:dyDescent="0.3">
      <c r="A30" s="455"/>
      <c r="B30" s="155" t="s">
        <v>152</v>
      </c>
      <c r="C30" s="465"/>
      <c r="D30" s="466">
        <v>50000</v>
      </c>
      <c r="E30" s="465"/>
      <c r="F30" s="467">
        <v>330000</v>
      </c>
      <c r="G30" s="466"/>
      <c r="H30" s="468">
        <v>305000</v>
      </c>
      <c r="I30" s="466"/>
      <c r="J30" s="467">
        <v>453000</v>
      </c>
      <c r="K30" s="466"/>
      <c r="L30" s="468">
        <v>65000</v>
      </c>
      <c r="M30" s="466"/>
      <c r="N30" s="467">
        <v>50000</v>
      </c>
      <c r="O30" s="466"/>
      <c r="P30" s="466"/>
      <c r="Q30" s="469"/>
      <c r="R30" s="466"/>
      <c r="S30" s="470"/>
      <c r="T30" s="255"/>
    </row>
    <row r="31" spans="1:20" s="256" customFormat="1" ht="15.6" x14ac:dyDescent="0.3">
      <c r="A31" s="455"/>
      <c r="B31" s="155" t="s">
        <v>151</v>
      </c>
      <c r="C31" s="465"/>
      <c r="D31" s="466">
        <f>D37*D30</f>
        <v>0</v>
      </c>
      <c r="E31" s="465"/>
      <c r="F31" s="467">
        <f>F37*F30</f>
        <v>0</v>
      </c>
      <c r="G31" s="466"/>
      <c r="H31" s="468">
        <f>H30*H37</f>
        <v>192016.959</v>
      </c>
      <c r="I31" s="466"/>
      <c r="J31" s="467">
        <f>J30*J37</f>
        <v>285192.40140000003</v>
      </c>
      <c r="K31" s="466"/>
      <c r="L31" s="468">
        <f>L30*L37</f>
        <v>63428.560000000005</v>
      </c>
      <c r="M31" s="466"/>
      <c r="N31" s="467">
        <f>N30*N37</f>
        <v>48791.200000000004</v>
      </c>
      <c r="O31" s="466"/>
      <c r="P31" s="466"/>
      <c r="Q31" s="469"/>
      <c r="R31" s="466"/>
      <c r="S31" s="470"/>
      <c r="T31" s="255"/>
    </row>
    <row r="32" spans="1:20" s="256" customFormat="1" ht="15.6" x14ac:dyDescent="0.3">
      <c r="A32" s="458"/>
      <c r="B32" s="459" t="s">
        <v>153</v>
      </c>
      <c r="C32" s="471"/>
      <c r="D32" s="472">
        <f>D36*D30</f>
        <v>0</v>
      </c>
      <c r="E32" s="471"/>
      <c r="F32" s="473">
        <f>F36*F30</f>
        <v>0</v>
      </c>
      <c r="G32" s="472"/>
      <c r="H32" s="472">
        <f>H36*H30</f>
        <v>190954.09500000003</v>
      </c>
      <c r="I32" s="471"/>
      <c r="J32" s="473">
        <f>J36*J30</f>
        <v>283613.78700000001</v>
      </c>
      <c r="K32" s="472"/>
      <c r="L32" s="472">
        <f>L36*L30</f>
        <v>63077.455999999998</v>
      </c>
      <c r="M32" s="472"/>
      <c r="N32" s="473">
        <f>N36*N30</f>
        <v>48521.120000000003</v>
      </c>
      <c r="O32" s="472"/>
      <c r="P32" s="472"/>
      <c r="Q32" s="474"/>
      <c r="R32" s="475"/>
      <c r="S32" s="470"/>
      <c r="T32" s="255"/>
    </row>
    <row r="33" spans="1:20" s="256" customFormat="1" ht="15.6" x14ac:dyDescent="0.3">
      <c r="A33" s="455"/>
      <c r="B33" s="155" t="s">
        <v>285</v>
      </c>
      <c r="C33" s="465"/>
      <c r="D33" s="466">
        <v>50000</v>
      </c>
      <c r="E33" s="465"/>
      <c r="F33" s="466">
        <v>230000</v>
      </c>
      <c r="G33" s="466"/>
      <c r="H33" s="466">
        <v>305000</v>
      </c>
      <c r="I33" s="466"/>
      <c r="J33" s="466">
        <v>315000</v>
      </c>
      <c r="K33" s="466"/>
      <c r="L33" s="466">
        <v>65000</v>
      </c>
      <c r="M33" s="466"/>
      <c r="N33" s="466">
        <v>35000</v>
      </c>
      <c r="O33" s="466"/>
      <c r="P33" s="466"/>
      <c r="Q33" s="469"/>
      <c r="R33" s="466">
        <f>SUM(C33:N33)</f>
        <v>1000000</v>
      </c>
      <c r="S33" s="470"/>
      <c r="T33" s="255"/>
    </row>
    <row r="34" spans="1:20" s="256" customFormat="1" ht="15.6" x14ac:dyDescent="0.3">
      <c r="A34" s="455"/>
      <c r="B34" s="155" t="s">
        <v>286</v>
      </c>
      <c r="C34" s="465"/>
      <c r="D34" s="466">
        <f>+D31</f>
        <v>0</v>
      </c>
      <c r="E34" s="465"/>
      <c r="F34" s="466">
        <f>+F31*0.696969697</f>
        <v>0</v>
      </c>
      <c r="G34" s="466"/>
      <c r="H34" s="466">
        <f>H33*H37</f>
        <v>192016.959</v>
      </c>
      <c r="I34" s="466"/>
      <c r="J34" s="466">
        <f>J33*J37</f>
        <v>198312.59700000001</v>
      </c>
      <c r="K34" s="466"/>
      <c r="L34" s="466">
        <f>L33*L37</f>
        <v>63428.560000000005</v>
      </c>
      <c r="M34" s="466"/>
      <c r="N34" s="466">
        <f>N33*N37</f>
        <v>34153.840000000004</v>
      </c>
      <c r="O34" s="466"/>
      <c r="P34" s="466"/>
      <c r="Q34" s="469"/>
      <c r="R34" s="466">
        <f>SUM(C34:N34)</f>
        <v>487911.95600000001</v>
      </c>
      <c r="S34" s="470"/>
      <c r="T34" s="255"/>
    </row>
    <row r="35" spans="1:20" s="256" customFormat="1" ht="15.6" x14ac:dyDescent="0.3">
      <c r="A35" s="476"/>
      <c r="B35" s="459" t="s">
        <v>287</v>
      </c>
      <c r="C35" s="471"/>
      <c r="D35" s="472">
        <f>D36*D33</f>
        <v>0</v>
      </c>
      <c r="E35" s="471"/>
      <c r="F35" s="472">
        <f>F36*F33</f>
        <v>0</v>
      </c>
      <c r="G35" s="472"/>
      <c r="H35" s="472">
        <f>H36*H33</f>
        <v>190954.09500000003</v>
      </c>
      <c r="I35" s="471"/>
      <c r="J35" s="472">
        <f>J36*J33</f>
        <v>197214.88500000001</v>
      </c>
      <c r="K35" s="472"/>
      <c r="L35" s="472">
        <f>L36*L33</f>
        <v>63077.455999999998</v>
      </c>
      <c r="M35" s="472"/>
      <c r="N35" s="472">
        <f>N36*N33</f>
        <v>33964.784</v>
      </c>
      <c r="O35" s="472"/>
      <c r="P35" s="472"/>
      <c r="Q35" s="477"/>
      <c r="R35" s="472">
        <f>SUM(C35:N35)</f>
        <v>485211.22000000003</v>
      </c>
      <c r="S35" s="470"/>
      <c r="T35" s="255"/>
    </row>
    <row r="36" spans="1:20" ht="15.6" x14ac:dyDescent="0.3">
      <c r="A36" s="476"/>
      <c r="B36" s="478" t="s">
        <v>149</v>
      </c>
      <c r="C36" s="479"/>
      <c r="D36" s="480">
        <v>0</v>
      </c>
      <c r="E36" s="481"/>
      <c r="F36" s="480">
        <v>0</v>
      </c>
      <c r="G36" s="482"/>
      <c r="H36" s="480">
        <v>0.62607900000000005</v>
      </c>
      <c r="I36" s="482"/>
      <c r="J36" s="480">
        <v>0.62607900000000005</v>
      </c>
      <c r="K36" s="482"/>
      <c r="L36" s="480">
        <v>0.97042240000000002</v>
      </c>
      <c r="M36" s="482"/>
      <c r="N36" s="480">
        <v>0.97042240000000002</v>
      </c>
      <c r="O36" s="466"/>
      <c r="P36" s="466"/>
      <c r="Q36" s="483"/>
      <c r="R36" s="466"/>
      <c r="S36" s="484"/>
      <c r="T36" s="5"/>
    </row>
    <row r="37" spans="1:20" ht="15.6" x14ac:dyDescent="0.3">
      <c r="A37" s="476"/>
      <c r="B37" s="478" t="s">
        <v>150</v>
      </c>
      <c r="C37" s="479"/>
      <c r="D37" s="480">
        <v>0</v>
      </c>
      <c r="E37" s="481"/>
      <c r="F37" s="480">
        <v>0</v>
      </c>
      <c r="G37" s="482"/>
      <c r="H37" s="480">
        <v>0.62956380000000001</v>
      </c>
      <c r="I37" s="482"/>
      <c r="J37" s="480">
        <v>0.62956380000000001</v>
      </c>
      <c r="K37" s="482"/>
      <c r="L37" s="480">
        <v>0.97582400000000002</v>
      </c>
      <c r="M37" s="482"/>
      <c r="N37" s="480">
        <v>0.97582400000000002</v>
      </c>
      <c r="O37" s="485"/>
      <c r="P37" s="485"/>
      <c r="Q37" s="483"/>
      <c r="R37" s="466"/>
      <c r="S37" s="484"/>
      <c r="T37" s="5"/>
    </row>
    <row r="38" spans="1:20" s="256" customFormat="1" ht="15.6" x14ac:dyDescent="0.3">
      <c r="A38" s="455"/>
      <c r="B38" s="155" t="s">
        <v>12</v>
      </c>
      <c r="C38" s="155"/>
      <c r="D38" s="464" t="s">
        <v>189</v>
      </c>
      <c r="E38" s="155"/>
      <c r="F38" s="464" t="s">
        <v>189</v>
      </c>
      <c r="G38" s="464"/>
      <c r="H38" s="464" t="s">
        <v>190</v>
      </c>
      <c r="I38" s="464"/>
      <c r="J38" s="464" t="s">
        <v>192</v>
      </c>
      <c r="K38" s="464"/>
      <c r="L38" s="464" t="s">
        <v>193</v>
      </c>
      <c r="M38" s="464"/>
      <c r="N38" s="464" t="s">
        <v>194</v>
      </c>
      <c r="O38" s="464"/>
      <c r="P38" s="464"/>
      <c r="Q38" s="457"/>
      <c r="R38" s="457"/>
      <c r="S38" s="160"/>
      <c r="T38" s="255"/>
    </row>
    <row r="39" spans="1:20" s="256" customFormat="1" ht="15.6" x14ac:dyDescent="0.3">
      <c r="A39" s="455"/>
      <c r="B39" s="155" t="s">
        <v>13</v>
      </c>
      <c r="C39" s="155"/>
      <c r="D39" s="486">
        <v>0</v>
      </c>
      <c r="E39" s="155"/>
      <c r="F39" s="486">
        <v>0</v>
      </c>
      <c r="G39" s="487"/>
      <c r="H39" s="486">
        <v>8.0000000000000002E-3</v>
      </c>
      <c r="I39" s="487"/>
      <c r="J39" s="486">
        <v>8.6400000000000001E-3</v>
      </c>
      <c r="K39" s="487"/>
      <c r="L39" s="486">
        <v>1.26E-2</v>
      </c>
      <c r="M39" s="487"/>
      <c r="N39" s="486">
        <v>1.2840000000000001E-2</v>
      </c>
      <c r="O39" s="487"/>
      <c r="P39" s="486"/>
      <c r="Q39" s="457"/>
      <c r="R39" s="487"/>
      <c r="S39" s="160"/>
      <c r="T39" s="255"/>
    </row>
    <row r="40" spans="1:20" s="256" customFormat="1" ht="15.6" x14ac:dyDescent="0.3">
      <c r="A40" s="455"/>
      <c r="B40" s="155" t="s">
        <v>14</v>
      </c>
      <c r="C40" s="155"/>
      <c r="D40" s="486">
        <v>0</v>
      </c>
      <c r="E40" s="155"/>
      <c r="F40" s="486">
        <v>0</v>
      </c>
      <c r="G40" s="487"/>
      <c r="H40" s="486">
        <v>7.5813E-3</v>
      </c>
      <c r="I40" s="487"/>
      <c r="J40" s="486">
        <v>9.2200000000000008E-3</v>
      </c>
      <c r="K40" s="487"/>
      <c r="L40" s="486">
        <v>1.2181300000000001E-2</v>
      </c>
      <c r="M40" s="487"/>
      <c r="N40" s="486">
        <v>1.342E-2</v>
      </c>
      <c r="O40" s="487"/>
      <c r="P40" s="486"/>
      <c r="Q40" s="457"/>
      <c r="R40" s="457"/>
      <c r="S40" s="160"/>
      <c r="T40" s="255"/>
    </row>
    <row r="41" spans="1:20" s="256" customFormat="1" ht="15.6" x14ac:dyDescent="0.3">
      <c r="A41" s="455"/>
      <c r="B41" s="155" t="s">
        <v>288</v>
      </c>
      <c r="C41" s="155"/>
      <c r="D41" s="464" t="s">
        <v>189</v>
      </c>
      <c r="E41" s="155"/>
      <c r="F41" s="464" t="s">
        <v>215</v>
      </c>
      <c r="G41" s="464"/>
      <c r="H41" s="464" t="s">
        <v>190</v>
      </c>
      <c r="I41" s="464"/>
      <c r="J41" s="464" t="s">
        <v>216</v>
      </c>
      <c r="K41" s="464"/>
      <c r="L41" s="464" t="s">
        <v>193</v>
      </c>
      <c r="M41" s="464"/>
      <c r="N41" s="464" t="s">
        <v>217</v>
      </c>
      <c r="O41" s="487"/>
      <c r="P41" s="486"/>
      <c r="Q41" s="457"/>
      <c r="R41" s="487"/>
      <c r="S41" s="160"/>
      <c r="T41" s="255"/>
    </row>
    <row r="42" spans="1:20" s="256" customFormat="1" ht="15.6" x14ac:dyDescent="0.3">
      <c r="A42" s="455"/>
      <c r="B42" s="155" t="s">
        <v>289</v>
      </c>
      <c r="C42" s="155"/>
      <c r="D42" s="486">
        <f>+D39</f>
        <v>0</v>
      </c>
      <c r="E42" s="155"/>
      <c r="F42" s="486">
        <v>0</v>
      </c>
      <c r="G42" s="487"/>
      <c r="H42" s="486">
        <f>+H39</f>
        <v>8.0000000000000002E-3</v>
      </c>
      <c r="I42" s="487"/>
      <c r="J42" s="486">
        <v>8.3979999999999992E-3</v>
      </c>
      <c r="K42" s="487"/>
      <c r="L42" s="486">
        <f>+L39</f>
        <v>1.26E-2</v>
      </c>
      <c r="M42" s="487"/>
      <c r="N42" s="486">
        <v>1.2977000000000001E-2</v>
      </c>
      <c r="O42" s="487"/>
      <c r="P42" s="486"/>
      <c r="Q42" s="457"/>
      <c r="R42" s="487">
        <f>SUMPRODUCT(D42:N42,D34:N34)/R34</f>
        <v>9.1081578236340659E-3</v>
      </c>
      <c r="S42" s="160"/>
      <c r="T42" s="255"/>
    </row>
    <row r="43" spans="1:20" s="256" customFormat="1" ht="15.6" x14ac:dyDescent="0.3">
      <c r="A43" s="455"/>
      <c r="B43" s="155" t="s">
        <v>290</v>
      </c>
      <c r="C43" s="155"/>
      <c r="D43" s="486">
        <f>+D40</f>
        <v>0</v>
      </c>
      <c r="E43" s="155"/>
      <c r="F43" s="486">
        <v>0</v>
      </c>
      <c r="G43" s="487"/>
      <c r="H43" s="486">
        <f>+H40</f>
        <v>7.5813E-3</v>
      </c>
      <c r="I43" s="487"/>
      <c r="J43" s="486">
        <v>7.9792999999999999E-3</v>
      </c>
      <c r="K43" s="487"/>
      <c r="L43" s="486">
        <f>+L40</f>
        <v>1.2181300000000001E-2</v>
      </c>
      <c r="M43" s="487"/>
      <c r="N43" s="486">
        <v>1.25583E-2</v>
      </c>
      <c r="O43" s="487"/>
      <c r="P43" s="486"/>
      <c r="Q43" s="457"/>
      <c r="R43" s="457"/>
      <c r="S43" s="160"/>
      <c r="T43" s="255"/>
    </row>
    <row r="44" spans="1:20" s="256" customFormat="1" ht="15.6" x14ac:dyDescent="0.3">
      <c r="A44" s="455"/>
      <c r="B44" s="155" t="s">
        <v>15</v>
      </c>
      <c r="C44" s="488"/>
      <c r="D44" s="488">
        <v>39736</v>
      </c>
      <c r="E44" s="488"/>
      <c r="F44" s="488">
        <v>39736</v>
      </c>
      <c r="G44" s="488"/>
      <c r="H44" s="488">
        <v>39736</v>
      </c>
      <c r="I44" s="488"/>
      <c r="J44" s="488">
        <v>39736</v>
      </c>
      <c r="K44" s="488"/>
      <c r="L44" s="488">
        <v>39736</v>
      </c>
      <c r="M44" s="488"/>
      <c r="N44" s="488">
        <v>39736</v>
      </c>
      <c r="O44" s="464"/>
      <c r="P44" s="464"/>
      <c r="Q44" s="457"/>
      <c r="R44" s="457"/>
      <c r="S44" s="160"/>
      <c r="T44" s="255"/>
    </row>
    <row r="45" spans="1:20" s="256" customFormat="1" ht="15.6" x14ac:dyDescent="0.3">
      <c r="A45" s="455"/>
      <c r="B45" s="155" t="s">
        <v>16</v>
      </c>
      <c r="C45" s="488"/>
      <c r="D45" s="488">
        <v>40466</v>
      </c>
      <c r="E45" s="488"/>
      <c r="F45" s="488">
        <v>40466</v>
      </c>
      <c r="G45" s="488"/>
      <c r="H45" s="488">
        <v>40466</v>
      </c>
      <c r="I45" s="464"/>
      <c r="J45" s="488">
        <v>40466</v>
      </c>
      <c r="K45" s="464"/>
      <c r="L45" s="488">
        <v>40466</v>
      </c>
      <c r="M45" s="464"/>
      <c r="N45" s="488">
        <v>40466</v>
      </c>
      <c r="O45" s="464"/>
      <c r="P45" s="464"/>
      <c r="Q45" s="457"/>
      <c r="R45" s="457"/>
      <c r="S45" s="160"/>
      <c r="T45" s="255"/>
    </row>
    <row r="46" spans="1:20" s="256" customFormat="1" ht="15.6" x14ac:dyDescent="0.3">
      <c r="A46" s="455"/>
      <c r="B46" s="155" t="s">
        <v>138</v>
      </c>
      <c r="C46" s="155"/>
      <c r="D46" s="464" t="s">
        <v>191</v>
      </c>
      <c r="E46" s="155"/>
      <c r="F46" s="464" t="s">
        <v>191</v>
      </c>
      <c r="G46" s="464"/>
      <c r="H46" s="464" t="s">
        <v>198</v>
      </c>
      <c r="I46" s="464"/>
      <c r="J46" s="464" t="s">
        <v>197</v>
      </c>
      <c r="K46" s="464"/>
      <c r="L46" s="464" t="s">
        <v>196</v>
      </c>
      <c r="M46" s="464"/>
      <c r="N46" s="464" t="s">
        <v>195</v>
      </c>
      <c r="O46" s="464"/>
      <c r="P46" s="464"/>
      <c r="Q46" s="457"/>
      <c r="R46" s="457"/>
      <c r="S46" s="160"/>
      <c r="T46" s="255"/>
    </row>
    <row r="47" spans="1:20" s="256" customFormat="1" ht="15.6" x14ac:dyDescent="0.3">
      <c r="A47" s="455"/>
      <c r="B47" s="155" t="s">
        <v>291</v>
      </c>
      <c r="C47" s="155"/>
      <c r="D47" s="464" t="s">
        <v>191</v>
      </c>
      <c r="E47" s="155"/>
      <c r="F47" s="464" t="s">
        <v>225</v>
      </c>
      <c r="G47" s="464"/>
      <c r="H47" s="464" t="s">
        <v>198</v>
      </c>
      <c r="I47" s="464"/>
      <c r="J47" s="464" t="s">
        <v>226</v>
      </c>
      <c r="K47" s="464"/>
      <c r="L47" s="464" t="s">
        <v>196</v>
      </c>
      <c r="M47" s="464"/>
      <c r="N47" s="464" t="s">
        <v>227</v>
      </c>
      <c r="O47" s="464"/>
      <c r="P47" s="464"/>
      <c r="Q47" s="457"/>
      <c r="R47" s="457"/>
      <c r="S47" s="160"/>
      <c r="T47" s="255"/>
    </row>
    <row r="48" spans="1:20" s="256" customFormat="1" ht="15.6" x14ac:dyDescent="0.3">
      <c r="A48" s="455"/>
      <c r="B48" s="155"/>
      <c r="C48" s="155"/>
      <c r="D48" s="155"/>
      <c r="E48" s="155"/>
      <c r="F48" s="464"/>
      <c r="G48" s="464"/>
      <c r="H48" s="489"/>
      <c r="I48" s="490"/>
      <c r="J48" s="489"/>
      <c r="K48" s="490"/>
      <c r="L48" s="489"/>
      <c r="M48" s="490"/>
      <c r="N48" s="489"/>
      <c r="O48" s="490"/>
      <c r="P48" s="490"/>
      <c r="Q48" s="490"/>
      <c r="R48" s="490"/>
      <c r="S48" s="160"/>
      <c r="T48" s="255"/>
    </row>
    <row r="49" spans="1:21" s="256" customFormat="1" ht="15.6" x14ac:dyDescent="0.3">
      <c r="A49" s="455"/>
      <c r="B49" s="155" t="s">
        <v>17</v>
      </c>
      <c r="C49" s="155"/>
      <c r="D49" s="155"/>
      <c r="E49" s="155"/>
      <c r="F49" s="491"/>
      <c r="G49" s="155"/>
      <c r="H49" s="489"/>
      <c r="I49" s="490"/>
      <c r="J49" s="489"/>
      <c r="K49" s="490"/>
      <c r="L49" s="489"/>
      <c r="M49" s="490"/>
      <c r="N49" s="489"/>
      <c r="O49" s="155"/>
      <c r="P49" s="155"/>
      <c r="Q49" s="155"/>
      <c r="R49" s="487">
        <f>SUM(L33:N33)/SUM(D33:J33)</f>
        <v>0.1111111111111111</v>
      </c>
      <c r="S49" s="160"/>
      <c r="T49" s="255"/>
    </row>
    <row r="50" spans="1:21" s="256" customFormat="1" ht="15.6" x14ac:dyDescent="0.3">
      <c r="A50" s="455"/>
      <c r="B50" s="155" t="s">
        <v>18</v>
      </c>
      <c r="C50" s="155"/>
      <c r="D50" s="155"/>
      <c r="E50" s="155"/>
      <c r="F50" s="491"/>
      <c r="G50" s="155"/>
      <c r="H50" s="155"/>
      <c r="I50" s="155"/>
      <c r="J50" s="155"/>
      <c r="K50" s="155"/>
      <c r="L50" s="155"/>
      <c r="M50" s="155"/>
      <c r="N50" s="155"/>
      <c r="O50" s="155"/>
      <c r="P50" s="155"/>
      <c r="Q50" s="155"/>
      <c r="R50" s="487">
        <f>SUM(L35:N35)/SUM(D35:J35)</f>
        <v>0.24999998711901189</v>
      </c>
      <c r="S50" s="160"/>
      <c r="T50" s="255"/>
    </row>
    <row r="51" spans="1:21" s="256" customFormat="1" ht="15.6" x14ac:dyDescent="0.3">
      <c r="A51" s="455"/>
      <c r="B51" s="155" t="s">
        <v>19</v>
      </c>
      <c r="C51" s="155"/>
      <c r="D51" s="155"/>
      <c r="E51" s="155"/>
      <c r="F51" s="155"/>
      <c r="G51" s="155"/>
      <c r="H51" s="155"/>
      <c r="I51" s="155"/>
      <c r="J51" s="155"/>
      <c r="K51" s="155"/>
      <c r="L51" s="155"/>
      <c r="M51" s="155"/>
      <c r="N51" s="155"/>
      <c r="O51" s="155"/>
      <c r="P51" s="464" t="s">
        <v>117</v>
      </c>
      <c r="Q51" s="464" t="s">
        <v>124</v>
      </c>
      <c r="R51" s="466">
        <f>+R33/2-SUM(L33:N33)</f>
        <v>400000</v>
      </c>
      <c r="S51" s="160"/>
      <c r="T51" s="255"/>
    </row>
    <row r="52" spans="1:21" s="256" customFormat="1" ht="15.6" x14ac:dyDescent="0.3">
      <c r="A52" s="455"/>
      <c r="B52" s="155"/>
      <c r="C52" s="155"/>
      <c r="D52" s="155"/>
      <c r="E52" s="155"/>
      <c r="F52" s="155"/>
      <c r="G52" s="155"/>
      <c r="H52" s="155"/>
      <c r="I52" s="155"/>
      <c r="J52" s="155"/>
      <c r="K52" s="155"/>
      <c r="L52" s="155"/>
      <c r="M52" s="155"/>
      <c r="N52" s="155"/>
      <c r="O52" s="155"/>
      <c r="P52" s="155" t="s">
        <v>282</v>
      </c>
      <c r="Q52" s="155"/>
      <c r="R52" s="492"/>
      <c r="S52" s="160"/>
      <c r="T52" s="255"/>
    </row>
    <row r="53" spans="1:21" s="256" customFormat="1" ht="15.6" x14ac:dyDescent="0.3">
      <c r="A53" s="455"/>
      <c r="B53" s="155" t="s">
        <v>166</v>
      </c>
      <c r="C53" s="155"/>
      <c r="D53" s="155"/>
      <c r="E53" s="155"/>
      <c r="F53" s="155"/>
      <c r="G53" s="155"/>
      <c r="H53" s="155"/>
      <c r="I53" s="155"/>
      <c r="J53" s="155"/>
      <c r="K53" s="155"/>
      <c r="L53" s="155"/>
      <c r="M53" s="155"/>
      <c r="N53" s="155"/>
      <c r="O53" s="155"/>
      <c r="P53" s="464"/>
      <c r="Q53" s="464"/>
      <c r="R53" s="464" t="s">
        <v>126</v>
      </c>
      <c r="S53" s="160"/>
      <c r="T53" s="255"/>
    </row>
    <row r="54" spans="1:21" s="256" customFormat="1" ht="15.6" x14ac:dyDescent="0.3">
      <c r="A54" s="455"/>
      <c r="B54" s="459" t="s">
        <v>167</v>
      </c>
      <c r="C54" s="493"/>
      <c r="D54" s="493"/>
      <c r="E54" s="493"/>
      <c r="F54" s="493"/>
      <c r="G54" s="493"/>
      <c r="H54" s="493"/>
      <c r="I54" s="493"/>
      <c r="J54" s="493"/>
      <c r="K54" s="493"/>
      <c r="L54" s="493"/>
      <c r="M54" s="493"/>
      <c r="N54" s="493"/>
      <c r="O54" s="493"/>
      <c r="P54" s="494"/>
      <c r="Q54" s="494"/>
      <c r="R54" s="495">
        <v>40283</v>
      </c>
      <c r="S54" s="463"/>
      <c r="T54" s="255"/>
    </row>
    <row r="55" spans="1:21" s="256" customFormat="1" ht="15.6" x14ac:dyDescent="0.3">
      <c r="A55" s="455"/>
      <c r="B55" s="155" t="s">
        <v>140</v>
      </c>
      <c r="C55" s="155"/>
      <c r="D55" s="155"/>
      <c r="E55" s="155"/>
      <c r="F55" s="155"/>
      <c r="G55" s="155"/>
      <c r="H55" s="496"/>
      <c r="I55" s="496"/>
      <c r="J55" s="496"/>
      <c r="K55" s="496"/>
      <c r="L55" s="496"/>
      <c r="M55" s="496"/>
      <c r="N55" s="155">
        <f>+R55-P55+1</f>
        <v>92</v>
      </c>
      <c r="O55" s="496"/>
      <c r="P55" s="497">
        <v>40101</v>
      </c>
      <c r="Q55" s="498"/>
      <c r="R55" s="497">
        <v>40192</v>
      </c>
      <c r="S55" s="463"/>
      <c r="T55" s="255"/>
    </row>
    <row r="56" spans="1:21" s="256" customFormat="1" ht="15.6" x14ac:dyDescent="0.3">
      <c r="A56" s="455"/>
      <c r="B56" s="155" t="s">
        <v>141</v>
      </c>
      <c r="C56" s="155"/>
      <c r="D56" s="155"/>
      <c r="E56" s="155"/>
      <c r="F56" s="155"/>
      <c r="G56" s="155"/>
      <c r="H56" s="155"/>
      <c r="I56" s="155"/>
      <c r="J56" s="155"/>
      <c r="K56" s="155"/>
      <c r="L56" s="155"/>
      <c r="M56" s="155"/>
      <c r="N56" s="155">
        <f>+R56-P56+1</f>
        <v>90</v>
      </c>
      <c r="O56" s="155"/>
      <c r="P56" s="497">
        <v>40193</v>
      </c>
      <c r="Q56" s="498"/>
      <c r="R56" s="497">
        <v>40282</v>
      </c>
      <c r="S56" s="463"/>
      <c r="T56" s="255"/>
    </row>
    <row r="57" spans="1:21" s="256" customFormat="1" ht="15.6" x14ac:dyDescent="0.3">
      <c r="A57" s="455"/>
      <c r="B57" s="155" t="s">
        <v>229</v>
      </c>
      <c r="C57" s="155"/>
      <c r="D57" s="155"/>
      <c r="E57" s="155"/>
      <c r="F57" s="155"/>
      <c r="G57" s="155"/>
      <c r="H57" s="155"/>
      <c r="I57" s="155"/>
      <c r="J57" s="155"/>
      <c r="K57" s="155"/>
      <c r="L57" s="155"/>
      <c r="M57" s="155"/>
      <c r="N57" s="155"/>
      <c r="O57" s="155"/>
      <c r="P57" s="497"/>
      <c r="Q57" s="498"/>
      <c r="R57" s="497" t="s">
        <v>139</v>
      </c>
      <c r="S57" s="463"/>
      <c r="T57" s="255"/>
    </row>
    <row r="58" spans="1:21" s="256" customFormat="1" ht="15.6" x14ac:dyDescent="0.3">
      <c r="A58" s="455"/>
      <c r="B58" s="155" t="s">
        <v>228</v>
      </c>
      <c r="C58" s="155"/>
      <c r="D58" s="155"/>
      <c r="E58" s="155"/>
      <c r="F58" s="155"/>
      <c r="G58" s="155"/>
      <c r="H58" s="155"/>
      <c r="I58" s="155"/>
      <c r="J58" s="155"/>
      <c r="K58" s="155"/>
      <c r="L58" s="155"/>
      <c r="M58" s="155"/>
      <c r="N58" s="155"/>
      <c r="O58" s="155"/>
      <c r="P58" s="497"/>
      <c r="Q58" s="498"/>
      <c r="R58" s="497" t="s">
        <v>204</v>
      </c>
      <c r="S58" s="463"/>
      <c r="T58" s="255"/>
      <c r="U58" s="260"/>
    </row>
    <row r="59" spans="1:21" s="256" customFormat="1" ht="15.6" x14ac:dyDescent="0.3">
      <c r="A59" s="455"/>
      <c r="B59" s="155" t="s">
        <v>20</v>
      </c>
      <c r="C59" s="155"/>
      <c r="D59" s="155"/>
      <c r="E59" s="155"/>
      <c r="F59" s="155"/>
      <c r="G59" s="155"/>
      <c r="H59" s="155"/>
      <c r="I59" s="155"/>
      <c r="J59" s="155"/>
      <c r="K59" s="155"/>
      <c r="L59" s="155"/>
      <c r="M59" s="155"/>
      <c r="N59" s="155"/>
      <c r="O59" s="155"/>
      <c r="P59" s="497"/>
      <c r="Q59" s="498"/>
      <c r="R59" s="497">
        <v>40269</v>
      </c>
      <c r="S59" s="463"/>
      <c r="T59" s="255"/>
    </row>
    <row r="60" spans="1:21" s="256" customFormat="1" ht="15.6" x14ac:dyDescent="0.3">
      <c r="A60" s="414"/>
      <c r="B60" s="151"/>
      <c r="C60" s="151"/>
      <c r="D60" s="151"/>
      <c r="E60" s="151"/>
      <c r="F60" s="151"/>
      <c r="G60" s="151"/>
      <c r="H60" s="151"/>
      <c r="I60" s="151"/>
      <c r="J60" s="151"/>
      <c r="K60" s="151"/>
      <c r="L60" s="151"/>
      <c r="M60" s="151"/>
      <c r="N60" s="151"/>
      <c r="O60" s="151"/>
      <c r="P60" s="451"/>
      <c r="Q60" s="452"/>
      <c r="R60" s="451"/>
      <c r="S60" s="415"/>
      <c r="T60" s="255"/>
    </row>
    <row r="61" spans="1:21" s="256" customFormat="1" ht="15.6" x14ac:dyDescent="0.3">
      <c r="A61" s="414"/>
      <c r="B61" s="8"/>
      <c r="C61" s="8"/>
      <c r="D61" s="8"/>
      <c r="E61" s="8"/>
      <c r="F61" s="8"/>
      <c r="G61" s="8"/>
      <c r="H61" s="8"/>
      <c r="I61" s="8"/>
      <c r="J61" s="8"/>
      <c r="K61" s="8"/>
      <c r="L61" s="8"/>
      <c r="M61" s="8"/>
      <c r="N61" s="8"/>
      <c r="O61" s="8"/>
      <c r="P61" s="453"/>
      <c r="Q61" s="454"/>
      <c r="R61" s="453"/>
      <c r="S61" s="408"/>
      <c r="T61" s="255"/>
    </row>
    <row r="62" spans="1:21" s="256" customFormat="1" ht="18" thickBot="1" x14ac:dyDescent="0.35">
      <c r="A62" s="416"/>
      <c r="B62" s="103" t="s">
        <v>295</v>
      </c>
      <c r="C62" s="104"/>
      <c r="D62" s="104"/>
      <c r="E62" s="104"/>
      <c r="F62" s="104"/>
      <c r="G62" s="104"/>
      <c r="H62" s="104"/>
      <c r="I62" s="104"/>
      <c r="J62" s="104"/>
      <c r="K62" s="104"/>
      <c r="L62" s="104"/>
      <c r="M62" s="104"/>
      <c r="N62" s="104"/>
      <c r="O62" s="104"/>
      <c r="P62" s="104"/>
      <c r="Q62" s="104"/>
      <c r="R62" s="105"/>
      <c r="S62" s="417"/>
      <c r="T62" s="255"/>
    </row>
    <row r="63" spans="1:21" s="256" customFormat="1" ht="17.399999999999999" x14ac:dyDescent="0.3">
      <c r="A63" s="414"/>
      <c r="B63" s="499"/>
      <c r="C63" s="151"/>
      <c r="D63" s="151"/>
      <c r="E63" s="151"/>
      <c r="F63" s="151"/>
      <c r="G63" s="151"/>
      <c r="H63" s="151"/>
      <c r="I63" s="151"/>
      <c r="J63" s="151"/>
      <c r="K63" s="151"/>
      <c r="L63" s="151"/>
      <c r="M63" s="151"/>
      <c r="N63" s="151"/>
      <c r="O63" s="151"/>
      <c r="P63" s="151"/>
      <c r="Q63" s="151"/>
      <c r="R63" s="500"/>
      <c r="S63" s="415"/>
      <c r="T63" s="255"/>
    </row>
    <row r="64" spans="1:21" ht="15.6" x14ac:dyDescent="0.3">
      <c r="A64" s="411"/>
      <c r="B64" s="51" t="s">
        <v>21</v>
      </c>
      <c r="C64" s="412"/>
      <c r="D64" s="412"/>
      <c r="E64" s="412"/>
      <c r="F64" s="412"/>
      <c r="G64" s="412"/>
      <c r="H64" s="412"/>
      <c r="I64" s="412"/>
      <c r="J64" s="412"/>
      <c r="K64" s="412"/>
      <c r="L64" s="412"/>
      <c r="M64" s="412"/>
      <c r="N64" s="412"/>
      <c r="O64" s="412"/>
      <c r="P64" s="412"/>
      <c r="Q64" s="412"/>
      <c r="R64" s="419"/>
      <c r="S64" s="412"/>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s="256" customFormat="1" ht="15.6" x14ac:dyDescent="0.3">
      <c r="A67" s="455"/>
      <c r="B67" s="155" t="s">
        <v>23</v>
      </c>
      <c r="C67" s="157"/>
      <c r="D67" s="157"/>
      <c r="E67" s="157"/>
      <c r="F67" s="157"/>
      <c r="G67" s="157"/>
      <c r="H67" s="157">
        <v>729883</v>
      </c>
      <c r="I67" s="157"/>
      <c r="J67" s="501">
        <v>487912</v>
      </c>
      <c r="K67" s="157"/>
      <c r="L67" s="157">
        <f>2701+751+6</f>
        <v>3458</v>
      </c>
      <c r="M67" s="157"/>
      <c r="N67" s="157">
        <f>751+6</f>
        <v>757</v>
      </c>
      <c r="O67" s="157"/>
      <c r="P67" s="157">
        <v>0</v>
      </c>
      <c r="Q67" s="157"/>
      <c r="R67" s="501">
        <f>+J67-L67+N67-P67</f>
        <v>485211</v>
      </c>
      <c r="S67" s="160"/>
      <c r="T67" s="255"/>
    </row>
    <row r="68" spans="1:20" s="256" customFormat="1" ht="15.6" x14ac:dyDescent="0.3">
      <c r="A68" s="455"/>
      <c r="B68" s="155" t="s">
        <v>24</v>
      </c>
      <c r="C68" s="157"/>
      <c r="D68" s="157"/>
      <c r="E68" s="157"/>
      <c r="F68" s="157"/>
      <c r="G68" s="157"/>
      <c r="H68" s="157">
        <v>184</v>
      </c>
      <c r="I68" s="157"/>
      <c r="J68" s="501">
        <v>0</v>
      </c>
      <c r="K68" s="157"/>
      <c r="L68" s="157">
        <v>0</v>
      </c>
      <c r="M68" s="157"/>
      <c r="N68" s="157">
        <v>0</v>
      </c>
      <c r="O68" s="157"/>
      <c r="P68" s="157">
        <v>0</v>
      </c>
      <c r="Q68" s="157"/>
      <c r="R68" s="501">
        <f>+J68-L68</f>
        <v>0</v>
      </c>
      <c r="S68" s="160"/>
      <c r="T68" s="255"/>
    </row>
    <row r="69" spans="1:20" s="256" customFormat="1" ht="15.6" x14ac:dyDescent="0.3">
      <c r="A69" s="455"/>
      <c r="B69" s="155"/>
      <c r="C69" s="157"/>
      <c r="D69" s="157"/>
      <c r="E69" s="157"/>
      <c r="F69" s="157"/>
      <c r="G69" s="157"/>
      <c r="H69" s="157"/>
      <c r="I69" s="157"/>
      <c r="J69" s="501"/>
      <c r="K69" s="157"/>
      <c r="L69" s="157"/>
      <c r="M69" s="157"/>
      <c r="N69" s="157"/>
      <c r="O69" s="157"/>
      <c r="P69" s="157"/>
      <c r="Q69" s="157"/>
      <c r="R69" s="501"/>
      <c r="S69" s="160"/>
      <c r="T69" s="255"/>
    </row>
    <row r="70" spans="1:20" s="256" customFormat="1" ht="15.6" x14ac:dyDescent="0.3">
      <c r="A70" s="455"/>
      <c r="B70" s="155" t="s">
        <v>25</v>
      </c>
      <c r="C70" s="157"/>
      <c r="D70" s="157"/>
      <c r="E70" s="157"/>
      <c r="F70" s="157"/>
      <c r="G70" s="157"/>
      <c r="H70" s="157">
        <f>SUM(H67:H69)</f>
        <v>730067</v>
      </c>
      <c r="I70" s="157"/>
      <c r="J70" s="157">
        <f>J67+J68</f>
        <v>487912</v>
      </c>
      <c r="K70" s="157"/>
      <c r="L70" s="157">
        <f>SUM(L67:L69)</f>
        <v>3458</v>
      </c>
      <c r="M70" s="157"/>
      <c r="N70" s="157">
        <f>SUM(N67:N69)</f>
        <v>757</v>
      </c>
      <c r="O70" s="157"/>
      <c r="P70" s="157">
        <f>SUM(P67:P69)</f>
        <v>0</v>
      </c>
      <c r="Q70" s="157"/>
      <c r="R70" s="157">
        <f>SUM(R67:R69)</f>
        <v>485211</v>
      </c>
      <c r="S70" s="160"/>
      <c r="T70" s="255"/>
    </row>
    <row r="71" spans="1:20" ht="15.6" x14ac:dyDescent="0.3">
      <c r="A71" s="6"/>
      <c r="B71" s="151"/>
      <c r="C71" s="420"/>
      <c r="D71" s="420"/>
      <c r="E71" s="420"/>
      <c r="F71" s="420"/>
      <c r="G71" s="420"/>
      <c r="H71" s="420"/>
      <c r="I71" s="420"/>
      <c r="J71" s="420"/>
      <c r="K71" s="420"/>
      <c r="L71" s="420"/>
      <c r="M71" s="420"/>
      <c r="N71" s="420"/>
      <c r="O71" s="420"/>
      <c r="P71" s="420"/>
      <c r="Q71" s="420"/>
      <c r="R71" s="421"/>
      <c r="S71" s="151"/>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s="256" customFormat="1" ht="15.6" x14ac:dyDescent="0.3">
      <c r="A74" s="502"/>
      <c r="B74" s="155" t="s">
        <v>23</v>
      </c>
      <c r="C74" s="157"/>
      <c r="D74" s="157"/>
      <c r="E74" s="157"/>
      <c r="F74" s="157"/>
      <c r="G74" s="157"/>
      <c r="H74" s="157"/>
      <c r="I74" s="157"/>
      <c r="J74" s="157"/>
      <c r="K74" s="157"/>
      <c r="L74" s="157"/>
      <c r="M74" s="157"/>
      <c r="N74" s="157"/>
      <c r="O74" s="157"/>
      <c r="P74" s="157"/>
      <c r="Q74" s="157"/>
      <c r="R74" s="157"/>
      <c r="S74" s="160"/>
      <c r="T74" s="255"/>
    </row>
    <row r="75" spans="1:20" s="256" customFormat="1" ht="15.6" x14ac:dyDescent="0.3">
      <c r="A75" s="502"/>
      <c r="B75" s="155" t="s">
        <v>24</v>
      </c>
      <c r="C75" s="157"/>
      <c r="D75" s="157"/>
      <c r="E75" s="157"/>
      <c r="F75" s="157"/>
      <c r="G75" s="157"/>
      <c r="H75" s="157"/>
      <c r="I75" s="157"/>
      <c r="J75" s="157"/>
      <c r="K75" s="157"/>
      <c r="L75" s="157"/>
      <c r="M75" s="157"/>
      <c r="N75" s="157"/>
      <c r="O75" s="157"/>
      <c r="P75" s="157"/>
      <c r="Q75" s="157"/>
      <c r="R75" s="157"/>
      <c r="S75" s="160"/>
      <c r="T75" s="255"/>
    </row>
    <row r="76" spans="1:20" s="256" customFormat="1" ht="15.6" x14ac:dyDescent="0.3">
      <c r="A76" s="502"/>
      <c r="B76" s="155"/>
      <c r="C76" s="157"/>
      <c r="D76" s="157"/>
      <c r="E76" s="157"/>
      <c r="F76" s="157"/>
      <c r="G76" s="157"/>
      <c r="H76" s="157"/>
      <c r="I76" s="157"/>
      <c r="J76" s="157"/>
      <c r="K76" s="157"/>
      <c r="L76" s="157"/>
      <c r="M76" s="157"/>
      <c r="N76" s="157"/>
      <c r="O76" s="157"/>
      <c r="P76" s="157"/>
      <c r="Q76" s="157"/>
      <c r="R76" s="157"/>
      <c r="S76" s="160"/>
      <c r="T76" s="255"/>
    </row>
    <row r="77" spans="1:20" s="256" customFormat="1" ht="15.6" x14ac:dyDescent="0.3">
      <c r="A77" s="502"/>
      <c r="B77" s="155" t="s">
        <v>25</v>
      </c>
      <c r="C77" s="157"/>
      <c r="D77" s="157"/>
      <c r="E77" s="157"/>
      <c r="F77" s="157"/>
      <c r="G77" s="157"/>
      <c r="H77" s="157"/>
      <c r="I77" s="157"/>
      <c r="J77" s="157"/>
      <c r="K77" s="157"/>
      <c r="L77" s="157"/>
      <c r="M77" s="157"/>
      <c r="N77" s="157"/>
      <c r="O77" s="157"/>
      <c r="P77" s="157"/>
      <c r="Q77" s="157"/>
      <c r="R77" s="157"/>
      <c r="S77" s="160"/>
      <c r="T77" s="255"/>
    </row>
    <row r="78" spans="1:20" s="256" customFormat="1" ht="15.6" x14ac:dyDescent="0.3">
      <c r="A78" s="502"/>
      <c r="B78" s="155"/>
      <c r="C78" s="157"/>
      <c r="D78" s="157"/>
      <c r="E78" s="157"/>
      <c r="F78" s="157"/>
      <c r="G78" s="157"/>
      <c r="H78" s="157"/>
      <c r="I78" s="157"/>
      <c r="J78" s="157"/>
      <c r="K78" s="157"/>
      <c r="L78" s="157"/>
      <c r="M78" s="157"/>
      <c r="N78" s="157"/>
      <c r="O78" s="157"/>
      <c r="P78" s="157"/>
      <c r="Q78" s="157"/>
      <c r="R78" s="157"/>
      <c r="S78" s="160"/>
      <c r="T78" s="255"/>
    </row>
    <row r="79" spans="1:20" s="256" customFormat="1" ht="15.6" x14ac:dyDescent="0.3">
      <c r="A79" s="502"/>
      <c r="B79" s="155" t="s">
        <v>27</v>
      </c>
      <c r="C79" s="157"/>
      <c r="D79" s="157"/>
      <c r="E79" s="157"/>
      <c r="F79" s="157"/>
      <c r="G79" s="157"/>
      <c r="H79" s="157">
        <v>0</v>
      </c>
      <c r="I79" s="157"/>
      <c r="J79" s="157">
        <v>0</v>
      </c>
      <c r="K79" s="157"/>
      <c r="L79" s="157"/>
      <c r="M79" s="157"/>
      <c r="N79" s="157"/>
      <c r="O79" s="157"/>
      <c r="P79" s="157"/>
      <c r="Q79" s="157"/>
      <c r="R79" s="501">
        <v>0</v>
      </c>
      <c r="S79" s="160"/>
      <c r="T79" s="255"/>
    </row>
    <row r="80" spans="1:20" s="256" customFormat="1" ht="15.6" x14ac:dyDescent="0.3">
      <c r="A80" s="502"/>
      <c r="B80" s="155" t="s">
        <v>132</v>
      </c>
      <c r="C80" s="157"/>
      <c r="D80" s="157"/>
      <c r="E80" s="157"/>
      <c r="F80" s="157"/>
      <c r="G80" s="157"/>
      <c r="H80" s="157">
        <v>269933</v>
      </c>
      <c r="I80" s="157"/>
      <c r="J80" s="157">
        <v>0</v>
      </c>
      <c r="K80" s="157"/>
      <c r="L80" s="157"/>
      <c r="M80" s="157"/>
      <c r="N80" s="157"/>
      <c r="O80" s="157"/>
      <c r="P80" s="157"/>
      <c r="Q80" s="157"/>
      <c r="R80" s="157">
        <f>SUM(J80:N80)</f>
        <v>0</v>
      </c>
      <c r="S80" s="160"/>
      <c r="T80" s="255"/>
    </row>
    <row r="81" spans="1:20" s="256" customFormat="1" ht="15.6" x14ac:dyDescent="0.3">
      <c r="A81" s="502"/>
      <c r="B81" s="155" t="s">
        <v>170</v>
      </c>
      <c r="C81" s="157"/>
      <c r="D81" s="157"/>
      <c r="E81" s="157"/>
      <c r="F81" s="157"/>
      <c r="G81" s="157"/>
      <c r="H81" s="157">
        <v>0</v>
      </c>
      <c r="I81" s="157"/>
      <c r="J81" s="157">
        <v>0</v>
      </c>
      <c r="K81" s="157"/>
      <c r="L81" s="157"/>
      <c r="M81" s="157"/>
      <c r="N81" s="157"/>
      <c r="O81" s="157"/>
      <c r="P81" s="157"/>
      <c r="Q81" s="157"/>
      <c r="R81" s="157">
        <v>0</v>
      </c>
      <c r="S81" s="160"/>
      <c r="T81" s="255"/>
    </row>
    <row r="82" spans="1:20" s="256" customFormat="1" ht="15.6" x14ac:dyDescent="0.3">
      <c r="A82" s="502"/>
      <c r="B82" s="155" t="s">
        <v>29</v>
      </c>
      <c r="C82" s="157"/>
      <c r="D82" s="157"/>
      <c r="E82" s="157"/>
      <c r="F82" s="157"/>
      <c r="G82" s="157"/>
      <c r="H82" s="157">
        <v>0</v>
      </c>
      <c r="I82" s="157"/>
      <c r="J82" s="157">
        <v>0</v>
      </c>
      <c r="K82" s="157"/>
      <c r="L82" s="157"/>
      <c r="M82" s="157"/>
      <c r="N82" s="157"/>
      <c r="O82" s="157"/>
      <c r="P82" s="157"/>
      <c r="Q82" s="157"/>
      <c r="R82" s="157">
        <v>0</v>
      </c>
      <c r="S82" s="160"/>
      <c r="T82" s="255"/>
    </row>
    <row r="83" spans="1:20" s="256" customFormat="1" ht="15.6" x14ac:dyDescent="0.3">
      <c r="A83" s="502"/>
      <c r="B83" s="155" t="s">
        <v>30</v>
      </c>
      <c r="C83" s="157"/>
      <c r="D83" s="157"/>
      <c r="E83" s="157"/>
      <c r="F83" s="157"/>
      <c r="G83" s="157"/>
      <c r="H83" s="157">
        <f>SUM(H70:H82)</f>
        <v>1000000</v>
      </c>
      <c r="I83" s="157"/>
      <c r="J83" s="157">
        <f>SUM(J70:J82)</f>
        <v>487912</v>
      </c>
      <c r="K83" s="157"/>
      <c r="L83" s="157"/>
      <c r="M83" s="157"/>
      <c r="N83" s="157"/>
      <c r="O83" s="157"/>
      <c r="P83" s="157"/>
      <c r="Q83" s="157"/>
      <c r="R83" s="157">
        <f>SUM(R70:R82)</f>
        <v>485211</v>
      </c>
      <c r="S83" s="160"/>
      <c r="T83" s="255"/>
    </row>
    <row r="84" spans="1:20" ht="15.6" x14ac:dyDescent="0.3">
      <c r="A84" s="6"/>
      <c r="B84" s="151"/>
      <c r="C84" s="420"/>
      <c r="D84" s="420"/>
      <c r="E84" s="420"/>
      <c r="F84" s="420"/>
      <c r="G84" s="420"/>
      <c r="H84" s="420"/>
      <c r="I84" s="420"/>
      <c r="J84" s="420"/>
      <c r="K84" s="420"/>
      <c r="L84" s="420"/>
      <c r="M84" s="420"/>
      <c r="N84" s="420"/>
      <c r="O84" s="420"/>
      <c r="P84" s="420"/>
      <c r="Q84" s="420"/>
      <c r="R84" s="421"/>
      <c r="S84" s="151"/>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411"/>
      <c r="B86" s="51" t="s">
        <v>31</v>
      </c>
      <c r="C86" s="14"/>
      <c r="D86" s="14"/>
      <c r="E86" s="14"/>
      <c r="F86" s="14"/>
      <c r="G86" s="14"/>
      <c r="H86" s="508" t="s">
        <v>106</v>
      </c>
      <c r="I86" s="17"/>
      <c r="J86" s="509">
        <f>+P190</f>
        <v>40268</v>
      </c>
      <c r="K86" s="17"/>
      <c r="L86" s="17"/>
      <c r="M86" s="17"/>
      <c r="N86" s="17"/>
      <c r="O86" s="17"/>
      <c r="P86" s="17" t="s">
        <v>119</v>
      </c>
      <c r="Q86" s="17"/>
      <c r="R86" s="17" t="s">
        <v>128</v>
      </c>
      <c r="S86" s="15"/>
      <c r="T86" s="5"/>
    </row>
    <row r="87" spans="1:20" s="256" customFormat="1" ht="15.6" x14ac:dyDescent="0.3">
      <c r="A87" s="502"/>
      <c r="B87" s="155" t="s">
        <v>32</v>
      </c>
      <c r="C87" s="155"/>
      <c r="D87" s="155"/>
      <c r="E87" s="155"/>
      <c r="F87" s="155"/>
      <c r="G87" s="155"/>
      <c r="H87" s="155"/>
      <c r="I87" s="155"/>
      <c r="J87" s="155"/>
      <c r="K87" s="155"/>
      <c r="L87" s="155"/>
      <c r="M87" s="155"/>
      <c r="N87" s="155"/>
      <c r="O87" s="155"/>
      <c r="P87" s="157">
        <v>0</v>
      </c>
      <c r="Q87" s="155"/>
      <c r="R87" s="501">
        <v>0</v>
      </c>
      <c r="S87" s="160"/>
      <c r="T87" s="255"/>
    </row>
    <row r="88" spans="1:20" s="256" customFormat="1" ht="15.6" x14ac:dyDescent="0.3">
      <c r="A88" s="502"/>
      <c r="B88" s="155" t="s">
        <v>33</v>
      </c>
      <c r="C88" s="155"/>
      <c r="D88" s="155"/>
      <c r="E88" s="155"/>
      <c r="F88" s="155"/>
      <c r="G88" s="155"/>
      <c r="H88" s="490" t="s">
        <v>255</v>
      </c>
      <c r="I88" s="506"/>
      <c r="J88" s="507" t="s">
        <v>255</v>
      </c>
      <c r="K88" s="155"/>
      <c r="L88" s="155"/>
      <c r="M88" s="155"/>
      <c r="N88" s="155"/>
      <c r="O88" s="155"/>
      <c r="P88" s="157">
        <f>3458-13</f>
        <v>3445</v>
      </c>
      <c r="Q88" s="155"/>
      <c r="R88" s="501"/>
      <c r="S88" s="160"/>
      <c r="T88" s="255"/>
    </row>
    <row r="89" spans="1:20" s="256" customFormat="1" ht="15.6" x14ac:dyDescent="0.3">
      <c r="A89" s="502"/>
      <c r="B89" s="155" t="s">
        <v>254</v>
      </c>
      <c r="C89" s="155"/>
      <c r="D89" s="155"/>
      <c r="E89" s="155"/>
      <c r="F89" s="155"/>
      <c r="G89" s="155"/>
      <c r="H89" s="490"/>
      <c r="I89" s="506"/>
      <c r="J89" s="507"/>
      <c r="K89" s="155"/>
      <c r="L89" s="155"/>
      <c r="M89" s="155"/>
      <c r="N89" s="155"/>
      <c r="O89" s="155"/>
      <c r="P89" s="157"/>
      <c r="Q89" s="155"/>
      <c r="R89" s="501">
        <f>4315+512-1064-86+36+9</f>
        <v>3722</v>
      </c>
      <c r="S89" s="160"/>
      <c r="T89" s="255"/>
    </row>
    <row r="90" spans="1:20" s="256" customFormat="1" ht="15.6" x14ac:dyDescent="0.3">
      <c r="A90" s="502"/>
      <c r="B90" s="155" t="s">
        <v>252</v>
      </c>
      <c r="C90" s="155"/>
      <c r="D90" s="155"/>
      <c r="E90" s="155"/>
      <c r="F90" s="155"/>
      <c r="G90" s="155"/>
      <c r="H90" s="490"/>
      <c r="I90" s="506"/>
      <c r="J90" s="507"/>
      <c r="K90" s="155"/>
      <c r="L90" s="155"/>
      <c r="M90" s="155"/>
      <c r="N90" s="155"/>
      <c r="O90" s="155"/>
      <c r="P90" s="157"/>
      <c r="Q90" s="155"/>
      <c r="R90" s="501">
        <f>24</f>
        <v>24</v>
      </c>
      <c r="S90" s="160"/>
      <c r="T90" s="255"/>
    </row>
    <row r="91" spans="1:20" s="256" customFormat="1" ht="15.6" x14ac:dyDescent="0.3">
      <c r="A91" s="502"/>
      <c r="B91" s="155" t="s">
        <v>253</v>
      </c>
      <c r="C91" s="155"/>
      <c r="D91" s="155"/>
      <c r="E91" s="155"/>
      <c r="F91" s="155"/>
      <c r="G91" s="155"/>
      <c r="H91" s="490"/>
      <c r="I91" s="506"/>
      <c r="J91" s="507"/>
      <c r="K91" s="155"/>
      <c r="L91" s="155"/>
      <c r="M91" s="155"/>
      <c r="N91" s="155"/>
      <c r="O91" s="155"/>
      <c r="P91" s="157"/>
      <c r="Q91" s="155"/>
      <c r="R91" s="501">
        <v>29</v>
      </c>
      <c r="S91" s="160"/>
      <c r="T91" s="255"/>
    </row>
    <row r="92" spans="1:20" s="256" customFormat="1" ht="15.6" x14ac:dyDescent="0.3">
      <c r="A92" s="502"/>
      <c r="B92" s="155" t="s">
        <v>269</v>
      </c>
      <c r="C92" s="155"/>
      <c r="D92" s="155"/>
      <c r="E92" s="155"/>
      <c r="F92" s="155"/>
      <c r="G92" s="155"/>
      <c r="H92" s="490"/>
      <c r="I92" s="506"/>
      <c r="J92" s="507"/>
      <c r="K92" s="155"/>
      <c r="L92" s="155"/>
      <c r="M92" s="155"/>
      <c r="N92" s="155"/>
      <c r="O92" s="155"/>
      <c r="P92" s="157"/>
      <c r="Q92" s="155"/>
      <c r="R92" s="501">
        <v>0</v>
      </c>
      <c r="S92" s="160"/>
      <c r="T92" s="255"/>
    </row>
    <row r="93" spans="1:20" s="256" customFormat="1" ht="15.6" x14ac:dyDescent="0.3">
      <c r="A93" s="502"/>
      <c r="B93" s="155" t="s">
        <v>154</v>
      </c>
      <c r="C93" s="155"/>
      <c r="D93" s="155"/>
      <c r="E93" s="155"/>
      <c r="F93" s="155"/>
      <c r="G93" s="155"/>
      <c r="H93" s="155"/>
      <c r="I93" s="155"/>
      <c r="J93" s="155"/>
      <c r="K93" s="155"/>
      <c r="L93" s="155"/>
      <c r="M93" s="155"/>
      <c r="N93" s="155"/>
      <c r="O93" s="155"/>
      <c r="P93" s="157"/>
      <c r="Q93" s="155"/>
      <c r="R93" s="501">
        <v>0</v>
      </c>
      <c r="S93" s="160"/>
      <c r="T93" s="255"/>
    </row>
    <row r="94" spans="1:20" s="256" customFormat="1" ht="15.6" x14ac:dyDescent="0.3">
      <c r="A94" s="502"/>
      <c r="B94" s="155" t="s">
        <v>199</v>
      </c>
      <c r="C94" s="155"/>
      <c r="D94" s="155"/>
      <c r="E94" s="155"/>
      <c r="F94" s="155"/>
      <c r="G94" s="155"/>
      <c r="H94" s="155"/>
      <c r="I94" s="155"/>
      <c r="J94" s="155"/>
      <c r="K94" s="155"/>
      <c r="L94" s="155"/>
      <c r="M94" s="155"/>
      <c r="N94" s="155"/>
      <c r="O94" s="155"/>
      <c r="P94" s="157"/>
      <c r="Q94" s="155"/>
      <c r="R94" s="501">
        <v>9</v>
      </c>
      <c r="S94" s="160"/>
      <c r="T94" s="255"/>
    </row>
    <row r="95" spans="1:20" s="256" customFormat="1" ht="15.6" x14ac:dyDescent="0.3">
      <c r="A95" s="502"/>
      <c r="B95" s="155" t="s">
        <v>35</v>
      </c>
      <c r="C95" s="155"/>
      <c r="D95" s="155"/>
      <c r="E95" s="155"/>
      <c r="F95" s="155"/>
      <c r="G95" s="155"/>
      <c r="H95" s="155"/>
      <c r="I95" s="155"/>
      <c r="J95" s="155"/>
      <c r="K95" s="155"/>
      <c r="L95" s="155"/>
      <c r="M95" s="155"/>
      <c r="N95" s="155"/>
      <c r="O95" s="155"/>
      <c r="P95" s="157">
        <f>SUM(P87:P94)</f>
        <v>3445</v>
      </c>
      <c r="Q95" s="155"/>
      <c r="R95" s="157">
        <f>SUM(R87:R94)</f>
        <v>3784</v>
      </c>
      <c r="S95" s="160"/>
      <c r="T95" s="255"/>
    </row>
    <row r="96" spans="1:20" s="256" customFormat="1" ht="15.6" x14ac:dyDescent="0.3">
      <c r="A96" s="502"/>
      <c r="B96" s="155" t="s">
        <v>235</v>
      </c>
      <c r="C96" s="155"/>
      <c r="D96" s="155"/>
      <c r="E96" s="155"/>
      <c r="F96" s="155"/>
      <c r="G96" s="155"/>
      <c r="H96" s="155"/>
      <c r="I96" s="155"/>
      <c r="J96" s="155"/>
      <c r="K96" s="155"/>
      <c r="L96" s="155"/>
      <c r="M96" s="155"/>
      <c r="N96" s="155"/>
      <c r="O96" s="155"/>
      <c r="P96" s="157">
        <v>-5</v>
      </c>
      <c r="Q96" s="155"/>
      <c r="R96" s="157">
        <f>-P96</f>
        <v>5</v>
      </c>
      <c r="S96" s="160"/>
      <c r="T96" s="255"/>
    </row>
    <row r="97" spans="1:21" s="256" customFormat="1" ht="15.6" x14ac:dyDescent="0.3">
      <c r="A97" s="502"/>
      <c r="B97" s="155" t="s">
        <v>36</v>
      </c>
      <c r="C97" s="155"/>
      <c r="D97" s="155"/>
      <c r="E97" s="155"/>
      <c r="F97" s="155"/>
      <c r="G97" s="155"/>
      <c r="H97" s="155"/>
      <c r="I97" s="155"/>
      <c r="J97" s="155"/>
      <c r="K97" s="155"/>
      <c r="L97" s="155"/>
      <c r="M97" s="155"/>
      <c r="N97" s="155"/>
      <c r="O97" s="155"/>
      <c r="P97" s="157">
        <f>-R97</f>
        <v>0</v>
      </c>
      <c r="Q97" s="155"/>
      <c r="R97" s="501">
        <v>0</v>
      </c>
      <c r="S97" s="160"/>
      <c r="T97" s="255"/>
    </row>
    <row r="98" spans="1:21" s="256" customFormat="1" ht="15.6" x14ac:dyDescent="0.3">
      <c r="A98" s="502"/>
      <c r="B98" s="155" t="s">
        <v>276</v>
      </c>
      <c r="C98" s="155"/>
      <c r="D98" s="155"/>
      <c r="E98" s="155"/>
      <c r="F98" s="155"/>
      <c r="G98" s="155"/>
      <c r="H98" s="155"/>
      <c r="I98" s="155"/>
      <c r="J98" s="155"/>
      <c r="K98" s="155"/>
      <c r="L98" s="155"/>
      <c r="M98" s="155"/>
      <c r="N98" s="155"/>
      <c r="O98" s="155"/>
      <c r="P98" s="157"/>
      <c r="Q98" s="155"/>
      <c r="R98" s="501">
        <v>-70</v>
      </c>
      <c r="S98" s="160"/>
      <c r="T98" s="255"/>
    </row>
    <row r="99" spans="1:21" s="256" customFormat="1" ht="15.6" x14ac:dyDescent="0.3">
      <c r="A99" s="502"/>
      <c r="B99" s="155" t="s">
        <v>37</v>
      </c>
      <c r="C99" s="155"/>
      <c r="D99" s="155"/>
      <c r="E99" s="155"/>
      <c r="F99" s="155"/>
      <c r="G99" s="155"/>
      <c r="H99" s="155"/>
      <c r="I99" s="155"/>
      <c r="J99" s="155"/>
      <c r="K99" s="155"/>
      <c r="L99" s="155"/>
      <c r="M99" s="155"/>
      <c r="N99" s="155"/>
      <c r="O99" s="155"/>
      <c r="P99" s="157">
        <f>P95+P97+P96</f>
        <v>3440</v>
      </c>
      <c r="Q99" s="155"/>
      <c r="R99" s="157">
        <f>R95+R97+R96+R98</f>
        <v>3719</v>
      </c>
      <c r="S99" s="160"/>
      <c r="T99" s="255"/>
    </row>
    <row r="100" spans="1:21" ht="15.6" x14ac:dyDescent="0.3">
      <c r="A100" s="502"/>
      <c r="B100" s="141" t="s">
        <v>38</v>
      </c>
      <c r="C100" s="155"/>
      <c r="D100" s="155"/>
      <c r="E100" s="155"/>
      <c r="F100" s="155"/>
      <c r="G100" s="155"/>
      <c r="H100" s="155"/>
      <c r="I100" s="155"/>
      <c r="J100" s="155"/>
      <c r="K100" s="155"/>
      <c r="L100" s="155"/>
      <c r="M100" s="155"/>
      <c r="N100" s="155"/>
      <c r="O100" s="155"/>
      <c r="P100" s="157"/>
      <c r="Q100" s="155"/>
      <c r="R100" s="504"/>
      <c r="S100" s="160"/>
      <c r="T100" s="5"/>
    </row>
    <row r="101" spans="1:21" s="256" customFormat="1" ht="15.6" x14ac:dyDescent="0.3">
      <c r="A101" s="502">
        <v>1</v>
      </c>
      <c r="B101" s="155" t="s">
        <v>39</v>
      </c>
      <c r="C101" s="155"/>
      <c r="D101" s="155"/>
      <c r="E101" s="155"/>
      <c r="F101" s="155"/>
      <c r="G101" s="155"/>
      <c r="H101" s="155"/>
      <c r="I101" s="155"/>
      <c r="J101" s="155"/>
      <c r="K101" s="155"/>
      <c r="L101" s="155"/>
      <c r="M101" s="155"/>
      <c r="N101" s="155"/>
      <c r="O101" s="155"/>
      <c r="P101" s="155"/>
      <c r="Q101" s="155"/>
      <c r="R101" s="501">
        <v>0</v>
      </c>
      <c r="S101" s="160"/>
      <c r="T101" s="255"/>
    </row>
    <row r="102" spans="1:21" s="256" customFormat="1" ht="15.6" x14ac:dyDescent="0.3">
      <c r="A102" s="502">
        <f>+A101+1</f>
        <v>2</v>
      </c>
      <c r="B102" s="155" t="s">
        <v>40</v>
      </c>
      <c r="C102" s="155"/>
      <c r="D102" s="155"/>
      <c r="E102" s="155"/>
      <c r="F102" s="155"/>
      <c r="G102" s="155"/>
      <c r="H102" s="155"/>
      <c r="I102" s="155"/>
      <c r="J102" s="155"/>
      <c r="K102" s="155"/>
      <c r="L102" s="155"/>
      <c r="M102" s="155"/>
      <c r="N102" s="155"/>
      <c r="O102" s="155"/>
      <c r="P102" s="155"/>
      <c r="Q102" s="155"/>
      <c r="R102" s="501">
        <v>-2</v>
      </c>
      <c r="S102" s="160"/>
      <c r="T102" s="255"/>
    </row>
    <row r="103" spans="1:21" s="256" customFormat="1" ht="15.6" x14ac:dyDescent="0.3">
      <c r="A103" s="502">
        <f>+A102+1</f>
        <v>3</v>
      </c>
      <c r="B103" s="155" t="s">
        <v>174</v>
      </c>
      <c r="C103" s="155"/>
      <c r="D103" s="155"/>
      <c r="E103" s="155"/>
      <c r="F103" s="155"/>
      <c r="G103" s="155"/>
      <c r="H103" s="155"/>
      <c r="I103" s="155"/>
      <c r="J103" s="155"/>
      <c r="K103" s="155"/>
      <c r="L103" s="155"/>
      <c r="M103" s="155"/>
      <c r="N103" s="155"/>
      <c r="O103" s="155"/>
      <c r="P103" s="155"/>
      <c r="Q103" s="155"/>
      <c r="R103" s="501">
        <f>-120-165-6</f>
        <v>-291</v>
      </c>
      <c r="S103" s="160"/>
      <c r="T103" s="255"/>
    </row>
    <row r="104" spans="1:21" s="256" customFormat="1" ht="15.6" x14ac:dyDescent="0.3">
      <c r="A104" s="502" t="s">
        <v>146</v>
      </c>
      <c r="B104" s="155" t="s">
        <v>131</v>
      </c>
      <c r="C104" s="155"/>
      <c r="D104" s="155"/>
      <c r="E104" s="155"/>
      <c r="F104" s="155"/>
      <c r="G104" s="155"/>
      <c r="H104" s="155"/>
      <c r="I104" s="155"/>
      <c r="J104" s="155"/>
      <c r="K104" s="155"/>
      <c r="L104" s="155"/>
      <c r="M104" s="155"/>
      <c r="N104" s="155"/>
      <c r="O104" s="155"/>
      <c r="P104" s="155"/>
      <c r="Q104" s="155"/>
      <c r="R104" s="501">
        <v>-1042</v>
      </c>
      <c r="S104" s="160"/>
      <c r="T104" s="255"/>
    </row>
    <row r="105" spans="1:21" s="256" customFormat="1" ht="15.6" x14ac:dyDescent="0.3">
      <c r="A105" s="502" t="s">
        <v>147</v>
      </c>
      <c r="B105" s="155" t="s">
        <v>218</v>
      </c>
      <c r="C105" s="155"/>
      <c r="D105" s="155"/>
      <c r="E105" s="155"/>
      <c r="F105" s="155"/>
      <c r="G105" s="155"/>
      <c r="H105" s="155"/>
      <c r="I105" s="155"/>
      <c r="J105" s="155"/>
      <c r="K105" s="155"/>
      <c r="L105" s="155"/>
      <c r="M105" s="155"/>
      <c r="N105" s="155"/>
      <c r="O105" s="155"/>
      <c r="P105" s="155"/>
      <c r="Q105" s="155"/>
      <c r="R105" s="501">
        <v>-1</v>
      </c>
      <c r="S105" s="160"/>
      <c r="T105" s="255"/>
    </row>
    <row r="106" spans="1:21" s="256" customFormat="1" ht="15.6" x14ac:dyDescent="0.3">
      <c r="A106" s="502" t="s">
        <v>176</v>
      </c>
      <c r="B106" s="155" t="s">
        <v>230</v>
      </c>
      <c r="C106" s="155"/>
      <c r="D106" s="155"/>
      <c r="E106" s="155"/>
      <c r="F106" s="155"/>
      <c r="G106" s="155"/>
      <c r="H106" s="155"/>
      <c r="I106" s="155"/>
      <c r="J106" s="155"/>
      <c r="K106" s="155"/>
      <c r="L106" s="155"/>
      <c r="M106" s="155"/>
      <c r="N106" s="155"/>
      <c r="O106" s="155"/>
      <c r="P106" s="155"/>
      <c r="Q106" s="155"/>
      <c r="R106" s="501">
        <v>0</v>
      </c>
      <c r="S106" s="160"/>
      <c r="T106" s="255"/>
      <c r="U106" s="270"/>
    </row>
    <row r="107" spans="1:21" s="256" customFormat="1" ht="15.6" x14ac:dyDescent="0.3">
      <c r="A107" s="502" t="s">
        <v>177</v>
      </c>
      <c r="B107" s="155" t="s">
        <v>231</v>
      </c>
      <c r="C107" s="155"/>
      <c r="D107" s="155"/>
      <c r="E107" s="155"/>
      <c r="F107" s="155"/>
      <c r="G107" s="155"/>
      <c r="H107" s="155"/>
      <c r="I107" s="155"/>
      <c r="J107" s="155"/>
      <c r="K107" s="155"/>
      <c r="L107" s="155"/>
      <c r="M107" s="155"/>
      <c r="N107" s="155"/>
      <c r="O107" s="155"/>
      <c r="P107" s="155"/>
      <c r="Q107" s="155"/>
      <c r="R107" s="501">
        <v>0</v>
      </c>
      <c r="S107" s="160"/>
      <c r="T107" s="255"/>
      <c r="U107" s="270"/>
    </row>
    <row r="108" spans="1:21" s="256" customFormat="1" ht="15.6" x14ac:dyDescent="0.3">
      <c r="A108" s="502" t="s">
        <v>248</v>
      </c>
      <c r="B108" s="155" t="s">
        <v>232</v>
      </c>
      <c r="C108" s="155"/>
      <c r="D108" s="155"/>
      <c r="E108" s="155"/>
      <c r="F108" s="155"/>
      <c r="G108" s="155"/>
      <c r="H108" s="155"/>
      <c r="I108" s="155"/>
      <c r="J108" s="155"/>
      <c r="K108" s="155"/>
      <c r="L108" s="155"/>
      <c r="M108" s="155"/>
      <c r="N108" s="155"/>
      <c r="O108" s="155"/>
      <c r="P108" s="155"/>
      <c r="Q108" s="155"/>
      <c r="R108" s="501">
        <v>-379</v>
      </c>
      <c r="S108" s="160"/>
      <c r="T108" s="255"/>
    </row>
    <row r="109" spans="1:21" s="256" customFormat="1" ht="15.6" x14ac:dyDescent="0.3">
      <c r="A109" s="502" t="s">
        <v>205</v>
      </c>
      <c r="B109" s="155" t="s">
        <v>233</v>
      </c>
      <c r="C109" s="155"/>
      <c r="D109" s="155"/>
      <c r="E109" s="155"/>
      <c r="F109" s="155"/>
      <c r="G109" s="155"/>
      <c r="H109" s="155"/>
      <c r="I109" s="155"/>
      <c r="J109" s="155"/>
      <c r="K109" s="155"/>
      <c r="L109" s="155"/>
      <c r="M109" s="155"/>
      <c r="N109" s="155"/>
      <c r="O109" s="155"/>
      <c r="P109" s="155"/>
      <c r="Q109" s="155"/>
      <c r="R109" s="501">
        <v>-411</v>
      </c>
      <c r="S109" s="160"/>
      <c r="T109" s="255"/>
      <c r="U109" s="270"/>
    </row>
    <row r="110" spans="1:21" s="256" customFormat="1" ht="15.6" x14ac:dyDescent="0.3">
      <c r="A110" s="502" t="s">
        <v>249</v>
      </c>
      <c r="B110" s="155" t="s">
        <v>234</v>
      </c>
      <c r="C110" s="155"/>
      <c r="D110" s="155"/>
      <c r="E110" s="155"/>
      <c r="F110" s="155"/>
      <c r="G110" s="155"/>
      <c r="H110" s="155"/>
      <c r="I110" s="155"/>
      <c r="J110" s="155"/>
      <c r="K110" s="155"/>
      <c r="L110" s="155"/>
      <c r="M110" s="155"/>
      <c r="N110" s="155"/>
      <c r="O110" s="155"/>
      <c r="P110" s="155"/>
      <c r="Q110" s="155"/>
      <c r="R110" s="501">
        <v>-197</v>
      </c>
      <c r="S110" s="160"/>
      <c r="T110" s="255"/>
      <c r="U110" s="270"/>
    </row>
    <row r="111" spans="1:21" s="256" customFormat="1" ht="15.6" x14ac:dyDescent="0.3">
      <c r="A111" s="502" t="s">
        <v>250</v>
      </c>
      <c r="B111" s="155" t="s">
        <v>168</v>
      </c>
      <c r="C111" s="155"/>
      <c r="D111" s="155"/>
      <c r="E111" s="155"/>
      <c r="F111" s="155"/>
      <c r="G111" s="155"/>
      <c r="H111" s="155"/>
      <c r="I111" s="155"/>
      <c r="J111" s="155"/>
      <c r="K111" s="155"/>
      <c r="L111" s="155"/>
      <c r="M111" s="155"/>
      <c r="N111" s="155"/>
      <c r="O111" s="155"/>
      <c r="P111" s="155"/>
      <c r="Q111" s="155"/>
      <c r="R111" s="501">
        <v>-109</v>
      </c>
      <c r="S111" s="160"/>
      <c r="T111" s="255"/>
      <c r="U111" s="270"/>
    </row>
    <row r="112" spans="1:21" s="256" customFormat="1" ht="15.6" x14ac:dyDescent="0.3">
      <c r="A112" s="502">
        <v>6</v>
      </c>
      <c r="B112" s="155" t="s">
        <v>41</v>
      </c>
      <c r="C112" s="155"/>
      <c r="D112" s="155"/>
      <c r="E112" s="155"/>
      <c r="F112" s="155"/>
      <c r="G112" s="155"/>
      <c r="H112" s="155"/>
      <c r="I112" s="155"/>
      <c r="J112" s="155"/>
      <c r="K112" s="155"/>
      <c r="L112" s="155"/>
      <c r="M112" s="155"/>
      <c r="N112" s="155"/>
      <c r="O112" s="155"/>
      <c r="P112" s="155"/>
      <c r="Q112" s="155"/>
      <c r="R112" s="501">
        <v>-8</v>
      </c>
      <c r="S112" s="160"/>
      <c r="T112" s="255"/>
    </row>
    <row r="113" spans="1:20" s="256" customFormat="1" ht="15.6" x14ac:dyDescent="0.3">
      <c r="A113" s="502">
        <f t="shared" ref="A113:A118" si="0">+A112+1</f>
        <v>7</v>
      </c>
      <c r="B113" s="155" t="s">
        <v>53</v>
      </c>
      <c r="C113" s="155"/>
      <c r="D113" s="155"/>
      <c r="E113" s="155"/>
      <c r="F113" s="155"/>
      <c r="G113" s="155"/>
      <c r="H113" s="155"/>
      <c r="I113" s="155"/>
      <c r="J113" s="155"/>
      <c r="K113" s="155"/>
      <c r="L113" s="155"/>
      <c r="M113" s="155"/>
      <c r="N113" s="155"/>
      <c r="O113" s="155"/>
      <c r="P113" s="157">
        <f>-R113</f>
        <v>13</v>
      </c>
      <c r="Q113" s="155"/>
      <c r="R113" s="501">
        <v>-13</v>
      </c>
      <c r="S113" s="160"/>
      <c r="T113" s="255"/>
    </row>
    <row r="114" spans="1:20" s="256" customFormat="1" ht="15.6" x14ac:dyDescent="0.3">
      <c r="A114" s="502">
        <f t="shared" si="0"/>
        <v>8</v>
      </c>
      <c r="B114" s="155" t="s">
        <v>144</v>
      </c>
      <c r="C114" s="155"/>
      <c r="D114" s="155"/>
      <c r="E114" s="155"/>
      <c r="F114" s="155"/>
      <c r="G114" s="155"/>
      <c r="H114" s="155"/>
      <c r="I114" s="155"/>
      <c r="J114" s="155"/>
      <c r="K114" s="155"/>
      <c r="L114" s="155"/>
      <c r="M114" s="155"/>
      <c r="N114" s="155"/>
      <c r="O114" s="155"/>
      <c r="P114" s="157"/>
      <c r="Q114" s="155"/>
      <c r="R114" s="501">
        <v>0</v>
      </c>
      <c r="S114" s="160"/>
      <c r="T114" s="255"/>
    </row>
    <row r="115" spans="1:20" s="256" customFormat="1" ht="15.6" x14ac:dyDescent="0.3">
      <c r="A115" s="502">
        <f t="shared" si="0"/>
        <v>9</v>
      </c>
      <c r="B115" s="155" t="s">
        <v>42</v>
      </c>
      <c r="C115" s="155"/>
      <c r="D115" s="155"/>
      <c r="E115" s="155"/>
      <c r="F115" s="155"/>
      <c r="G115" s="155"/>
      <c r="H115" s="155"/>
      <c r="I115" s="155"/>
      <c r="J115" s="155"/>
      <c r="K115" s="155"/>
      <c r="L115" s="155"/>
      <c r="M115" s="155"/>
      <c r="N115" s="155"/>
      <c r="O115" s="155"/>
      <c r="P115" s="155"/>
      <c r="Q115" s="155"/>
      <c r="R115" s="501">
        <v>0</v>
      </c>
      <c r="S115" s="160"/>
      <c r="T115" s="255"/>
    </row>
    <row r="116" spans="1:20" s="256" customFormat="1" ht="15.6" x14ac:dyDescent="0.3">
      <c r="A116" s="502">
        <f t="shared" si="0"/>
        <v>10</v>
      </c>
      <c r="B116" s="155" t="s">
        <v>43</v>
      </c>
      <c r="C116" s="155"/>
      <c r="D116" s="155"/>
      <c r="E116" s="155"/>
      <c r="F116" s="155"/>
      <c r="G116" s="155"/>
      <c r="H116" s="155"/>
      <c r="I116" s="155"/>
      <c r="J116" s="155"/>
      <c r="K116" s="155"/>
      <c r="L116" s="155"/>
      <c r="M116" s="155"/>
      <c r="N116" s="155"/>
      <c r="O116" s="155"/>
      <c r="P116" s="155"/>
      <c r="Q116" s="155"/>
      <c r="R116" s="501">
        <v>0</v>
      </c>
      <c r="S116" s="160"/>
      <c r="T116" s="255"/>
    </row>
    <row r="117" spans="1:20" s="256" customFormat="1" ht="15.6" x14ac:dyDescent="0.3">
      <c r="A117" s="502">
        <f t="shared" si="0"/>
        <v>11</v>
      </c>
      <c r="B117" s="155" t="s">
        <v>175</v>
      </c>
      <c r="C117" s="155"/>
      <c r="D117" s="155"/>
      <c r="E117" s="155"/>
      <c r="F117" s="155"/>
      <c r="G117" s="155"/>
      <c r="H117" s="155"/>
      <c r="I117" s="155"/>
      <c r="J117" s="155"/>
      <c r="K117" s="155"/>
      <c r="L117" s="155"/>
      <c r="M117" s="155"/>
      <c r="N117" s="155"/>
      <c r="O117" s="155"/>
      <c r="P117" s="155"/>
      <c r="Q117" s="155"/>
      <c r="R117" s="501">
        <v>-243</v>
      </c>
      <c r="S117" s="160"/>
      <c r="T117" s="255"/>
    </row>
    <row r="118" spans="1:20" s="256" customFormat="1" ht="15.6" x14ac:dyDescent="0.3">
      <c r="A118" s="502">
        <f t="shared" si="0"/>
        <v>12</v>
      </c>
      <c r="B118" s="155" t="s">
        <v>145</v>
      </c>
      <c r="C118" s="155"/>
      <c r="D118" s="155"/>
      <c r="E118" s="155"/>
      <c r="F118" s="155"/>
      <c r="G118" s="155"/>
      <c r="H118" s="155"/>
      <c r="I118" s="155"/>
      <c r="J118" s="155"/>
      <c r="K118" s="155"/>
      <c r="L118" s="155"/>
      <c r="M118" s="155"/>
      <c r="N118" s="155"/>
      <c r="O118" s="155"/>
      <c r="P118" s="155"/>
      <c r="Q118" s="155"/>
      <c r="R118" s="501">
        <f>-R99-SUM(R101:R117)</f>
        <v>-1023</v>
      </c>
      <c r="S118" s="160"/>
      <c r="T118" s="255"/>
    </row>
    <row r="119" spans="1:20" ht="15.6" x14ac:dyDescent="0.3">
      <c r="A119" s="502"/>
      <c r="B119" s="141" t="s">
        <v>44</v>
      </c>
      <c r="C119" s="155"/>
      <c r="D119" s="155"/>
      <c r="E119" s="155"/>
      <c r="F119" s="155"/>
      <c r="G119" s="155"/>
      <c r="H119" s="155"/>
      <c r="I119" s="155"/>
      <c r="J119" s="155"/>
      <c r="K119" s="155"/>
      <c r="L119" s="155"/>
      <c r="M119" s="155"/>
      <c r="N119" s="155"/>
      <c r="O119" s="155"/>
      <c r="P119" s="155"/>
      <c r="Q119" s="155"/>
      <c r="R119" s="505"/>
      <c r="S119" s="160"/>
      <c r="T119" s="5"/>
    </row>
    <row r="120" spans="1:20" s="256" customFormat="1" ht="15.6" x14ac:dyDescent="0.3">
      <c r="A120" s="502"/>
      <c r="B120" s="155" t="s">
        <v>45</v>
      </c>
      <c r="C120" s="155"/>
      <c r="D120" s="155"/>
      <c r="E120" s="155"/>
      <c r="F120" s="155"/>
      <c r="G120" s="155"/>
      <c r="H120" s="155"/>
      <c r="I120" s="155"/>
      <c r="J120" s="155"/>
      <c r="K120" s="155"/>
      <c r="L120" s="155"/>
      <c r="M120" s="155"/>
      <c r="N120" s="155"/>
      <c r="O120" s="155"/>
      <c r="P120" s="157">
        <v>0</v>
      </c>
      <c r="Q120" s="157"/>
      <c r="R120" s="501"/>
      <c r="S120" s="160"/>
      <c r="T120" s="255"/>
    </row>
    <row r="121" spans="1:20" s="256" customFormat="1" ht="15.6" x14ac:dyDescent="0.3">
      <c r="A121" s="502"/>
      <c r="B121" s="155" t="s">
        <v>46</v>
      </c>
      <c r="C121" s="155"/>
      <c r="D121" s="155"/>
      <c r="E121" s="155"/>
      <c r="F121" s="155"/>
      <c r="G121" s="155"/>
      <c r="H121" s="155"/>
      <c r="I121" s="155"/>
      <c r="J121" s="155"/>
      <c r="K121" s="155"/>
      <c r="L121" s="155"/>
      <c r="M121" s="155"/>
      <c r="N121" s="155"/>
      <c r="O121" s="155"/>
      <c r="P121" s="157">
        <f>-O176</f>
        <v>-752</v>
      </c>
      <c r="Q121" s="157"/>
      <c r="R121" s="501"/>
      <c r="S121" s="160"/>
      <c r="T121" s="255"/>
    </row>
    <row r="122" spans="1:20" s="256" customFormat="1" ht="15.6" x14ac:dyDescent="0.3">
      <c r="A122" s="502"/>
      <c r="B122" s="155" t="s">
        <v>219</v>
      </c>
      <c r="C122" s="155"/>
      <c r="D122" s="155"/>
      <c r="E122" s="155"/>
      <c r="F122" s="155"/>
      <c r="G122" s="155"/>
      <c r="H122" s="155"/>
      <c r="I122" s="155"/>
      <c r="J122" s="155"/>
      <c r="K122" s="155"/>
      <c r="L122" s="155"/>
      <c r="M122" s="155"/>
      <c r="N122" s="155"/>
      <c r="O122" s="155"/>
      <c r="P122" s="157">
        <v>0</v>
      </c>
      <c r="Q122" s="157"/>
      <c r="R122" s="501"/>
      <c r="S122" s="160"/>
      <c r="T122" s="255"/>
    </row>
    <row r="123" spans="1:20" s="256" customFormat="1" ht="15.6" x14ac:dyDescent="0.3">
      <c r="A123" s="502"/>
      <c r="B123" s="155" t="s">
        <v>220</v>
      </c>
      <c r="C123" s="155"/>
      <c r="D123" s="155"/>
      <c r="E123" s="155"/>
      <c r="F123" s="155"/>
      <c r="G123" s="155"/>
      <c r="H123" s="155"/>
      <c r="I123" s="155"/>
      <c r="J123" s="155"/>
      <c r="K123" s="155"/>
      <c r="L123" s="155"/>
      <c r="M123" s="155"/>
      <c r="N123" s="155"/>
      <c r="O123" s="155"/>
      <c r="P123" s="157">
        <v>0</v>
      </c>
      <c r="Q123" s="157"/>
      <c r="R123" s="501"/>
      <c r="S123" s="160"/>
      <c r="T123" s="255"/>
    </row>
    <row r="124" spans="1:20" s="256" customFormat="1" ht="15.6" x14ac:dyDescent="0.3">
      <c r="A124" s="502"/>
      <c r="B124" s="155" t="s">
        <v>221</v>
      </c>
      <c r="C124" s="155"/>
      <c r="D124" s="155"/>
      <c r="E124" s="155"/>
      <c r="F124" s="155"/>
      <c r="G124" s="155"/>
      <c r="H124" s="155"/>
      <c r="I124" s="155"/>
      <c r="J124" s="155"/>
      <c r="K124" s="155"/>
      <c r="L124" s="155"/>
      <c r="M124" s="155"/>
      <c r="N124" s="155"/>
      <c r="O124" s="155"/>
      <c r="P124" s="157">
        <v>-1063</v>
      </c>
      <c r="Q124" s="157"/>
      <c r="R124" s="501"/>
      <c r="S124" s="160"/>
      <c r="T124" s="255"/>
    </row>
    <row r="125" spans="1:20" s="256" customFormat="1" ht="15.6" x14ac:dyDescent="0.3">
      <c r="A125" s="502"/>
      <c r="B125" s="155" t="s">
        <v>222</v>
      </c>
      <c r="C125" s="155"/>
      <c r="D125" s="155"/>
      <c r="E125" s="155"/>
      <c r="F125" s="155"/>
      <c r="G125" s="155"/>
      <c r="H125" s="155"/>
      <c r="I125" s="155"/>
      <c r="J125" s="155"/>
      <c r="K125" s="155"/>
      <c r="L125" s="155"/>
      <c r="M125" s="155"/>
      <c r="N125" s="155"/>
      <c r="O125" s="155"/>
      <c r="P125" s="157">
        <v>-1098</v>
      </c>
      <c r="Q125" s="157"/>
      <c r="R125" s="501"/>
      <c r="S125" s="160"/>
      <c r="T125" s="255"/>
    </row>
    <row r="126" spans="1:20" s="256" customFormat="1" ht="15.6" x14ac:dyDescent="0.3">
      <c r="A126" s="502"/>
      <c r="B126" s="155" t="s">
        <v>223</v>
      </c>
      <c r="C126" s="155"/>
      <c r="D126" s="155"/>
      <c r="E126" s="155"/>
      <c r="F126" s="155"/>
      <c r="G126" s="155"/>
      <c r="H126" s="155"/>
      <c r="I126" s="155"/>
      <c r="J126" s="155"/>
      <c r="K126" s="155"/>
      <c r="L126" s="155"/>
      <c r="M126" s="155"/>
      <c r="N126" s="155"/>
      <c r="O126" s="155"/>
      <c r="P126" s="157">
        <v>-351</v>
      </c>
      <c r="Q126" s="157"/>
      <c r="R126" s="501"/>
      <c r="S126" s="160"/>
      <c r="T126" s="255"/>
    </row>
    <row r="127" spans="1:20" s="256" customFormat="1" ht="15.6" x14ac:dyDescent="0.3">
      <c r="A127" s="502"/>
      <c r="B127" s="155" t="s">
        <v>173</v>
      </c>
      <c r="C127" s="155"/>
      <c r="D127" s="155"/>
      <c r="E127" s="155"/>
      <c r="F127" s="155"/>
      <c r="G127" s="155"/>
      <c r="H127" s="155"/>
      <c r="I127" s="155"/>
      <c r="J127" s="155"/>
      <c r="K127" s="155"/>
      <c r="L127" s="155"/>
      <c r="M127" s="155"/>
      <c r="N127" s="155"/>
      <c r="O127" s="155"/>
      <c r="P127" s="157">
        <v>-189</v>
      </c>
      <c r="Q127" s="157"/>
      <c r="R127" s="501"/>
      <c r="S127" s="160"/>
      <c r="T127" s="255"/>
    </row>
    <row r="128" spans="1:20" s="256" customFormat="1" ht="15.6" x14ac:dyDescent="0.3">
      <c r="A128" s="502"/>
      <c r="B128" s="155" t="s">
        <v>47</v>
      </c>
      <c r="C128" s="155"/>
      <c r="D128" s="155"/>
      <c r="E128" s="155"/>
      <c r="F128" s="155"/>
      <c r="G128" s="155"/>
      <c r="H128" s="155"/>
      <c r="I128" s="155"/>
      <c r="J128" s="155"/>
      <c r="K128" s="155"/>
      <c r="L128" s="155"/>
      <c r="M128" s="155"/>
      <c r="N128" s="155"/>
      <c r="O128" s="155"/>
      <c r="P128" s="157">
        <f>SUM(P120:P127)</f>
        <v>-3453</v>
      </c>
      <c r="Q128" s="157"/>
      <c r="R128" s="157">
        <f>SUM(R100:R127)</f>
        <v>-3719</v>
      </c>
      <c r="S128" s="160"/>
      <c r="T128" s="255"/>
    </row>
    <row r="129" spans="1:21" s="256" customFormat="1" ht="15.6" x14ac:dyDescent="0.3">
      <c r="A129" s="502"/>
      <c r="B129" s="155" t="s">
        <v>48</v>
      </c>
      <c r="C129" s="155"/>
      <c r="D129" s="155"/>
      <c r="E129" s="155"/>
      <c r="F129" s="155"/>
      <c r="G129" s="155"/>
      <c r="H129" s="155"/>
      <c r="I129" s="155"/>
      <c r="J129" s="155"/>
      <c r="K129" s="155"/>
      <c r="L129" s="155"/>
      <c r="M129" s="155"/>
      <c r="N129" s="155"/>
      <c r="O129" s="155"/>
      <c r="P129" s="157">
        <f>P99+P128+P113</f>
        <v>0</v>
      </c>
      <c r="Q129" s="157"/>
      <c r="R129" s="157">
        <f>R99+R128</f>
        <v>0</v>
      </c>
      <c r="S129" s="160"/>
      <c r="T129" s="255"/>
    </row>
    <row r="130" spans="1:21" s="256" customFormat="1" ht="15.6" x14ac:dyDescent="0.3">
      <c r="A130" s="6"/>
      <c r="B130" s="151"/>
      <c r="C130" s="151"/>
      <c r="D130" s="151"/>
      <c r="E130" s="151"/>
      <c r="F130" s="151"/>
      <c r="G130" s="151"/>
      <c r="H130" s="151"/>
      <c r="I130" s="151"/>
      <c r="J130" s="151"/>
      <c r="K130" s="151"/>
      <c r="L130" s="151"/>
      <c r="M130" s="151"/>
      <c r="N130" s="151"/>
      <c r="O130" s="151"/>
      <c r="P130" s="420"/>
      <c r="Q130" s="420"/>
      <c r="R130" s="420"/>
      <c r="S130" s="151"/>
      <c r="T130" s="255"/>
    </row>
    <row r="131" spans="1:21" s="256" customFormat="1" ht="15.6" x14ac:dyDescent="0.3">
      <c r="A131" s="6"/>
      <c r="B131" s="8"/>
      <c r="C131" s="8"/>
      <c r="D131" s="8"/>
      <c r="E131" s="8"/>
      <c r="F131" s="8"/>
      <c r="G131" s="8"/>
      <c r="H131" s="8"/>
      <c r="I131" s="8"/>
      <c r="J131" s="8"/>
      <c r="K131" s="8"/>
      <c r="L131" s="8"/>
      <c r="M131" s="8"/>
      <c r="N131" s="8"/>
      <c r="O131" s="8"/>
      <c r="P131" s="8"/>
      <c r="Q131" s="8"/>
      <c r="R131" s="52"/>
      <c r="S131" s="8"/>
      <c r="T131" s="255"/>
    </row>
    <row r="132" spans="1:21" s="256" customFormat="1" ht="18" thickBot="1" x14ac:dyDescent="0.35">
      <c r="A132" s="102"/>
      <c r="B132" s="103" t="str">
        <f>B62</f>
        <v>PM8 INVESTOR REPORT QUARTER ENDING MARCH 2010</v>
      </c>
      <c r="C132" s="104"/>
      <c r="D132" s="104"/>
      <c r="E132" s="104"/>
      <c r="F132" s="104"/>
      <c r="G132" s="104"/>
      <c r="H132" s="104"/>
      <c r="I132" s="104"/>
      <c r="J132" s="104"/>
      <c r="K132" s="104"/>
      <c r="L132" s="104"/>
      <c r="M132" s="104"/>
      <c r="N132" s="104"/>
      <c r="O132" s="104"/>
      <c r="P132" s="104"/>
      <c r="Q132" s="104"/>
      <c r="R132" s="107"/>
      <c r="S132" s="106"/>
      <c r="T132" s="255"/>
    </row>
    <row r="133" spans="1:21" ht="15.6" x14ac:dyDescent="0.3">
      <c r="A133" s="423"/>
      <c r="B133" s="60" t="s">
        <v>49</v>
      </c>
      <c r="C133" s="424"/>
      <c r="D133" s="424"/>
      <c r="E133" s="424"/>
      <c r="F133" s="424"/>
      <c r="G133" s="424"/>
      <c r="H133" s="424"/>
      <c r="I133" s="424"/>
      <c r="J133" s="424"/>
      <c r="K133" s="424"/>
      <c r="L133" s="424"/>
      <c r="M133" s="424"/>
      <c r="N133" s="424"/>
      <c r="O133" s="424"/>
      <c r="P133" s="424"/>
      <c r="Q133" s="424"/>
      <c r="R133" s="425"/>
      <c r="S133" s="424"/>
      <c r="T133" s="5"/>
    </row>
    <row r="134" spans="1:21" ht="15.6" x14ac:dyDescent="0.3">
      <c r="A134" s="6"/>
      <c r="B134" s="21"/>
      <c r="C134" s="8"/>
      <c r="D134" s="8"/>
      <c r="E134" s="8"/>
      <c r="F134" s="8"/>
      <c r="G134" s="8"/>
      <c r="H134" s="8"/>
      <c r="I134" s="8"/>
      <c r="J134" s="8"/>
      <c r="K134" s="8"/>
      <c r="L134" s="8"/>
      <c r="M134" s="8"/>
      <c r="N134" s="8"/>
      <c r="O134" s="8"/>
      <c r="P134" s="8"/>
      <c r="Q134" s="8"/>
      <c r="R134" s="52"/>
      <c r="S134" s="8"/>
      <c r="T134" s="5"/>
    </row>
    <row r="135" spans="1:21" ht="15.6" x14ac:dyDescent="0.3">
      <c r="A135" s="6"/>
      <c r="B135" s="120" t="s">
        <v>50</v>
      </c>
      <c r="C135" s="8"/>
      <c r="D135" s="8"/>
      <c r="E135" s="8"/>
      <c r="F135" s="8"/>
      <c r="G135" s="8"/>
      <c r="H135" s="8"/>
      <c r="I135" s="8"/>
      <c r="J135" s="8"/>
      <c r="K135" s="8"/>
      <c r="L135" s="8"/>
      <c r="M135" s="8"/>
      <c r="N135" s="8"/>
      <c r="O135" s="8"/>
      <c r="P135" s="8"/>
      <c r="Q135" s="8"/>
      <c r="R135" s="52"/>
      <c r="S135" s="8"/>
      <c r="T135" s="5"/>
    </row>
    <row r="136" spans="1:21" s="256" customFormat="1" ht="15.6" x14ac:dyDescent="0.3">
      <c r="A136" s="502"/>
      <c r="B136" s="155" t="s">
        <v>51</v>
      </c>
      <c r="C136" s="155"/>
      <c r="D136" s="155"/>
      <c r="E136" s="155"/>
      <c r="F136" s="155"/>
      <c r="G136" s="155"/>
      <c r="H136" s="155"/>
      <c r="I136" s="155"/>
      <c r="J136" s="155"/>
      <c r="K136" s="155"/>
      <c r="L136" s="155"/>
      <c r="M136" s="155"/>
      <c r="N136" s="155"/>
      <c r="O136" s="155"/>
      <c r="P136" s="155"/>
      <c r="Q136" s="155"/>
      <c r="R136" s="501">
        <f>+R33*0.019</f>
        <v>19000</v>
      </c>
      <c r="S136" s="160"/>
      <c r="T136" s="255"/>
    </row>
    <row r="137" spans="1:21" s="256" customFormat="1" ht="15.6" x14ac:dyDescent="0.3">
      <c r="A137" s="502"/>
      <c r="B137" s="155" t="s">
        <v>52</v>
      </c>
      <c r="C137" s="155"/>
      <c r="D137" s="155"/>
      <c r="E137" s="155"/>
      <c r="F137" s="155"/>
      <c r="G137" s="155"/>
      <c r="H137" s="155"/>
      <c r="I137" s="155"/>
      <c r="J137" s="155"/>
      <c r="K137" s="155"/>
      <c r="L137" s="155"/>
      <c r="M137" s="155"/>
      <c r="N137" s="155"/>
      <c r="O137" s="155"/>
      <c r="P137" s="155"/>
      <c r="Q137" s="155"/>
      <c r="R137" s="501">
        <v>19000</v>
      </c>
      <c r="S137" s="160"/>
      <c r="T137" s="255"/>
    </row>
    <row r="138" spans="1:21" s="256" customFormat="1" ht="15.6" x14ac:dyDescent="0.3">
      <c r="A138" s="502"/>
      <c r="B138" s="155" t="s">
        <v>155</v>
      </c>
      <c r="C138" s="155"/>
      <c r="D138" s="155"/>
      <c r="E138" s="155"/>
      <c r="F138" s="155"/>
      <c r="G138" s="155"/>
      <c r="H138" s="155"/>
      <c r="I138" s="155"/>
      <c r="J138" s="155"/>
      <c r="K138" s="155"/>
      <c r="L138" s="155"/>
      <c r="M138" s="155"/>
      <c r="N138" s="155"/>
      <c r="O138" s="155"/>
      <c r="P138" s="155"/>
      <c r="Q138" s="155"/>
      <c r="R138" s="501">
        <v>0</v>
      </c>
      <c r="S138" s="160"/>
      <c r="T138" s="255"/>
    </row>
    <row r="139" spans="1:21" s="256" customFormat="1" ht="15.6" x14ac:dyDescent="0.3">
      <c r="A139" s="502"/>
      <c r="B139" s="155" t="s">
        <v>142</v>
      </c>
      <c r="C139" s="155"/>
      <c r="D139" s="155"/>
      <c r="E139" s="155"/>
      <c r="F139" s="155"/>
      <c r="G139" s="155"/>
      <c r="H139" s="155"/>
      <c r="I139" s="155"/>
      <c r="J139" s="155"/>
      <c r="K139" s="155"/>
      <c r="L139" s="155"/>
      <c r="M139" s="155"/>
      <c r="N139" s="155"/>
      <c r="O139" s="155"/>
      <c r="P139" s="155"/>
      <c r="Q139" s="155"/>
      <c r="R139" s="501">
        <v>0</v>
      </c>
      <c r="S139" s="160"/>
      <c r="T139" s="255"/>
    </row>
    <row r="140" spans="1:21" s="256" customFormat="1" ht="15.6" x14ac:dyDescent="0.3">
      <c r="A140" s="502"/>
      <c r="B140" s="155" t="s">
        <v>143</v>
      </c>
      <c r="C140" s="155"/>
      <c r="D140" s="155"/>
      <c r="E140" s="155"/>
      <c r="F140" s="155"/>
      <c r="G140" s="155"/>
      <c r="H140" s="155"/>
      <c r="I140" s="155"/>
      <c r="J140" s="155"/>
      <c r="K140" s="155"/>
      <c r="L140" s="155"/>
      <c r="M140" s="155"/>
      <c r="N140" s="155"/>
      <c r="O140" s="155"/>
      <c r="P140" s="155"/>
      <c r="Q140" s="155"/>
      <c r="R140" s="501">
        <v>0</v>
      </c>
      <c r="S140" s="160"/>
      <c r="T140" s="255"/>
    </row>
    <row r="141" spans="1:21" s="256" customFormat="1" ht="15.6" x14ac:dyDescent="0.3">
      <c r="A141" s="502"/>
      <c r="B141" s="155" t="s">
        <v>53</v>
      </c>
      <c r="C141" s="155"/>
      <c r="D141" s="155"/>
      <c r="E141" s="155"/>
      <c r="F141" s="155"/>
      <c r="G141" s="155"/>
      <c r="H141" s="155"/>
      <c r="I141" s="155"/>
      <c r="J141" s="155"/>
      <c r="K141" s="155"/>
      <c r="L141" s="155"/>
      <c r="M141" s="155"/>
      <c r="N141" s="155"/>
      <c r="O141" s="155"/>
      <c r="P141" s="155"/>
      <c r="Q141" s="155"/>
      <c r="R141" s="501">
        <v>0</v>
      </c>
      <c r="S141" s="160"/>
      <c r="T141" s="255"/>
    </row>
    <row r="142" spans="1:21" s="256" customFormat="1" ht="15.6" x14ac:dyDescent="0.3">
      <c r="A142" s="502"/>
      <c r="B142" s="155" t="s">
        <v>148</v>
      </c>
      <c r="C142" s="155"/>
      <c r="D142" s="155"/>
      <c r="E142" s="155"/>
      <c r="F142" s="155"/>
      <c r="G142" s="155"/>
      <c r="H142" s="155"/>
      <c r="I142" s="155"/>
      <c r="J142" s="155"/>
      <c r="K142" s="155"/>
      <c r="L142" s="155"/>
      <c r="M142" s="155"/>
      <c r="N142" s="155"/>
      <c r="O142" s="155"/>
      <c r="P142" s="155"/>
      <c r="Q142" s="155"/>
      <c r="R142" s="501">
        <v>0</v>
      </c>
      <c r="S142" s="160"/>
      <c r="T142" s="255"/>
    </row>
    <row r="143" spans="1:21" s="256" customFormat="1" ht="15.6" x14ac:dyDescent="0.3">
      <c r="A143" s="502"/>
      <c r="B143" s="155" t="s">
        <v>203</v>
      </c>
      <c r="C143" s="155"/>
      <c r="D143" s="155"/>
      <c r="E143" s="155"/>
      <c r="F143" s="155"/>
      <c r="G143" s="155"/>
      <c r="H143" s="155"/>
      <c r="I143" s="155"/>
      <c r="J143" s="155"/>
      <c r="K143" s="155"/>
      <c r="L143" s="155"/>
      <c r="M143" s="155"/>
      <c r="N143" s="155"/>
      <c r="O143" s="155"/>
      <c r="P143" s="155"/>
      <c r="Q143" s="155"/>
      <c r="R143" s="501">
        <v>0</v>
      </c>
      <c r="S143" s="160"/>
      <c r="T143" s="255"/>
      <c r="U143" s="270"/>
    </row>
    <row r="144" spans="1:21" s="256" customFormat="1" ht="15.6" x14ac:dyDescent="0.3">
      <c r="A144" s="502"/>
      <c r="B144" s="155" t="s">
        <v>54</v>
      </c>
      <c r="C144" s="155"/>
      <c r="D144" s="155"/>
      <c r="E144" s="155"/>
      <c r="F144" s="155"/>
      <c r="G144" s="155"/>
      <c r="H144" s="155"/>
      <c r="I144" s="155"/>
      <c r="J144" s="155"/>
      <c r="K144" s="155"/>
      <c r="L144" s="155"/>
      <c r="M144" s="155"/>
      <c r="N144" s="155"/>
      <c r="O144" s="155"/>
      <c r="P144" s="155"/>
      <c r="Q144" s="155"/>
      <c r="R144" s="501">
        <f>SUM(R137:R143)</f>
        <v>19000</v>
      </c>
      <c r="S144" s="160"/>
      <c r="T144" s="255"/>
    </row>
    <row r="145" spans="1:20" s="256" customFormat="1" ht="15.6" x14ac:dyDescent="0.3">
      <c r="A145" s="502"/>
      <c r="B145" s="155"/>
      <c r="C145" s="155"/>
      <c r="D145" s="155"/>
      <c r="E145" s="155"/>
      <c r="F145" s="155"/>
      <c r="G145" s="155"/>
      <c r="H145" s="155"/>
      <c r="I145" s="155"/>
      <c r="J145" s="155"/>
      <c r="K145" s="155"/>
      <c r="L145" s="155"/>
      <c r="M145" s="155"/>
      <c r="N145" s="155"/>
      <c r="O145" s="155"/>
      <c r="P145" s="155"/>
      <c r="Q145" s="155"/>
      <c r="R145" s="501"/>
      <c r="S145" s="160"/>
      <c r="T145" s="255"/>
    </row>
    <row r="146" spans="1:20" ht="15.6" x14ac:dyDescent="0.3">
      <c r="A146" s="502"/>
      <c r="B146" s="510" t="s">
        <v>264</v>
      </c>
      <c r="C146" s="155"/>
      <c r="D146" s="155"/>
      <c r="E146" s="155"/>
      <c r="F146" s="155"/>
      <c r="G146" s="155"/>
      <c r="H146" s="155"/>
      <c r="I146" s="155"/>
      <c r="J146" s="155"/>
      <c r="K146" s="155"/>
      <c r="L146" s="155"/>
      <c r="M146" s="155"/>
      <c r="N146" s="155"/>
      <c r="O146" s="155"/>
      <c r="P146" s="155"/>
      <c r="Q146" s="155"/>
      <c r="R146" s="501"/>
      <c r="S146" s="160"/>
      <c r="T146" s="5"/>
    </row>
    <row r="147" spans="1:20" s="256" customFormat="1" ht="15.6" x14ac:dyDescent="0.3">
      <c r="A147" s="502"/>
      <c r="B147" s="155" t="s">
        <v>206</v>
      </c>
      <c r="C147" s="155"/>
      <c r="D147" s="155"/>
      <c r="E147" s="155"/>
      <c r="F147" s="155"/>
      <c r="G147" s="155"/>
      <c r="H147" s="155"/>
      <c r="I147" s="155"/>
      <c r="J147" s="155"/>
      <c r="K147" s="155"/>
      <c r="L147" s="155"/>
      <c r="M147" s="155"/>
      <c r="N147" s="155"/>
      <c r="O147" s="155"/>
      <c r="P147" s="155"/>
      <c r="Q147" s="155"/>
      <c r="R147" s="501">
        <f>+R33*0.005</f>
        <v>5000</v>
      </c>
      <c r="S147" s="160"/>
      <c r="T147" s="255"/>
    </row>
    <row r="148" spans="1:20" s="256" customFormat="1" ht="15.6" x14ac:dyDescent="0.3">
      <c r="A148" s="502"/>
      <c r="B148" s="155" t="s">
        <v>260</v>
      </c>
      <c r="C148" s="155"/>
      <c r="D148" s="155"/>
      <c r="E148" s="155"/>
      <c r="F148" s="155"/>
      <c r="G148" s="155"/>
      <c r="H148" s="155"/>
      <c r="I148" s="155"/>
      <c r="J148" s="155"/>
      <c r="K148" s="155"/>
      <c r="L148" s="155"/>
      <c r="M148" s="155"/>
      <c r="N148" s="155"/>
      <c r="O148" s="155"/>
      <c r="P148" s="155"/>
      <c r="Q148" s="155"/>
      <c r="R148" s="501">
        <v>0</v>
      </c>
      <c r="S148" s="160"/>
      <c r="T148" s="255"/>
    </row>
    <row r="149" spans="1:20" s="256" customFormat="1" ht="15.6" x14ac:dyDescent="0.3">
      <c r="A149" s="502"/>
      <c r="B149" s="155" t="s">
        <v>294</v>
      </c>
      <c r="C149" s="155"/>
      <c r="D149" s="155"/>
      <c r="E149" s="155"/>
      <c r="F149" s="155"/>
      <c r="G149" s="155"/>
      <c r="H149" s="155"/>
      <c r="I149" s="155"/>
      <c r="J149" s="155"/>
      <c r="K149" s="155"/>
      <c r="L149" s="155"/>
      <c r="M149" s="155"/>
      <c r="N149" s="155"/>
      <c r="O149" s="155"/>
      <c r="P149" s="155"/>
      <c r="Q149" s="155"/>
      <c r="R149" s="501">
        <v>1698</v>
      </c>
      <c r="S149" s="160"/>
      <c r="T149" s="255"/>
    </row>
    <row r="150" spans="1:20" s="256" customFormat="1" ht="15.6" x14ac:dyDescent="0.3">
      <c r="A150" s="502"/>
      <c r="B150" s="155"/>
      <c r="C150" s="155"/>
      <c r="D150" s="155"/>
      <c r="E150" s="155"/>
      <c r="F150" s="155"/>
      <c r="G150" s="155"/>
      <c r="H150" s="155"/>
      <c r="I150" s="155"/>
      <c r="J150" s="155"/>
      <c r="K150" s="155"/>
      <c r="L150" s="155"/>
      <c r="M150" s="155"/>
      <c r="N150" s="155"/>
      <c r="O150" s="155"/>
      <c r="P150" s="155"/>
      <c r="Q150" s="155"/>
      <c r="R150" s="501"/>
      <c r="S150" s="160"/>
      <c r="T150" s="255"/>
    </row>
    <row r="151" spans="1:20" s="256" customFormat="1" ht="15.6" x14ac:dyDescent="0.3">
      <c r="A151" s="414"/>
      <c r="B151" s="415"/>
      <c r="C151" s="415"/>
      <c r="D151" s="415"/>
      <c r="E151" s="415"/>
      <c r="F151" s="415"/>
      <c r="G151" s="415"/>
      <c r="H151" s="415"/>
      <c r="I151" s="415"/>
      <c r="J151" s="415"/>
      <c r="K151" s="415"/>
      <c r="L151" s="415"/>
      <c r="M151" s="415"/>
      <c r="N151" s="415"/>
      <c r="O151" s="415"/>
      <c r="P151" s="415"/>
      <c r="Q151" s="415"/>
      <c r="R151" s="426"/>
      <c r="S151" s="415"/>
      <c r="T151" s="255"/>
    </row>
    <row r="152" spans="1:20" ht="15.6" x14ac:dyDescent="0.3">
      <c r="A152" s="6"/>
      <c r="B152" s="120" t="s">
        <v>28</v>
      </c>
      <c r="C152" s="8"/>
      <c r="D152" s="8"/>
      <c r="E152" s="8"/>
      <c r="F152" s="8"/>
      <c r="G152" s="8"/>
      <c r="H152" s="8"/>
      <c r="I152" s="8"/>
      <c r="J152" s="8"/>
      <c r="K152" s="8"/>
      <c r="L152" s="8"/>
      <c r="M152" s="8"/>
      <c r="N152" s="8"/>
      <c r="O152" s="8"/>
      <c r="P152" s="8"/>
      <c r="Q152" s="8"/>
      <c r="R152" s="52"/>
      <c r="S152" s="8"/>
      <c r="T152" s="5"/>
    </row>
    <row r="153" spans="1:20" s="256" customFormat="1" ht="15.6" x14ac:dyDescent="0.3">
      <c r="A153" s="502"/>
      <c r="B153" s="155" t="s">
        <v>55</v>
      </c>
      <c r="C153" s="155"/>
      <c r="D153" s="155"/>
      <c r="E153" s="155"/>
      <c r="F153" s="155"/>
      <c r="G153" s="155"/>
      <c r="H153" s="155"/>
      <c r="I153" s="155"/>
      <c r="J153" s="155"/>
      <c r="K153" s="155"/>
      <c r="L153" s="155"/>
      <c r="M153" s="155"/>
      <c r="N153" s="155"/>
      <c r="O153" s="155"/>
      <c r="P153" s="155"/>
      <c r="Q153" s="155"/>
      <c r="R153" s="511" t="s">
        <v>137</v>
      </c>
      <c r="S153" s="160"/>
      <c r="T153" s="255"/>
    </row>
    <row r="154" spans="1:20" s="256" customFormat="1" ht="15.6" x14ac:dyDescent="0.3">
      <c r="A154" s="502"/>
      <c r="B154" s="155" t="s">
        <v>56</v>
      </c>
      <c r="C154" s="457"/>
      <c r="D154" s="457"/>
      <c r="E154" s="457"/>
      <c r="F154" s="457"/>
      <c r="G154" s="457"/>
      <c r="H154" s="457"/>
      <c r="I154" s="457"/>
      <c r="J154" s="457"/>
      <c r="K154" s="457"/>
      <c r="L154" s="457"/>
      <c r="M154" s="457"/>
      <c r="N154" s="457"/>
      <c r="O154" s="457"/>
      <c r="P154" s="457"/>
      <c r="Q154" s="457"/>
      <c r="R154" s="511" t="s">
        <v>137</v>
      </c>
      <c r="S154" s="160"/>
      <c r="T154" s="255"/>
    </row>
    <row r="155" spans="1:20" s="256" customFormat="1" ht="15.6" x14ac:dyDescent="0.3">
      <c r="A155" s="502"/>
      <c r="B155" s="155" t="s">
        <v>57</v>
      </c>
      <c r="C155" s="155"/>
      <c r="D155" s="155"/>
      <c r="E155" s="155"/>
      <c r="F155" s="155"/>
      <c r="G155" s="155"/>
      <c r="H155" s="155"/>
      <c r="I155" s="155"/>
      <c r="J155" s="155"/>
      <c r="K155" s="155"/>
      <c r="L155" s="155"/>
      <c r="M155" s="155"/>
      <c r="N155" s="155"/>
      <c r="O155" s="155"/>
      <c r="P155" s="155"/>
      <c r="Q155" s="155"/>
      <c r="R155" s="511" t="s">
        <v>137</v>
      </c>
      <c r="S155" s="160"/>
      <c r="T155" s="255"/>
    </row>
    <row r="156" spans="1:20" s="256" customFormat="1" ht="15.6" x14ac:dyDescent="0.3">
      <c r="A156" s="502"/>
      <c r="B156" s="155" t="s">
        <v>58</v>
      </c>
      <c r="C156" s="155"/>
      <c r="D156" s="155"/>
      <c r="E156" s="155"/>
      <c r="F156" s="155"/>
      <c r="G156" s="155"/>
      <c r="H156" s="155"/>
      <c r="I156" s="155"/>
      <c r="J156" s="155"/>
      <c r="K156" s="155"/>
      <c r="L156" s="155"/>
      <c r="M156" s="155"/>
      <c r="N156" s="155"/>
      <c r="O156" s="155"/>
      <c r="P156" s="155"/>
      <c r="Q156" s="155"/>
      <c r="R156" s="511" t="s">
        <v>137</v>
      </c>
      <c r="S156" s="160"/>
      <c r="T156" s="255"/>
    </row>
    <row r="157" spans="1:20" ht="15.6" x14ac:dyDescent="0.3">
      <c r="A157" s="6"/>
      <c r="B157" s="151"/>
      <c r="C157" s="151"/>
      <c r="D157" s="151"/>
      <c r="E157" s="151"/>
      <c r="F157" s="151"/>
      <c r="G157" s="151"/>
      <c r="H157" s="151"/>
      <c r="I157" s="151"/>
      <c r="J157" s="151"/>
      <c r="K157" s="151"/>
      <c r="L157" s="151"/>
      <c r="M157" s="151"/>
      <c r="N157" s="151"/>
      <c r="O157" s="151"/>
      <c r="P157" s="151"/>
      <c r="Q157" s="151"/>
      <c r="R157" s="427"/>
      <c r="S157" s="151"/>
      <c r="T157" s="5"/>
    </row>
    <row r="158" spans="1:20" ht="15.6" x14ac:dyDescent="0.3">
      <c r="A158" s="6"/>
      <c r="B158" s="120" t="s">
        <v>59</v>
      </c>
      <c r="C158" s="8"/>
      <c r="D158" s="8"/>
      <c r="E158" s="8"/>
      <c r="F158" s="8"/>
      <c r="G158" s="8"/>
      <c r="H158" s="8"/>
      <c r="I158" s="8"/>
      <c r="J158" s="8"/>
      <c r="K158" s="8"/>
      <c r="L158" s="8"/>
      <c r="M158" s="8"/>
      <c r="N158" s="8"/>
      <c r="O158" s="8"/>
      <c r="P158" s="8"/>
      <c r="Q158" s="8"/>
      <c r="R158" s="63"/>
      <c r="S158" s="8"/>
      <c r="T158" s="5"/>
    </row>
    <row r="159" spans="1:20" s="256" customFormat="1" ht="15.6" x14ac:dyDescent="0.3">
      <c r="A159" s="502"/>
      <c r="B159" s="155" t="s">
        <v>60</v>
      </c>
      <c r="C159" s="155"/>
      <c r="D159" s="155"/>
      <c r="E159" s="155"/>
      <c r="F159" s="155"/>
      <c r="G159" s="155"/>
      <c r="H159" s="155"/>
      <c r="I159" s="155"/>
      <c r="J159" s="155"/>
      <c r="K159" s="155"/>
      <c r="L159" s="155"/>
      <c r="M159" s="155"/>
      <c r="N159" s="155"/>
      <c r="O159" s="155"/>
      <c r="P159" s="155"/>
      <c r="Q159" s="155"/>
      <c r="R159" s="501">
        <v>0</v>
      </c>
      <c r="S159" s="160"/>
      <c r="T159" s="255"/>
    </row>
    <row r="160" spans="1:20" s="256" customFormat="1" ht="15.6" x14ac:dyDescent="0.3">
      <c r="A160" s="502"/>
      <c r="B160" s="155" t="s">
        <v>61</v>
      </c>
      <c r="C160" s="155"/>
      <c r="D160" s="155"/>
      <c r="E160" s="155"/>
      <c r="F160" s="155"/>
      <c r="G160" s="155"/>
      <c r="H160" s="155"/>
      <c r="I160" s="155"/>
      <c r="J160" s="155"/>
      <c r="K160" s="155"/>
      <c r="L160" s="155"/>
      <c r="M160" s="155"/>
      <c r="N160" s="155"/>
      <c r="O160" s="155"/>
      <c r="P160" s="155"/>
      <c r="Q160" s="155"/>
      <c r="R160" s="501">
        <f>P113</f>
        <v>13</v>
      </c>
      <c r="S160" s="160"/>
      <c r="T160" s="255"/>
    </row>
    <row r="161" spans="1:20" s="256" customFormat="1" ht="15.6" x14ac:dyDescent="0.3">
      <c r="A161" s="502"/>
      <c r="B161" s="155" t="s">
        <v>62</v>
      </c>
      <c r="C161" s="155"/>
      <c r="D161" s="155"/>
      <c r="E161" s="155"/>
      <c r="F161" s="155"/>
      <c r="G161" s="155"/>
      <c r="H161" s="155"/>
      <c r="I161" s="155"/>
      <c r="J161" s="155"/>
      <c r="K161" s="155"/>
      <c r="L161" s="155"/>
      <c r="M161" s="155"/>
      <c r="N161" s="155"/>
      <c r="O161" s="155"/>
      <c r="P161" s="155"/>
      <c r="Q161" s="155"/>
      <c r="R161" s="501">
        <f>R160+R159</f>
        <v>13</v>
      </c>
      <c r="S161" s="160"/>
      <c r="T161" s="255"/>
    </row>
    <row r="162" spans="1:20" s="256" customFormat="1" ht="15.6" x14ac:dyDescent="0.3">
      <c r="A162" s="502"/>
      <c r="B162" s="155" t="s">
        <v>308</v>
      </c>
      <c r="C162" s="155"/>
      <c r="D162" s="155"/>
      <c r="E162" s="155"/>
      <c r="F162" s="155"/>
      <c r="G162" s="155"/>
      <c r="H162" s="155"/>
      <c r="I162" s="155"/>
      <c r="J162" s="155"/>
      <c r="K162" s="155"/>
      <c r="L162" s="155"/>
      <c r="M162" s="155"/>
      <c r="N162" s="155"/>
      <c r="O162" s="155"/>
      <c r="P162" s="155"/>
      <c r="Q162" s="155"/>
      <c r="R162" s="501">
        <f>R113</f>
        <v>-13</v>
      </c>
      <c r="S162" s="160"/>
      <c r="T162" s="255"/>
    </row>
    <row r="163" spans="1:20" s="256" customFormat="1" ht="15.6" x14ac:dyDescent="0.3">
      <c r="A163" s="502"/>
      <c r="B163" s="155" t="s">
        <v>63</v>
      </c>
      <c r="C163" s="155"/>
      <c r="D163" s="155"/>
      <c r="E163" s="155"/>
      <c r="F163" s="155"/>
      <c r="G163" s="155"/>
      <c r="H163" s="155"/>
      <c r="I163" s="155"/>
      <c r="J163" s="155"/>
      <c r="K163" s="155"/>
      <c r="L163" s="155"/>
      <c r="M163" s="155"/>
      <c r="N163" s="155"/>
      <c r="O163" s="155"/>
      <c r="P163" s="155"/>
      <c r="Q163" s="155"/>
      <c r="R163" s="501">
        <f>R161+R162</f>
        <v>0</v>
      </c>
      <c r="S163" s="160"/>
      <c r="T163" s="255"/>
    </row>
    <row r="164" spans="1:20" s="256" customFormat="1" ht="15.6" x14ac:dyDescent="0.3">
      <c r="A164" s="502"/>
      <c r="B164" s="155" t="s">
        <v>276</v>
      </c>
      <c r="C164" s="155"/>
      <c r="D164" s="155"/>
      <c r="E164" s="155"/>
      <c r="F164" s="155"/>
      <c r="G164" s="155"/>
      <c r="H164" s="155"/>
      <c r="I164" s="155"/>
      <c r="J164" s="155"/>
      <c r="K164" s="155"/>
      <c r="L164" s="155"/>
      <c r="M164" s="155"/>
      <c r="N164" s="155"/>
      <c r="O164" s="155"/>
      <c r="P164" s="155"/>
      <c r="Q164" s="155"/>
      <c r="R164" s="501">
        <f>-R98</f>
        <v>70</v>
      </c>
      <c r="S164" s="160"/>
      <c r="T164" s="255"/>
    </row>
    <row r="165" spans="1:20" s="256" customFormat="1" ht="16.2" thickBot="1" x14ac:dyDescent="0.35">
      <c r="A165" s="414"/>
      <c r="B165" s="415"/>
      <c r="C165" s="415"/>
      <c r="D165" s="415"/>
      <c r="E165" s="415"/>
      <c r="F165" s="415"/>
      <c r="G165" s="415"/>
      <c r="H165" s="415"/>
      <c r="I165" s="415"/>
      <c r="J165" s="415"/>
      <c r="K165" s="415"/>
      <c r="L165" s="415"/>
      <c r="M165" s="415"/>
      <c r="N165" s="415"/>
      <c r="O165" s="415"/>
      <c r="P165" s="415"/>
      <c r="Q165" s="415"/>
      <c r="R165" s="426"/>
      <c r="S165" s="415"/>
      <c r="T165" s="255"/>
    </row>
    <row r="166" spans="1:20" ht="15.6" x14ac:dyDescent="0.3">
      <c r="A166" s="2"/>
      <c r="B166" s="4"/>
      <c r="C166" s="4"/>
      <c r="D166" s="4"/>
      <c r="E166" s="4"/>
      <c r="F166" s="4"/>
      <c r="G166" s="4"/>
      <c r="H166" s="4"/>
      <c r="I166" s="4"/>
      <c r="J166" s="4"/>
      <c r="K166" s="4"/>
      <c r="L166" s="4"/>
      <c r="M166" s="4"/>
      <c r="N166" s="4"/>
      <c r="O166" s="4"/>
      <c r="P166" s="4"/>
      <c r="Q166" s="4"/>
      <c r="R166" s="50"/>
      <c r="S166" s="4"/>
      <c r="T166" s="5"/>
    </row>
    <row r="167" spans="1:20" ht="15.6" x14ac:dyDescent="0.3">
      <c r="A167" s="6"/>
      <c r="B167" s="120" t="s">
        <v>64</v>
      </c>
      <c r="C167" s="8"/>
      <c r="D167" s="8"/>
      <c r="E167" s="8"/>
      <c r="F167" s="8"/>
      <c r="G167" s="8"/>
      <c r="H167" s="8"/>
      <c r="I167" s="8"/>
      <c r="J167" s="8"/>
      <c r="K167" s="8"/>
      <c r="L167" s="8"/>
      <c r="M167" s="8"/>
      <c r="N167" s="8"/>
      <c r="O167" s="8"/>
      <c r="P167" s="8"/>
      <c r="Q167" s="8"/>
      <c r="R167" s="52"/>
      <c r="S167" s="8"/>
      <c r="T167" s="5"/>
    </row>
    <row r="168" spans="1:20" ht="15.6" x14ac:dyDescent="0.3">
      <c r="A168" s="6"/>
      <c r="B168" s="21"/>
      <c r="C168" s="8"/>
      <c r="D168" s="8"/>
      <c r="E168" s="8"/>
      <c r="F168" s="8"/>
      <c r="G168" s="8"/>
      <c r="H168" s="8"/>
      <c r="I168" s="8"/>
      <c r="J168" s="8"/>
      <c r="K168" s="8"/>
      <c r="L168" s="8"/>
      <c r="M168" s="8"/>
      <c r="N168" s="8"/>
      <c r="O168" s="8"/>
      <c r="P168" s="8"/>
      <c r="Q168" s="8"/>
      <c r="R168" s="52"/>
      <c r="S168" s="8"/>
      <c r="T168" s="5"/>
    </row>
    <row r="169" spans="1:20" s="256" customFormat="1" ht="15.6" x14ac:dyDescent="0.3">
      <c r="A169" s="502"/>
      <c r="B169" s="155" t="s">
        <v>65</v>
      </c>
      <c r="C169" s="155"/>
      <c r="D169" s="155"/>
      <c r="E169" s="155"/>
      <c r="F169" s="155"/>
      <c r="G169" s="155"/>
      <c r="H169" s="155"/>
      <c r="I169" s="155"/>
      <c r="J169" s="155"/>
      <c r="K169" s="155"/>
      <c r="L169" s="155"/>
      <c r="M169" s="155"/>
      <c r="N169" s="155"/>
      <c r="O169" s="155"/>
      <c r="P169" s="155"/>
      <c r="Q169" s="155"/>
      <c r="R169" s="501">
        <f>R70</f>
        <v>485211</v>
      </c>
      <c r="S169" s="160"/>
      <c r="T169" s="255"/>
    </row>
    <row r="170" spans="1:20" s="256" customFormat="1" ht="15.6" x14ac:dyDescent="0.3">
      <c r="A170" s="502"/>
      <c r="B170" s="155" t="s">
        <v>66</v>
      </c>
      <c r="C170" s="155"/>
      <c r="D170" s="155"/>
      <c r="E170" s="155"/>
      <c r="F170" s="155"/>
      <c r="G170" s="155"/>
      <c r="H170" s="155"/>
      <c r="I170" s="155"/>
      <c r="J170" s="155"/>
      <c r="K170" s="155"/>
      <c r="L170" s="155"/>
      <c r="M170" s="155"/>
      <c r="N170" s="155"/>
      <c r="O170" s="155"/>
      <c r="P170" s="155"/>
      <c r="Q170" s="155"/>
      <c r="R170" s="501">
        <f>R83</f>
        <v>485211</v>
      </c>
      <c r="S170" s="160"/>
      <c r="T170" s="255"/>
    </row>
    <row r="171" spans="1:20" ht="16.2" thickBot="1" x14ac:dyDescent="0.35">
      <c r="A171" s="6"/>
      <c r="B171" s="151"/>
      <c r="C171" s="151"/>
      <c r="D171" s="151"/>
      <c r="E171" s="151"/>
      <c r="F171" s="151"/>
      <c r="G171" s="151"/>
      <c r="H171" s="151"/>
      <c r="I171" s="151"/>
      <c r="J171" s="151"/>
      <c r="K171" s="151"/>
      <c r="L171" s="151"/>
      <c r="M171" s="151"/>
      <c r="N171" s="151"/>
      <c r="O171" s="151"/>
      <c r="P171" s="151"/>
      <c r="Q171" s="151"/>
      <c r="R171" s="427"/>
      <c r="S171" s="151"/>
      <c r="T171" s="5"/>
    </row>
    <row r="172" spans="1:20" ht="15.6" x14ac:dyDescent="0.3">
      <c r="A172" s="2"/>
      <c r="B172" s="4"/>
      <c r="C172" s="4"/>
      <c r="D172" s="4"/>
      <c r="E172" s="4"/>
      <c r="F172" s="4"/>
      <c r="G172" s="4"/>
      <c r="H172" s="4"/>
      <c r="I172" s="4"/>
      <c r="J172" s="4"/>
      <c r="K172" s="4"/>
      <c r="L172" s="4"/>
      <c r="M172" s="4"/>
      <c r="N172" s="4"/>
      <c r="O172" s="4"/>
      <c r="P172" s="4"/>
      <c r="Q172" s="4"/>
      <c r="R172" s="50"/>
      <c r="S172" s="4"/>
      <c r="T172" s="5"/>
    </row>
    <row r="173" spans="1:20" ht="15.6" x14ac:dyDescent="0.3">
      <c r="A173" s="6"/>
      <c r="B173" s="120" t="s">
        <v>67</v>
      </c>
      <c r="C173" s="118"/>
      <c r="D173" s="118"/>
      <c r="E173" s="118"/>
      <c r="F173" s="118"/>
      <c r="G173" s="118"/>
      <c r="H173" s="121"/>
      <c r="I173" s="121"/>
      <c r="J173" s="121"/>
      <c r="K173" s="121"/>
      <c r="L173" s="121"/>
      <c r="M173" s="121"/>
      <c r="N173" s="121"/>
      <c r="O173" s="121" t="s">
        <v>112</v>
      </c>
      <c r="P173" s="121" t="s">
        <v>120</v>
      </c>
      <c r="Q173" s="112"/>
      <c r="R173" s="122" t="s">
        <v>129</v>
      </c>
      <c r="S173" s="10"/>
      <c r="T173" s="5"/>
    </row>
    <row r="174" spans="1:20" s="256" customFormat="1" ht="15.6" x14ac:dyDescent="0.3">
      <c r="A174" s="502"/>
      <c r="B174" s="155" t="s">
        <v>68</v>
      </c>
      <c r="C174" s="155"/>
      <c r="D174" s="155"/>
      <c r="E174" s="155"/>
      <c r="F174" s="155"/>
      <c r="G174" s="155"/>
      <c r="H174" s="155"/>
      <c r="I174" s="155"/>
      <c r="J174" s="155"/>
      <c r="K174" s="155"/>
      <c r="L174" s="155"/>
      <c r="M174" s="155"/>
      <c r="N174" s="155"/>
      <c r="O174" s="501">
        <v>160000</v>
      </c>
      <c r="P174" s="490"/>
      <c r="Q174" s="155"/>
      <c r="R174" s="501"/>
      <c r="S174" s="160"/>
      <c r="T174" s="255"/>
    </row>
    <row r="175" spans="1:20" s="256" customFormat="1" ht="15.6" x14ac:dyDescent="0.3">
      <c r="A175" s="502"/>
      <c r="B175" s="155" t="s">
        <v>69</v>
      </c>
      <c r="C175" s="155"/>
      <c r="D175" s="155"/>
      <c r="E175" s="155"/>
      <c r="F175" s="155"/>
      <c r="G175" s="155"/>
      <c r="H175" s="155"/>
      <c r="I175" s="155"/>
      <c r="J175" s="155"/>
      <c r="K175" s="155"/>
      <c r="L175" s="155"/>
      <c r="M175" s="155"/>
      <c r="N175" s="155"/>
      <c r="O175" s="501">
        <f>+'Dec 09'!O177</f>
        <v>84529</v>
      </c>
      <c r="P175" s="501">
        <f>+'Dec 09'!P177</f>
        <v>8344</v>
      </c>
      <c r="Q175" s="155"/>
      <c r="R175" s="501">
        <f>O175+P175</f>
        <v>92873</v>
      </c>
      <c r="S175" s="160"/>
      <c r="T175" s="255"/>
    </row>
    <row r="176" spans="1:20" s="256" customFormat="1" ht="15.6" x14ac:dyDescent="0.3">
      <c r="A176" s="502"/>
      <c r="B176" s="155" t="s">
        <v>70</v>
      </c>
      <c r="C176" s="155"/>
      <c r="D176" s="155"/>
      <c r="E176" s="155"/>
      <c r="F176" s="155"/>
      <c r="G176" s="155"/>
      <c r="H176" s="155"/>
      <c r="I176" s="155"/>
      <c r="J176" s="155"/>
      <c r="K176" s="155"/>
      <c r="L176" s="155"/>
      <c r="M176" s="155"/>
      <c r="N176" s="155"/>
      <c r="O176" s="157">
        <v>752</v>
      </c>
      <c r="P176" s="157">
        <f>-P96-P120</f>
        <v>5</v>
      </c>
      <c r="Q176" s="155"/>
      <c r="R176" s="501">
        <f>O176+P176</f>
        <v>757</v>
      </c>
      <c r="S176" s="160"/>
      <c r="T176" s="255"/>
    </row>
    <row r="177" spans="1:20" s="256" customFormat="1" ht="15.6" x14ac:dyDescent="0.3">
      <c r="A177" s="502"/>
      <c r="B177" s="155" t="s">
        <v>71</v>
      </c>
      <c r="C177" s="155"/>
      <c r="D177" s="155"/>
      <c r="E177" s="155"/>
      <c r="F177" s="155"/>
      <c r="G177" s="155"/>
      <c r="H177" s="155"/>
      <c r="I177" s="155"/>
      <c r="J177" s="155"/>
      <c r="K177" s="155"/>
      <c r="L177" s="155"/>
      <c r="M177" s="155"/>
      <c r="N177" s="155"/>
      <c r="O177" s="501">
        <f>O175+O176</f>
        <v>85281</v>
      </c>
      <c r="P177" s="501">
        <f>P176+P175</f>
        <v>8349</v>
      </c>
      <c r="Q177" s="155"/>
      <c r="R177" s="501">
        <f>O177+P177</f>
        <v>93630</v>
      </c>
      <c r="S177" s="160"/>
      <c r="T177" s="255"/>
    </row>
    <row r="178" spans="1:20" s="256" customFormat="1" ht="15.6" x14ac:dyDescent="0.3">
      <c r="A178" s="502"/>
      <c r="B178" s="155" t="s">
        <v>72</v>
      </c>
      <c r="C178" s="155"/>
      <c r="D178" s="155"/>
      <c r="E178" s="155"/>
      <c r="F178" s="155"/>
      <c r="G178" s="155"/>
      <c r="H178" s="155"/>
      <c r="I178" s="155"/>
      <c r="J178" s="155"/>
      <c r="K178" s="155"/>
      <c r="L178" s="155"/>
      <c r="M178" s="155"/>
      <c r="N178" s="155"/>
      <c r="O178" s="501">
        <f>O174-O177-P177</f>
        <v>66370</v>
      </c>
      <c r="P178" s="490"/>
      <c r="Q178" s="155"/>
      <c r="R178" s="501"/>
      <c r="S178" s="160"/>
      <c r="T178" s="255"/>
    </row>
    <row r="179" spans="1:20" ht="16.2" thickBot="1" x14ac:dyDescent="0.35">
      <c r="A179" s="6"/>
      <c r="B179" s="151"/>
      <c r="C179" s="151"/>
      <c r="D179" s="151"/>
      <c r="E179" s="151"/>
      <c r="F179" s="151"/>
      <c r="G179" s="151"/>
      <c r="H179" s="151"/>
      <c r="I179" s="151"/>
      <c r="J179" s="151"/>
      <c r="K179" s="151"/>
      <c r="L179" s="151"/>
      <c r="M179" s="151"/>
      <c r="N179" s="151"/>
      <c r="O179" s="151"/>
      <c r="P179" s="151"/>
      <c r="Q179" s="151"/>
      <c r="R179" s="427"/>
      <c r="S179" s="151"/>
      <c r="T179" s="5"/>
    </row>
    <row r="180" spans="1:20" ht="15.6" x14ac:dyDescent="0.3">
      <c r="A180" s="2"/>
      <c r="B180" s="4"/>
      <c r="C180" s="4"/>
      <c r="D180" s="4"/>
      <c r="E180" s="4"/>
      <c r="F180" s="4"/>
      <c r="G180" s="4"/>
      <c r="H180" s="4"/>
      <c r="I180" s="4"/>
      <c r="J180" s="4"/>
      <c r="K180" s="4"/>
      <c r="L180" s="4"/>
      <c r="M180" s="4"/>
      <c r="N180" s="4"/>
      <c r="O180" s="4"/>
      <c r="P180" s="4"/>
      <c r="Q180" s="4"/>
      <c r="R180" s="50"/>
      <c r="S180" s="4"/>
      <c r="T180" s="5"/>
    </row>
    <row r="181" spans="1:20" ht="15.6" x14ac:dyDescent="0.3">
      <c r="A181" s="6"/>
      <c r="B181" s="120" t="s">
        <v>73</v>
      </c>
      <c r="C181" s="8"/>
      <c r="D181" s="8"/>
      <c r="E181" s="8"/>
      <c r="F181" s="8"/>
      <c r="G181" s="8"/>
      <c r="H181" s="8"/>
      <c r="I181" s="8"/>
      <c r="J181" s="8"/>
      <c r="K181" s="8"/>
      <c r="L181" s="8"/>
      <c r="M181" s="8"/>
      <c r="N181" s="8"/>
      <c r="O181" s="8"/>
      <c r="P181" s="8"/>
      <c r="Q181" s="8"/>
      <c r="R181" s="65"/>
      <c r="S181" s="8"/>
      <c r="T181" s="5"/>
    </row>
    <row r="182" spans="1:20" s="256" customFormat="1" ht="15.6" x14ac:dyDescent="0.3">
      <c r="A182" s="502"/>
      <c r="B182" s="155" t="s">
        <v>74</v>
      </c>
      <c r="C182" s="155"/>
      <c r="D182" s="155"/>
      <c r="E182" s="155"/>
      <c r="F182" s="155"/>
      <c r="G182" s="155"/>
      <c r="H182" s="155"/>
      <c r="I182" s="155"/>
      <c r="J182" s="155"/>
      <c r="K182" s="155"/>
      <c r="L182" s="155"/>
      <c r="M182" s="155"/>
      <c r="N182" s="155"/>
      <c r="O182" s="155"/>
      <c r="P182" s="155"/>
      <c r="Q182" s="155"/>
      <c r="R182" s="511">
        <f>(R99+R101+R102+R103+R104+R105)/-(R106+R107+R108+R109)</f>
        <v>3.0164556962025317</v>
      </c>
      <c r="S182" s="160" t="s">
        <v>130</v>
      </c>
      <c r="T182" s="255"/>
    </row>
    <row r="183" spans="1:20" s="256" customFormat="1" ht="15.6" x14ac:dyDescent="0.3">
      <c r="A183" s="502"/>
      <c r="B183" s="155" t="s">
        <v>75</v>
      </c>
      <c r="C183" s="155"/>
      <c r="D183" s="155"/>
      <c r="E183" s="155"/>
      <c r="F183" s="155"/>
      <c r="G183" s="155"/>
      <c r="H183" s="155"/>
      <c r="I183" s="155"/>
      <c r="J183" s="155"/>
      <c r="K183" s="155"/>
      <c r="L183" s="155"/>
      <c r="M183" s="155"/>
      <c r="N183" s="155"/>
      <c r="O183" s="155"/>
      <c r="P183" s="155"/>
      <c r="Q183" s="155"/>
      <c r="R183" s="511">
        <v>1.45</v>
      </c>
      <c r="S183" s="160" t="s">
        <v>130</v>
      </c>
      <c r="T183" s="255"/>
    </row>
    <row r="184" spans="1:20" s="256" customFormat="1" ht="15.6" x14ac:dyDescent="0.3">
      <c r="A184" s="502"/>
      <c r="B184" s="155" t="s">
        <v>76</v>
      </c>
      <c r="C184" s="155"/>
      <c r="D184" s="155"/>
      <c r="E184" s="155"/>
      <c r="F184" s="155"/>
      <c r="G184" s="155"/>
      <c r="H184" s="155"/>
      <c r="I184" s="155"/>
      <c r="J184" s="155"/>
      <c r="K184" s="155"/>
      <c r="L184" s="155"/>
      <c r="M184" s="155"/>
      <c r="N184" s="155"/>
      <c r="O184" s="155"/>
      <c r="P184" s="155"/>
      <c r="Q184" s="155"/>
      <c r="R184" s="511">
        <f>(R99+R101+R102+R103+R104+R105+R106+R107+R108+R109)/-(R110+R111)</f>
        <v>5.2058823529411766</v>
      </c>
      <c r="S184" s="160" t="s">
        <v>130</v>
      </c>
      <c r="T184" s="255"/>
    </row>
    <row r="185" spans="1:20" s="256" customFormat="1" ht="15.6" x14ac:dyDescent="0.3">
      <c r="A185" s="502"/>
      <c r="B185" s="155" t="s">
        <v>77</v>
      </c>
      <c r="C185" s="155"/>
      <c r="D185" s="155"/>
      <c r="E185" s="155"/>
      <c r="F185" s="155"/>
      <c r="G185" s="155"/>
      <c r="H185" s="155"/>
      <c r="I185" s="155"/>
      <c r="J185" s="155"/>
      <c r="K185" s="155"/>
      <c r="L185" s="155"/>
      <c r="M185" s="155"/>
      <c r="N185" s="155"/>
      <c r="O185" s="155"/>
      <c r="P185" s="155"/>
      <c r="Q185" s="155"/>
      <c r="R185" s="512">
        <v>2.62</v>
      </c>
      <c r="S185" s="160" t="s">
        <v>130</v>
      </c>
      <c r="T185" s="255"/>
    </row>
    <row r="186" spans="1:20" s="256" customFormat="1" ht="15.6" x14ac:dyDescent="0.3">
      <c r="A186" s="502"/>
      <c r="B186" s="155"/>
      <c r="C186" s="155"/>
      <c r="D186" s="155"/>
      <c r="E186" s="155"/>
      <c r="F186" s="155"/>
      <c r="G186" s="155"/>
      <c r="H186" s="155"/>
      <c r="I186" s="155"/>
      <c r="J186" s="155"/>
      <c r="K186" s="155"/>
      <c r="L186" s="155"/>
      <c r="M186" s="155"/>
      <c r="N186" s="155"/>
      <c r="O186" s="155"/>
      <c r="P186" s="155"/>
      <c r="Q186" s="155"/>
      <c r="R186" s="155"/>
      <c r="S186" s="160"/>
      <c r="T186" s="255"/>
    </row>
    <row r="187" spans="1:20" s="256" customFormat="1" ht="15.6" x14ac:dyDescent="0.3">
      <c r="A187" s="414"/>
      <c r="B187" s="415"/>
      <c r="C187" s="415"/>
      <c r="D187" s="415"/>
      <c r="E187" s="415"/>
      <c r="F187" s="415"/>
      <c r="G187" s="415"/>
      <c r="H187" s="415"/>
      <c r="I187" s="415"/>
      <c r="J187" s="415"/>
      <c r="K187" s="415"/>
      <c r="L187" s="415"/>
      <c r="M187" s="415"/>
      <c r="N187" s="415"/>
      <c r="O187" s="415"/>
      <c r="P187" s="415"/>
      <c r="Q187" s="415"/>
      <c r="R187" s="415"/>
      <c r="S187" s="415"/>
      <c r="T187" s="255"/>
    </row>
    <row r="188" spans="1:20" s="256" customFormat="1" ht="15.6" x14ac:dyDescent="0.3">
      <c r="A188" s="414"/>
      <c r="B188" s="408"/>
      <c r="C188" s="408"/>
      <c r="D188" s="408"/>
      <c r="E188" s="408"/>
      <c r="F188" s="408"/>
      <c r="G188" s="408"/>
      <c r="H188" s="408"/>
      <c r="I188" s="408"/>
      <c r="J188" s="408"/>
      <c r="K188" s="408"/>
      <c r="L188" s="408"/>
      <c r="M188" s="408"/>
      <c r="N188" s="408"/>
      <c r="O188" s="408"/>
      <c r="P188" s="408"/>
      <c r="Q188" s="408"/>
      <c r="R188" s="408"/>
      <c r="S188" s="408"/>
      <c r="T188" s="255"/>
    </row>
    <row r="189" spans="1:20" s="256" customFormat="1" ht="18" thickBot="1" x14ac:dyDescent="0.35">
      <c r="A189" s="416"/>
      <c r="B189" s="103" t="str">
        <f>B132</f>
        <v>PM8 INVESTOR REPORT QUARTER ENDING MARCH 2010</v>
      </c>
      <c r="C189" s="428"/>
      <c r="D189" s="428"/>
      <c r="E189" s="428"/>
      <c r="F189" s="428"/>
      <c r="G189" s="428"/>
      <c r="H189" s="428"/>
      <c r="I189" s="428"/>
      <c r="J189" s="428"/>
      <c r="K189" s="428"/>
      <c r="L189" s="428"/>
      <c r="M189" s="428"/>
      <c r="N189" s="428"/>
      <c r="O189" s="428"/>
      <c r="P189" s="428"/>
      <c r="Q189" s="428"/>
      <c r="R189" s="428"/>
      <c r="S189" s="429"/>
      <c r="T189" s="255"/>
    </row>
    <row r="190" spans="1:20" ht="15.6" x14ac:dyDescent="0.3">
      <c r="A190" s="423"/>
      <c r="B190" s="60" t="s">
        <v>78</v>
      </c>
      <c r="C190" s="430"/>
      <c r="D190" s="430"/>
      <c r="E190" s="430"/>
      <c r="F190" s="430"/>
      <c r="G190" s="431"/>
      <c r="H190" s="431"/>
      <c r="I190" s="431"/>
      <c r="J190" s="431"/>
      <c r="K190" s="431"/>
      <c r="L190" s="431"/>
      <c r="M190" s="431"/>
      <c r="N190" s="431"/>
      <c r="O190" s="431"/>
      <c r="P190" s="71">
        <v>40268</v>
      </c>
      <c r="Q190" s="424"/>
      <c r="R190" s="424"/>
      <c r="S190" s="424"/>
      <c r="T190" s="5"/>
    </row>
    <row r="191" spans="1:20" ht="15.6" x14ac:dyDescent="0.3">
      <c r="A191" s="72"/>
      <c r="B191" s="73"/>
      <c r="C191" s="74"/>
      <c r="D191" s="74"/>
      <c r="E191" s="74"/>
      <c r="F191" s="74"/>
      <c r="G191" s="75"/>
      <c r="H191" s="75"/>
      <c r="I191" s="75"/>
      <c r="J191" s="75"/>
      <c r="K191" s="75"/>
      <c r="L191" s="75"/>
      <c r="M191" s="75"/>
      <c r="N191" s="75"/>
      <c r="O191" s="75"/>
      <c r="P191" s="75"/>
      <c r="Q191" s="8"/>
      <c r="R191" s="8"/>
      <c r="S191" s="8"/>
      <c r="T191" s="5"/>
    </row>
    <row r="192" spans="1:20" s="256" customFormat="1" ht="15.6" x14ac:dyDescent="0.3">
      <c r="A192" s="455"/>
      <c r="B192" s="155" t="s">
        <v>79</v>
      </c>
      <c r="C192" s="544"/>
      <c r="D192" s="544"/>
      <c r="E192" s="544"/>
      <c r="F192" s="544"/>
      <c r="G192" s="545"/>
      <c r="H192" s="545"/>
      <c r="I192" s="545"/>
      <c r="J192" s="545"/>
      <c r="K192" s="545"/>
      <c r="L192" s="545"/>
      <c r="M192" s="545"/>
      <c r="N192" s="545"/>
      <c r="O192" s="545"/>
      <c r="P192" s="487">
        <v>6.2039999999999998E-2</v>
      </c>
      <c r="Q192" s="155"/>
      <c r="R192" s="155"/>
      <c r="S192" s="160"/>
      <c r="T192" s="255"/>
    </row>
    <row r="193" spans="1:20" s="256" customFormat="1" ht="15.6" x14ac:dyDescent="0.3">
      <c r="A193" s="455"/>
      <c r="B193" s="155" t="s">
        <v>178</v>
      </c>
      <c r="C193" s="544"/>
      <c r="D193" s="544"/>
      <c r="E193" s="544"/>
      <c r="F193" s="544"/>
      <c r="G193" s="545"/>
      <c r="H193" s="545"/>
      <c r="I193" s="545"/>
      <c r="J193" s="545"/>
      <c r="K193" s="545"/>
      <c r="L193" s="545"/>
      <c r="M193" s="545"/>
      <c r="N193" s="545"/>
      <c r="O193" s="545"/>
      <c r="P193" s="487">
        <v>5.1733455000000005E-2</v>
      </c>
      <c r="Q193" s="155"/>
      <c r="R193" s="155"/>
      <c r="S193" s="160"/>
      <c r="T193" s="255"/>
    </row>
    <row r="194" spans="1:20" s="256" customFormat="1" ht="15.6" x14ac:dyDescent="0.3">
      <c r="A194" s="455"/>
      <c r="B194" s="155" t="s">
        <v>80</v>
      </c>
      <c r="C194" s="544"/>
      <c r="D194" s="544"/>
      <c r="E194" s="544"/>
      <c r="F194" s="544"/>
      <c r="G194" s="545"/>
      <c r="H194" s="545"/>
      <c r="I194" s="545"/>
      <c r="J194" s="545"/>
      <c r="K194" s="545"/>
      <c r="L194" s="545"/>
      <c r="M194" s="545"/>
      <c r="N194" s="545"/>
      <c r="O194" s="545"/>
      <c r="P194" s="487">
        <f>P192-P193</f>
        <v>1.0306544999999993E-2</v>
      </c>
      <c r="Q194" s="155"/>
      <c r="R194" s="155"/>
      <c r="S194" s="160"/>
      <c r="T194" s="255"/>
    </row>
    <row r="195" spans="1:20" s="256" customFormat="1" ht="15.6" x14ac:dyDescent="0.3">
      <c r="A195" s="455"/>
      <c r="B195" s="155" t="s">
        <v>81</v>
      </c>
      <c r="C195" s="544"/>
      <c r="D195" s="544"/>
      <c r="E195" s="544"/>
      <c r="F195" s="544"/>
      <c r="G195" s="545"/>
      <c r="H195" s="545"/>
      <c r="I195" s="545"/>
      <c r="J195" s="545"/>
      <c r="K195" s="545"/>
      <c r="L195" s="545"/>
      <c r="M195" s="545"/>
      <c r="N195" s="545"/>
      <c r="O195" s="545"/>
      <c r="P195" s="487">
        <v>3.015E-2</v>
      </c>
      <c r="Q195" s="155"/>
      <c r="R195" s="155"/>
      <c r="S195" s="160"/>
      <c r="T195" s="255"/>
    </row>
    <row r="196" spans="1:20" s="256" customFormat="1" ht="15.6" x14ac:dyDescent="0.3">
      <c r="A196" s="455"/>
      <c r="B196" s="155" t="s">
        <v>261</v>
      </c>
      <c r="C196" s="544"/>
      <c r="D196" s="544"/>
      <c r="E196" s="544"/>
      <c r="F196" s="544"/>
      <c r="G196" s="545"/>
      <c r="H196" s="545"/>
      <c r="I196" s="545"/>
      <c r="J196" s="545"/>
      <c r="K196" s="545"/>
      <c r="L196" s="545"/>
      <c r="M196" s="545"/>
      <c r="N196" s="545"/>
      <c r="O196" s="545"/>
      <c r="P196" s="487">
        <f>+R42</f>
        <v>9.1081578236340659E-3</v>
      </c>
      <c r="Q196" s="155"/>
      <c r="R196" s="155"/>
      <c r="S196" s="160"/>
      <c r="T196" s="255"/>
    </row>
    <row r="197" spans="1:20" s="256" customFormat="1" ht="15.6" x14ac:dyDescent="0.3">
      <c r="A197" s="455"/>
      <c r="B197" s="155" t="s">
        <v>82</v>
      </c>
      <c r="C197" s="544"/>
      <c r="D197" s="544"/>
      <c r="E197" s="544"/>
      <c r="F197" s="544"/>
      <c r="G197" s="545"/>
      <c r="H197" s="545"/>
      <c r="I197" s="545"/>
      <c r="J197" s="545"/>
      <c r="K197" s="545"/>
      <c r="L197" s="545"/>
      <c r="M197" s="545"/>
      <c r="N197" s="545"/>
      <c r="O197" s="545"/>
      <c r="P197" s="487">
        <f>P195-P196</f>
        <v>2.1041842176365934E-2</v>
      </c>
      <c r="Q197" s="155"/>
      <c r="R197" s="155"/>
      <c r="S197" s="160"/>
      <c r="T197" s="255"/>
    </row>
    <row r="198" spans="1:20" s="256" customFormat="1" ht="15.6" x14ac:dyDescent="0.3">
      <c r="A198" s="455"/>
      <c r="B198" s="155" t="s">
        <v>267</v>
      </c>
      <c r="C198" s="544"/>
      <c r="D198" s="544"/>
      <c r="E198" s="544"/>
      <c r="F198" s="544"/>
      <c r="G198" s="545"/>
      <c r="H198" s="545"/>
      <c r="I198" s="545"/>
      <c r="J198" s="545"/>
      <c r="K198" s="545"/>
      <c r="L198" s="545"/>
      <c r="M198" s="545"/>
      <c r="N198" s="545"/>
      <c r="O198" s="545"/>
      <c r="P198" s="487">
        <f>+R99/J70</f>
        <v>7.6222761481578643E-3</v>
      </c>
      <c r="Q198" s="155"/>
      <c r="R198" s="155"/>
      <c r="S198" s="160"/>
      <c r="T198" s="255"/>
    </row>
    <row r="199" spans="1:20" s="256" customFormat="1" ht="15.6" x14ac:dyDescent="0.3">
      <c r="A199" s="455"/>
      <c r="B199" s="155" t="s">
        <v>208</v>
      </c>
      <c r="C199" s="544"/>
      <c r="D199" s="544"/>
      <c r="E199" s="544"/>
      <c r="F199" s="544"/>
      <c r="G199" s="545"/>
      <c r="H199" s="545"/>
      <c r="I199" s="545"/>
      <c r="J199" s="545"/>
      <c r="K199" s="545"/>
      <c r="L199" s="545"/>
      <c r="M199" s="545"/>
      <c r="N199" s="545"/>
      <c r="O199" s="545"/>
      <c r="P199" s="546">
        <v>12875</v>
      </c>
      <c r="Q199" s="155"/>
      <c r="R199" s="155"/>
      <c r="S199" s="160"/>
      <c r="T199" s="255"/>
    </row>
    <row r="200" spans="1:20" s="256" customFormat="1" ht="15.6" x14ac:dyDescent="0.3">
      <c r="A200" s="455"/>
      <c r="B200" s="155" t="s">
        <v>209</v>
      </c>
      <c r="C200" s="544"/>
      <c r="D200" s="544"/>
      <c r="E200" s="544"/>
      <c r="F200" s="544"/>
      <c r="G200" s="545"/>
      <c r="H200" s="545"/>
      <c r="I200" s="545"/>
      <c r="J200" s="545"/>
      <c r="K200" s="545"/>
      <c r="L200" s="545"/>
      <c r="M200" s="545"/>
      <c r="N200" s="545"/>
      <c r="O200" s="545"/>
      <c r="P200" s="546">
        <v>16163</v>
      </c>
      <c r="Q200" s="155"/>
      <c r="R200" s="155"/>
      <c r="S200" s="160"/>
      <c r="T200" s="255"/>
    </row>
    <row r="201" spans="1:20" s="256" customFormat="1" ht="15.6" x14ac:dyDescent="0.3">
      <c r="A201" s="455"/>
      <c r="B201" s="155" t="s">
        <v>83</v>
      </c>
      <c r="C201" s="544"/>
      <c r="D201" s="544"/>
      <c r="E201" s="544"/>
      <c r="F201" s="544"/>
      <c r="G201" s="545"/>
      <c r="H201" s="545"/>
      <c r="I201" s="545"/>
      <c r="J201" s="545"/>
      <c r="K201" s="545"/>
      <c r="L201" s="545"/>
      <c r="M201" s="545"/>
      <c r="N201" s="545"/>
      <c r="O201" s="545"/>
      <c r="P201" s="492">
        <v>19.739999999999998</v>
      </c>
      <c r="Q201" s="155" t="s">
        <v>125</v>
      </c>
      <c r="R201" s="155"/>
      <c r="S201" s="160"/>
      <c r="T201" s="255"/>
    </row>
    <row r="202" spans="1:20" s="256" customFormat="1" ht="15.6" x14ac:dyDescent="0.3">
      <c r="A202" s="455"/>
      <c r="B202" s="155" t="s">
        <v>84</v>
      </c>
      <c r="C202" s="544"/>
      <c r="D202" s="544"/>
      <c r="E202" s="544"/>
      <c r="F202" s="544"/>
      <c r="G202" s="545"/>
      <c r="H202" s="545"/>
      <c r="I202" s="545"/>
      <c r="J202" s="545"/>
      <c r="K202" s="545"/>
      <c r="L202" s="545"/>
      <c r="M202" s="545"/>
      <c r="N202" s="545"/>
      <c r="O202" s="545"/>
      <c r="P202" s="492">
        <v>15.69</v>
      </c>
      <c r="Q202" s="155" t="s">
        <v>125</v>
      </c>
      <c r="R202" s="155"/>
      <c r="S202" s="160"/>
      <c r="T202" s="255"/>
    </row>
    <row r="203" spans="1:20" s="256" customFormat="1" ht="15.6" x14ac:dyDescent="0.3">
      <c r="A203" s="455"/>
      <c r="B203" s="155" t="s">
        <v>85</v>
      </c>
      <c r="C203" s="544"/>
      <c r="D203" s="544"/>
      <c r="E203" s="544"/>
      <c r="F203" s="544"/>
      <c r="G203" s="545"/>
      <c r="H203" s="545"/>
      <c r="I203" s="545"/>
      <c r="J203" s="545"/>
      <c r="K203" s="545"/>
      <c r="L203" s="545"/>
      <c r="M203" s="545"/>
      <c r="N203" s="545"/>
      <c r="O203" s="545"/>
      <c r="P203" s="487">
        <f>+L67/J67</f>
        <v>7.0873436193411923E-3</v>
      </c>
      <c r="Q203" s="155"/>
      <c r="R203" s="155"/>
      <c r="S203" s="160"/>
      <c r="T203" s="255"/>
    </row>
    <row r="204" spans="1:20" s="256" customFormat="1" ht="15.6" x14ac:dyDescent="0.3">
      <c r="A204" s="455"/>
      <c r="B204" s="155" t="s">
        <v>86</v>
      </c>
      <c r="C204" s="544"/>
      <c r="D204" s="544"/>
      <c r="E204" s="544"/>
      <c r="F204" s="544"/>
      <c r="G204" s="545"/>
      <c r="H204" s="545"/>
      <c r="I204" s="545"/>
      <c r="J204" s="545"/>
      <c r="K204" s="545"/>
      <c r="L204" s="545"/>
      <c r="M204" s="545"/>
      <c r="N204" s="545"/>
      <c r="O204" s="545"/>
      <c r="P204" s="487">
        <v>0.14580000000000001</v>
      </c>
      <c r="Q204" s="155"/>
      <c r="R204" s="155"/>
      <c r="S204" s="160"/>
      <c r="T204" s="255"/>
    </row>
    <row r="205" spans="1:20" s="256" customFormat="1" ht="15.6" x14ac:dyDescent="0.3">
      <c r="A205" s="414"/>
      <c r="B205" s="415"/>
      <c r="C205" s="415"/>
      <c r="D205" s="415"/>
      <c r="E205" s="415"/>
      <c r="F205" s="415"/>
      <c r="G205" s="415"/>
      <c r="H205" s="415"/>
      <c r="I205" s="415"/>
      <c r="J205" s="415"/>
      <c r="K205" s="415"/>
      <c r="L205" s="415"/>
      <c r="M205" s="415"/>
      <c r="N205" s="415"/>
      <c r="O205" s="415"/>
      <c r="P205" s="426"/>
      <c r="Q205" s="415"/>
      <c r="R205" s="432"/>
      <c r="S205" s="415"/>
      <c r="T205" s="255"/>
    </row>
    <row r="206" spans="1:20" ht="15.6" x14ac:dyDescent="0.3">
      <c r="A206" s="433"/>
      <c r="B206" s="14" t="s">
        <v>87</v>
      </c>
      <c r="C206" s="422"/>
      <c r="D206" s="422"/>
      <c r="E206" s="422"/>
      <c r="F206" s="434"/>
      <c r="G206" s="422"/>
      <c r="H206" s="422"/>
      <c r="I206" s="422"/>
      <c r="J206" s="422"/>
      <c r="K206" s="422"/>
      <c r="L206" s="422"/>
      <c r="M206" s="422"/>
      <c r="N206" s="422"/>
      <c r="O206" s="17" t="s">
        <v>113</v>
      </c>
      <c r="P206" s="84" t="s">
        <v>121</v>
      </c>
      <c r="Q206" s="412"/>
      <c r="R206" s="412"/>
      <c r="S206" s="412"/>
      <c r="T206" s="5"/>
    </row>
    <row r="207" spans="1:20" s="256" customFormat="1" ht="15.6" x14ac:dyDescent="0.3">
      <c r="A207" s="515"/>
      <c r="B207" s="155" t="s">
        <v>88</v>
      </c>
      <c r="C207" s="157"/>
      <c r="D207" s="157"/>
      <c r="E207" s="157"/>
      <c r="F207" s="155"/>
      <c r="G207" s="155"/>
      <c r="H207" s="464"/>
      <c r="I207" s="464"/>
      <c r="J207" s="464"/>
      <c r="K207" s="464"/>
      <c r="L207" s="464"/>
      <c r="M207" s="464"/>
      <c r="N207" s="464"/>
      <c r="O207" s="464">
        <v>5</v>
      </c>
      <c r="P207" s="547">
        <v>1210</v>
      </c>
      <c r="Q207" s="155"/>
      <c r="R207" s="521"/>
      <c r="S207" s="517"/>
      <c r="T207" s="255"/>
    </row>
    <row r="208" spans="1:20" s="256" customFormat="1" ht="15.6" x14ac:dyDescent="0.3">
      <c r="A208" s="515"/>
      <c r="B208" s="155" t="s">
        <v>169</v>
      </c>
      <c r="C208" s="157"/>
      <c r="D208" s="157"/>
      <c r="E208" s="157"/>
      <c r="F208" s="155"/>
      <c r="G208" s="155"/>
      <c r="H208" s="464"/>
      <c r="I208" s="464"/>
      <c r="J208" s="464"/>
      <c r="K208" s="464"/>
      <c r="L208" s="464"/>
      <c r="M208" s="464"/>
      <c r="N208" s="464"/>
      <c r="O208" s="548">
        <f>+N246</f>
        <v>77</v>
      </c>
      <c r="P208" s="547">
        <f>+P246</f>
        <v>10830</v>
      </c>
      <c r="Q208" s="155"/>
      <c r="R208" s="521"/>
      <c r="S208" s="517"/>
      <c r="T208" s="255"/>
    </row>
    <row r="209" spans="1:20" s="256" customFormat="1" ht="15.6" x14ac:dyDescent="0.3">
      <c r="A209" s="515"/>
      <c r="B209" s="155" t="s">
        <v>89</v>
      </c>
      <c r="C209" s="157"/>
      <c r="D209" s="157"/>
      <c r="E209" s="157"/>
      <c r="F209" s="155"/>
      <c r="G209" s="155"/>
      <c r="H209" s="464"/>
      <c r="I209" s="464"/>
      <c r="J209" s="464"/>
      <c r="K209" s="464"/>
      <c r="L209" s="464"/>
      <c r="M209" s="464"/>
      <c r="N209" s="464"/>
      <c r="O209" s="548">
        <f>+N258</f>
        <v>3</v>
      </c>
      <c r="P209" s="547">
        <f>+P258</f>
        <v>108</v>
      </c>
      <c r="Q209" s="155"/>
      <c r="R209" s="521"/>
      <c r="S209" s="517"/>
      <c r="T209" s="255"/>
    </row>
    <row r="210" spans="1:20" ht="15.6" x14ac:dyDescent="0.3">
      <c r="A210" s="518"/>
      <c r="B210" s="478" t="s">
        <v>90</v>
      </c>
      <c r="C210" s="519"/>
      <c r="D210" s="519"/>
      <c r="E210" s="519"/>
      <c r="F210" s="155"/>
      <c r="G210" s="155"/>
      <c r="H210" s="155"/>
      <c r="I210" s="155"/>
      <c r="J210" s="155"/>
      <c r="K210" s="155"/>
      <c r="L210" s="155"/>
      <c r="M210" s="155"/>
      <c r="N210" s="155"/>
      <c r="O210" s="155"/>
      <c r="P210" s="520">
        <v>0</v>
      </c>
      <c r="Q210" s="155"/>
      <c r="R210" s="521"/>
      <c r="S210" s="522"/>
      <c r="T210" s="5"/>
    </row>
    <row r="211" spans="1:20" ht="15.6" x14ac:dyDescent="0.3">
      <c r="A211" s="518"/>
      <c r="B211" s="478" t="s">
        <v>91</v>
      </c>
      <c r="C211" s="519"/>
      <c r="D211" s="519"/>
      <c r="E211" s="519"/>
      <c r="F211" s="155"/>
      <c r="G211" s="155"/>
      <c r="H211" s="155"/>
      <c r="I211" s="155"/>
      <c r="J211" s="155"/>
      <c r="K211" s="155"/>
      <c r="L211" s="155"/>
      <c r="M211" s="155"/>
      <c r="N211" s="155"/>
      <c r="O211" s="155"/>
      <c r="P211" s="523" t="s">
        <v>122</v>
      </c>
      <c r="Q211" s="155"/>
      <c r="R211" s="521"/>
      <c r="S211" s="522"/>
      <c r="T211" s="5"/>
    </row>
    <row r="212" spans="1:20" ht="15.6" x14ac:dyDescent="0.3">
      <c r="A212" s="524"/>
      <c r="B212" s="478" t="s">
        <v>92</v>
      </c>
      <c r="C212" s="525"/>
      <c r="D212" s="525"/>
      <c r="E212" s="525"/>
      <c r="F212" s="525"/>
      <c r="G212" s="155"/>
      <c r="H212" s="155"/>
      <c r="I212" s="155"/>
      <c r="J212" s="155"/>
      <c r="K212" s="155"/>
      <c r="L212" s="155"/>
      <c r="M212" s="155"/>
      <c r="N212" s="155"/>
      <c r="O212" s="155"/>
      <c r="P212" s="520"/>
      <c r="Q212" s="155"/>
      <c r="R212" s="521"/>
      <c r="S212" s="526"/>
      <c r="T212" s="5"/>
    </row>
    <row r="213" spans="1:20" s="256" customFormat="1" ht="15.6" x14ac:dyDescent="0.3">
      <c r="A213" s="527"/>
      <c r="B213" s="549" t="s">
        <v>93</v>
      </c>
      <c r="C213" s="549"/>
      <c r="D213" s="549"/>
      <c r="E213" s="549"/>
      <c r="F213" s="549"/>
      <c r="G213" s="549"/>
      <c r="H213" s="549"/>
      <c r="I213" s="549"/>
      <c r="J213" s="549"/>
      <c r="K213" s="549"/>
      <c r="L213" s="549"/>
      <c r="M213" s="549"/>
      <c r="N213" s="549"/>
      <c r="O213" s="550"/>
      <c r="P213" s="551">
        <f>R160</f>
        <v>13</v>
      </c>
      <c r="Q213" s="549"/>
      <c r="R213" s="552"/>
      <c r="S213" s="553"/>
      <c r="T213" s="255"/>
    </row>
    <row r="214" spans="1:20" s="256" customFormat="1" ht="15.6" x14ac:dyDescent="0.3">
      <c r="A214" s="515"/>
      <c r="B214" s="549" t="s">
        <v>94</v>
      </c>
      <c r="C214" s="554"/>
      <c r="D214" s="554"/>
      <c r="E214" s="554"/>
      <c r="F214" s="554"/>
      <c r="G214" s="549"/>
      <c r="H214" s="549"/>
      <c r="I214" s="549"/>
      <c r="J214" s="549"/>
      <c r="K214" s="549"/>
      <c r="L214" s="549"/>
      <c r="M214" s="549"/>
      <c r="N214" s="549"/>
      <c r="O214" s="550"/>
      <c r="P214" s="551">
        <f>'Dec 09'!P214+P213</f>
        <v>2000</v>
      </c>
      <c r="Q214" s="549"/>
      <c r="R214" s="552"/>
      <c r="S214" s="553"/>
      <c r="T214" s="255"/>
    </row>
    <row r="215" spans="1:20" ht="15.6" x14ac:dyDescent="0.3">
      <c r="A215" s="524" t="s">
        <v>255</v>
      </c>
      <c r="B215" s="478" t="s">
        <v>256</v>
      </c>
      <c r="C215" s="525"/>
      <c r="D215" s="525"/>
      <c r="E215" s="525"/>
      <c r="F215" s="525"/>
      <c r="G215" s="155"/>
      <c r="H215" s="155"/>
      <c r="I215" s="155"/>
      <c r="J215" s="155"/>
      <c r="K215" s="155"/>
      <c r="L215" s="155"/>
      <c r="M215" s="155"/>
      <c r="N215" s="155"/>
      <c r="O215" s="155"/>
      <c r="P215" s="520"/>
      <c r="Q215" s="155"/>
      <c r="R215" s="521"/>
      <c r="S215" s="526"/>
      <c r="T215" s="5"/>
    </row>
    <row r="216" spans="1:20" s="256" customFormat="1" ht="15.6" x14ac:dyDescent="0.3">
      <c r="A216" s="527"/>
      <c r="B216" s="155" t="s">
        <v>283</v>
      </c>
      <c r="C216" s="155"/>
      <c r="D216" s="155"/>
      <c r="E216" s="155"/>
      <c r="F216" s="155"/>
      <c r="G216" s="155"/>
      <c r="H216" s="155"/>
      <c r="I216" s="155"/>
      <c r="J216" s="155"/>
      <c r="K216" s="155"/>
      <c r="L216" s="155"/>
      <c r="M216" s="155"/>
      <c r="N216" s="155"/>
      <c r="O216" s="464">
        <v>0</v>
      </c>
      <c r="P216" s="547">
        <v>0</v>
      </c>
      <c r="Q216" s="155"/>
      <c r="R216" s="521"/>
      <c r="S216" s="555"/>
      <c r="T216" s="255"/>
    </row>
    <row r="217" spans="1:20" s="256" customFormat="1" ht="15.6" x14ac:dyDescent="0.3">
      <c r="A217" s="515"/>
      <c r="B217" s="155" t="s">
        <v>97</v>
      </c>
      <c r="C217" s="490"/>
      <c r="D217" s="490"/>
      <c r="E217" s="490"/>
      <c r="F217" s="556"/>
      <c r="G217" s="155"/>
      <c r="H217" s="155"/>
      <c r="I217" s="155"/>
      <c r="J217" s="155"/>
      <c r="K217" s="155"/>
      <c r="L217" s="155"/>
      <c r="M217" s="155"/>
      <c r="N217" s="155"/>
      <c r="O217" s="464"/>
      <c r="P217" s="557">
        <v>0</v>
      </c>
      <c r="Q217" s="155"/>
      <c r="R217" s="521"/>
      <c r="S217" s="555"/>
      <c r="T217" s="255"/>
    </row>
    <row r="218" spans="1:20" s="256" customFormat="1" ht="15.6" x14ac:dyDescent="0.3">
      <c r="A218" s="515"/>
      <c r="B218" s="155" t="s">
        <v>98</v>
      </c>
      <c r="C218" s="490"/>
      <c r="D218" s="490"/>
      <c r="E218" s="490"/>
      <c r="F218" s="556"/>
      <c r="G218" s="155"/>
      <c r="H218" s="155"/>
      <c r="I218" s="155"/>
      <c r="J218" s="155"/>
      <c r="K218" s="155"/>
      <c r="L218" s="155"/>
      <c r="M218" s="155"/>
      <c r="N218" s="155"/>
      <c r="O218" s="464"/>
      <c r="P218" s="557">
        <v>0</v>
      </c>
      <c r="Q218" s="155"/>
      <c r="R218" s="521"/>
      <c r="S218" s="555"/>
      <c r="T218" s="255"/>
    </row>
    <row r="219" spans="1:20" ht="15.6" x14ac:dyDescent="0.3">
      <c r="A219" s="518"/>
      <c r="B219" s="478" t="s">
        <v>257</v>
      </c>
      <c r="C219" s="529"/>
      <c r="D219" s="529"/>
      <c r="E219" s="529"/>
      <c r="F219" s="530"/>
      <c r="G219" s="155"/>
      <c r="H219" s="155"/>
      <c r="I219" s="155"/>
      <c r="J219" s="155"/>
      <c r="K219" s="155"/>
      <c r="L219" s="155"/>
      <c r="M219" s="155"/>
      <c r="N219" s="155"/>
      <c r="O219" s="531"/>
      <c r="P219" s="532"/>
      <c r="Q219" s="155"/>
      <c r="R219" s="521"/>
      <c r="S219" s="526"/>
      <c r="T219" s="5"/>
    </row>
    <row r="220" spans="1:20" s="256" customFormat="1" ht="15.6" x14ac:dyDescent="0.3">
      <c r="A220" s="515"/>
      <c r="B220" s="155" t="s">
        <v>283</v>
      </c>
      <c r="C220" s="490"/>
      <c r="D220" s="490"/>
      <c r="E220" s="490"/>
      <c r="F220" s="556"/>
      <c r="G220" s="155"/>
      <c r="H220" s="155"/>
      <c r="I220" s="155"/>
      <c r="J220" s="155"/>
      <c r="K220" s="155"/>
      <c r="L220" s="155"/>
      <c r="M220" s="155"/>
      <c r="N220" s="155"/>
      <c r="O220" s="464">
        <v>3</v>
      </c>
      <c r="P220" s="547">
        <v>157</v>
      </c>
      <c r="Q220" s="155"/>
      <c r="R220" s="521"/>
      <c r="S220" s="555"/>
      <c r="T220" s="255"/>
    </row>
    <row r="221" spans="1:20" s="256" customFormat="1" ht="15.6" x14ac:dyDescent="0.3">
      <c r="A221" s="515"/>
      <c r="B221" s="155" t="s">
        <v>258</v>
      </c>
      <c r="C221" s="490"/>
      <c r="D221" s="490"/>
      <c r="E221" s="490"/>
      <c r="F221" s="556"/>
      <c r="G221" s="155"/>
      <c r="H221" s="155"/>
      <c r="I221" s="155"/>
      <c r="J221" s="155"/>
      <c r="K221" s="155"/>
      <c r="L221" s="155"/>
      <c r="M221" s="155"/>
      <c r="N221" s="155"/>
      <c r="O221" s="155"/>
      <c r="P221" s="558">
        <v>3.82</v>
      </c>
      <c r="Q221" s="155"/>
      <c r="R221" s="521"/>
      <c r="S221" s="555"/>
      <c r="T221" s="255"/>
    </row>
    <row r="222" spans="1:20" ht="17.399999999999999" x14ac:dyDescent="0.3">
      <c r="A222" s="518"/>
      <c r="B222" s="533" t="s">
        <v>247</v>
      </c>
      <c r="C222" s="529"/>
      <c r="D222" s="529"/>
      <c r="E222" s="529"/>
      <c r="F222" s="530"/>
      <c r="G222" s="155"/>
      <c r="H222" s="155"/>
      <c r="I222" s="155"/>
      <c r="J222" s="534" t="s">
        <v>246</v>
      </c>
      <c r="K222" s="155"/>
      <c r="L222" s="155"/>
      <c r="M222" s="155"/>
      <c r="N222" s="155"/>
      <c r="O222" s="155"/>
      <c r="P222" s="535"/>
      <c r="Q222" s="155"/>
      <c r="R222" s="521"/>
      <c r="S222" s="526"/>
      <c r="T222" s="5"/>
    </row>
    <row r="223" spans="1:20" ht="15.6" x14ac:dyDescent="0.3">
      <c r="A223" s="81"/>
      <c r="B223" s="435"/>
      <c r="C223" s="436"/>
      <c r="D223" s="436"/>
      <c r="E223" s="436"/>
      <c r="F223" s="437"/>
      <c r="G223" s="151"/>
      <c r="H223" s="151"/>
      <c r="I223" s="151"/>
      <c r="J223" s="151"/>
      <c r="K223" s="151"/>
      <c r="L223" s="151"/>
      <c r="M223" s="151"/>
      <c r="N223" s="513"/>
      <c r="O223" s="513"/>
      <c r="P223" s="514"/>
      <c r="Q223" s="513"/>
      <c r="R223" s="438"/>
      <c r="S223" s="439"/>
      <c r="T223" s="5"/>
    </row>
    <row r="224" spans="1:20" ht="15.6" x14ac:dyDescent="0.3">
      <c r="A224" s="411"/>
      <c r="B224" s="14" t="s">
        <v>236</v>
      </c>
      <c r="C224" s="422"/>
      <c r="D224" s="422"/>
      <c r="E224" s="422"/>
      <c r="F224" s="434"/>
      <c r="G224" s="422"/>
      <c r="H224" s="422"/>
      <c r="I224" s="422"/>
      <c r="J224" s="422"/>
      <c r="K224" s="422"/>
      <c r="L224" s="422"/>
      <c r="M224" s="422"/>
      <c r="N224" s="84" t="s">
        <v>113</v>
      </c>
      <c r="O224" s="17" t="s">
        <v>114</v>
      </c>
      <c r="P224" s="84" t="s">
        <v>123</v>
      </c>
      <c r="Q224" s="17" t="s">
        <v>114</v>
      </c>
      <c r="R224" s="412"/>
      <c r="S224" s="418"/>
      <c r="T224" s="5"/>
    </row>
    <row r="225" spans="1:21" s="256" customFormat="1" ht="15.6" x14ac:dyDescent="0.3">
      <c r="A225" s="455"/>
      <c r="B225" s="157" t="s">
        <v>99</v>
      </c>
      <c r="C225" s="543"/>
      <c r="D225" s="543"/>
      <c r="E225" s="543"/>
      <c r="F225" s="155"/>
      <c r="G225" s="543"/>
      <c r="H225" s="543"/>
      <c r="I225" s="543"/>
      <c r="J225" s="543"/>
      <c r="K225" s="543"/>
      <c r="L225" s="543"/>
      <c r="M225" s="543"/>
      <c r="N225" s="157">
        <v>3993</v>
      </c>
      <c r="O225" s="158">
        <f t="shared" ref="O225:O232" si="1">N225/$N$234</f>
        <v>0.98665678280207558</v>
      </c>
      <c r="P225" s="501">
        <v>465768</v>
      </c>
      <c r="Q225" s="158">
        <f t="shared" ref="Q225:Q232" si="2">P225/$P$234</f>
        <v>0.98206729035808493</v>
      </c>
      <c r="R225" s="516"/>
      <c r="S225" s="528"/>
      <c r="T225" s="255"/>
    </row>
    <row r="226" spans="1:21" s="256" customFormat="1" ht="15.6" x14ac:dyDescent="0.3">
      <c r="A226" s="455"/>
      <c r="B226" s="157" t="s">
        <v>100</v>
      </c>
      <c r="C226" s="543"/>
      <c r="D226" s="543"/>
      <c r="E226" s="543"/>
      <c r="F226" s="155"/>
      <c r="G226" s="158"/>
      <c r="H226" s="543"/>
      <c r="I226" s="543"/>
      <c r="J226" s="543"/>
      <c r="K226" s="543"/>
      <c r="L226" s="543"/>
      <c r="M226" s="543"/>
      <c r="N226" s="157">
        <v>19</v>
      </c>
      <c r="O226" s="158">
        <f t="shared" si="1"/>
        <v>4.6948356807511738E-3</v>
      </c>
      <c r="P226" s="501">
        <v>4116</v>
      </c>
      <c r="Q226" s="158">
        <f t="shared" si="2"/>
        <v>8.6785459007786662E-3</v>
      </c>
      <c r="R226" s="516"/>
      <c r="S226" s="528"/>
      <c r="T226" s="255"/>
      <c r="U226" s="270"/>
    </row>
    <row r="227" spans="1:21" s="256" customFormat="1" ht="15.6" x14ac:dyDescent="0.3">
      <c r="A227" s="455"/>
      <c r="B227" s="157" t="s">
        <v>101</v>
      </c>
      <c r="C227" s="543"/>
      <c r="D227" s="543"/>
      <c r="E227" s="543"/>
      <c r="F227" s="155"/>
      <c r="G227" s="158"/>
      <c r="H227" s="543"/>
      <c r="I227" s="543"/>
      <c r="J227" s="543"/>
      <c r="K227" s="543"/>
      <c r="L227" s="543"/>
      <c r="M227" s="543"/>
      <c r="N227" s="157">
        <v>22</v>
      </c>
      <c r="O227" s="158">
        <f t="shared" si="1"/>
        <v>5.4361255250803065E-3</v>
      </c>
      <c r="P227" s="501">
        <v>3468</v>
      </c>
      <c r="Q227" s="158">
        <f t="shared" si="2"/>
        <v>7.3122442137756099E-3</v>
      </c>
      <c r="R227" s="516"/>
      <c r="S227" s="528"/>
      <c r="T227" s="255"/>
    </row>
    <row r="228" spans="1:21" s="256" customFormat="1" ht="15.6" x14ac:dyDescent="0.3">
      <c r="A228" s="455"/>
      <c r="B228" s="157" t="s">
        <v>210</v>
      </c>
      <c r="C228" s="543"/>
      <c r="D228" s="543"/>
      <c r="E228" s="543"/>
      <c r="F228" s="155"/>
      <c r="G228" s="158"/>
      <c r="H228" s="543"/>
      <c r="I228" s="543"/>
      <c r="J228" s="543"/>
      <c r="K228" s="543"/>
      <c r="L228" s="543"/>
      <c r="M228" s="543"/>
      <c r="N228" s="157">
        <v>4</v>
      </c>
      <c r="O228" s="158">
        <f t="shared" si="1"/>
        <v>9.8838645910551029E-4</v>
      </c>
      <c r="P228" s="501">
        <v>230</v>
      </c>
      <c r="Q228" s="158">
        <f t="shared" si="2"/>
        <v>4.8495275927577574E-4</v>
      </c>
      <c r="R228" s="516"/>
      <c r="S228" s="528"/>
      <c r="T228" s="255"/>
      <c r="U228" s="270"/>
    </row>
    <row r="229" spans="1:21" s="256" customFormat="1" ht="15.6" x14ac:dyDescent="0.3">
      <c r="A229" s="455"/>
      <c r="B229" s="157" t="s">
        <v>211</v>
      </c>
      <c r="C229" s="543"/>
      <c r="D229" s="543"/>
      <c r="E229" s="543"/>
      <c r="F229" s="155"/>
      <c r="G229" s="158"/>
      <c r="H229" s="543"/>
      <c r="I229" s="543"/>
      <c r="J229" s="543"/>
      <c r="K229" s="543"/>
      <c r="L229" s="543"/>
      <c r="M229" s="543"/>
      <c r="N229" s="157">
        <v>1</v>
      </c>
      <c r="O229" s="158">
        <f t="shared" si="1"/>
        <v>2.4709661477637757E-4</v>
      </c>
      <c r="P229" s="501">
        <v>234</v>
      </c>
      <c r="Q229" s="158">
        <f t="shared" si="2"/>
        <v>4.9338672030665878E-4</v>
      </c>
      <c r="R229" s="516"/>
      <c r="S229" s="528"/>
      <c r="T229" s="255"/>
    </row>
    <row r="230" spans="1:21" s="256" customFormat="1" ht="15.6" x14ac:dyDescent="0.3">
      <c r="A230" s="455"/>
      <c r="B230" s="157" t="s">
        <v>212</v>
      </c>
      <c r="C230" s="543"/>
      <c r="D230" s="543"/>
      <c r="E230" s="543"/>
      <c r="F230" s="155"/>
      <c r="G230" s="158"/>
      <c r="H230" s="543"/>
      <c r="I230" s="543"/>
      <c r="J230" s="543"/>
      <c r="K230" s="543"/>
      <c r="L230" s="543"/>
      <c r="M230" s="543"/>
      <c r="N230" s="157">
        <v>2</v>
      </c>
      <c r="O230" s="158">
        <f t="shared" si="1"/>
        <v>4.9419322955275514E-4</v>
      </c>
      <c r="P230" s="501">
        <v>71</v>
      </c>
      <c r="Q230" s="158">
        <f t="shared" si="2"/>
        <v>1.4970280829817425E-4</v>
      </c>
      <c r="R230" s="516"/>
      <c r="S230" s="528"/>
      <c r="T230" s="255"/>
      <c r="U230" s="270"/>
    </row>
    <row r="231" spans="1:21" s="256" customFormat="1" ht="15.6" x14ac:dyDescent="0.3">
      <c r="A231" s="455"/>
      <c r="B231" s="157" t="s">
        <v>213</v>
      </c>
      <c r="C231" s="543"/>
      <c r="D231" s="543"/>
      <c r="E231" s="543"/>
      <c r="F231" s="155"/>
      <c r="G231" s="158"/>
      <c r="H231" s="543"/>
      <c r="I231" s="543"/>
      <c r="J231" s="543"/>
      <c r="K231" s="543"/>
      <c r="L231" s="543"/>
      <c r="M231" s="543"/>
      <c r="N231" s="157">
        <v>4</v>
      </c>
      <c r="O231" s="158">
        <f t="shared" si="1"/>
        <v>9.8838645910551029E-4</v>
      </c>
      <c r="P231" s="501">
        <v>150</v>
      </c>
      <c r="Q231" s="158">
        <f t="shared" si="2"/>
        <v>3.1627353865811464E-4</v>
      </c>
      <c r="R231" s="516"/>
      <c r="S231" s="528"/>
      <c r="T231" s="255"/>
    </row>
    <row r="232" spans="1:21" s="256" customFormat="1" ht="15.6" x14ac:dyDescent="0.3">
      <c r="A232" s="455"/>
      <c r="B232" s="157" t="s">
        <v>214</v>
      </c>
      <c r="C232" s="543"/>
      <c r="D232" s="543"/>
      <c r="E232" s="543"/>
      <c r="F232" s="155"/>
      <c r="G232" s="158"/>
      <c r="H232" s="543"/>
      <c r="I232" s="543"/>
      <c r="J232" s="543"/>
      <c r="K232" s="543"/>
      <c r="L232" s="543"/>
      <c r="M232" s="543"/>
      <c r="N232" s="157">
        <v>2</v>
      </c>
      <c r="O232" s="158">
        <f t="shared" si="1"/>
        <v>4.9419322955275514E-4</v>
      </c>
      <c r="P232" s="501">
        <v>236</v>
      </c>
      <c r="Q232" s="158">
        <f t="shared" si="2"/>
        <v>4.9760370082210033E-4</v>
      </c>
      <c r="R232" s="516"/>
      <c r="S232" s="528"/>
      <c r="T232" s="255"/>
      <c r="U232" s="270"/>
    </row>
    <row r="233" spans="1:21" s="256" customFormat="1" ht="15.6" x14ac:dyDescent="0.3">
      <c r="A233" s="455"/>
      <c r="B233" s="155"/>
      <c r="C233" s="543"/>
      <c r="D233" s="543"/>
      <c r="E233" s="543"/>
      <c r="F233" s="155"/>
      <c r="G233" s="158"/>
      <c r="H233" s="543"/>
      <c r="I233" s="543"/>
      <c r="J233" s="543"/>
      <c r="K233" s="543"/>
      <c r="L233" s="543"/>
      <c r="M233" s="543"/>
      <c r="N233" s="157"/>
      <c r="O233" s="158"/>
      <c r="P233" s="501"/>
      <c r="Q233" s="158"/>
      <c r="R233" s="516"/>
      <c r="S233" s="528"/>
      <c r="T233" s="255"/>
    </row>
    <row r="234" spans="1:21" s="256" customFormat="1" ht="15.6" x14ac:dyDescent="0.3">
      <c r="A234" s="455"/>
      <c r="B234" s="155" t="s">
        <v>129</v>
      </c>
      <c r="C234" s="155"/>
      <c r="D234" s="155"/>
      <c r="E234" s="155"/>
      <c r="F234" s="155"/>
      <c r="G234" s="155"/>
      <c r="H234" s="156"/>
      <c r="I234" s="156"/>
      <c r="J234" s="156"/>
      <c r="K234" s="156"/>
      <c r="L234" s="156"/>
      <c r="M234" s="156"/>
      <c r="N234" s="157">
        <f>SUM(N225:N233)</f>
        <v>4047</v>
      </c>
      <c r="O234" s="158">
        <f>SUM(O225:O233)</f>
        <v>1</v>
      </c>
      <c r="P234" s="501">
        <f>SUM(P225:P233)</f>
        <v>474273</v>
      </c>
      <c r="Q234" s="158">
        <f>SUM(Q225:Q233)</f>
        <v>1</v>
      </c>
      <c r="R234" s="503"/>
      <c r="S234" s="463"/>
      <c r="T234" s="255"/>
    </row>
    <row r="235" spans="1:21" ht="15.6" x14ac:dyDescent="0.3">
      <c r="A235" s="6"/>
      <c r="B235" s="151"/>
      <c r="C235" s="151"/>
      <c r="D235" s="151"/>
      <c r="E235" s="151"/>
      <c r="F235" s="151"/>
      <c r="G235" s="151"/>
      <c r="H235" s="152"/>
      <c r="I235" s="152"/>
      <c r="J235" s="152"/>
      <c r="K235" s="152"/>
      <c r="L235" s="152"/>
      <c r="M235" s="152"/>
      <c r="N235" s="420"/>
      <c r="O235" s="440"/>
      <c r="P235" s="441"/>
      <c r="Q235" s="440"/>
      <c r="R235" s="151"/>
      <c r="S235" s="151"/>
      <c r="T235" s="5"/>
    </row>
    <row r="236" spans="1:21" ht="15.6" x14ac:dyDescent="0.3">
      <c r="A236" s="442"/>
      <c r="B236" s="14" t="s">
        <v>241</v>
      </c>
      <c r="C236" s="422"/>
      <c r="D236" s="422"/>
      <c r="E236" s="422"/>
      <c r="F236" s="434"/>
      <c r="G236" s="422"/>
      <c r="H236" s="422"/>
      <c r="I236" s="422"/>
      <c r="J236" s="422"/>
      <c r="K236" s="422"/>
      <c r="L236" s="422"/>
      <c r="M236" s="422"/>
      <c r="N236" s="84" t="s">
        <v>113</v>
      </c>
      <c r="O236" s="17" t="s">
        <v>114</v>
      </c>
      <c r="P236" s="84" t="s">
        <v>123</v>
      </c>
      <c r="Q236" s="17" t="s">
        <v>114</v>
      </c>
      <c r="R236" s="443"/>
      <c r="S236" s="444"/>
      <c r="T236" s="5"/>
    </row>
    <row r="237" spans="1:21" s="256" customFormat="1" ht="15.6" x14ac:dyDescent="0.3">
      <c r="A237" s="455"/>
      <c r="B237" s="157" t="s">
        <v>99</v>
      </c>
      <c r="C237" s="543"/>
      <c r="D237" s="543"/>
      <c r="E237" s="543"/>
      <c r="F237" s="155"/>
      <c r="G237" s="543"/>
      <c r="H237" s="543"/>
      <c r="I237" s="543"/>
      <c r="J237" s="543"/>
      <c r="K237" s="543"/>
      <c r="L237" s="543"/>
      <c r="M237" s="543"/>
      <c r="N237" s="157">
        <v>35</v>
      </c>
      <c r="O237" s="158">
        <f t="shared" ref="O237:O244" si="3">N237/$N$246</f>
        <v>0.45454545454545453</v>
      </c>
      <c r="P237" s="501">
        <v>4629</v>
      </c>
      <c r="Q237" s="158">
        <f t="shared" ref="Q237:Q244" si="4">P237/$P$246</f>
        <v>0.42742382271468143</v>
      </c>
      <c r="R237" s="503"/>
      <c r="S237" s="463"/>
      <c r="T237" s="255"/>
    </row>
    <row r="238" spans="1:21" s="256" customFormat="1" ht="15.6" x14ac:dyDescent="0.3">
      <c r="A238" s="455"/>
      <c r="B238" s="157" t="s">
        <v>100</v>
      </c>
      <c r="C238" s="543"/>
      <c r="D238" s="543"/>
      <c r="E238" s="543"/>
      <c r="F238" s="155"/>
      <c r="G238" s="158"/>
      <c r="H238" s="543"/>
      <c r="I238" s="543"/>
      <c r="J238" s="543"/>
      <c r="K238" s="543"/>
      <c r="L238" s="543"/>
      <c r="M238" s="543"/>
      <c r="N238" s="157">
        <v>8</v>
      </c>
      <c r="O238" s="158">
        <f t="shared" si="3"/>
        <v>0.1038961038961039</v>
      </c>
      <c r="P238" s="501">
        <v>674</v>
      </c>
      <c r="Q238" s="158">
        <f t="shared" si="4"/>
        <v>6.2234533702677744E-2</v>
      </c>
      <c r="R238" s="503"/>
      <c r="S238" s="463"/>
      <c r="T238" s="255"/>
    </row>
    <row r="239" spans="1:21" s="256" customFormat="1" ht="15.6" x14ac:dyDescent="0.3">
      <c r="A239" s="455"/>
      <c r="B239" s="157" t="s">
        <v>101</v>
      </c>
      <c r="C239" s="543"/>
      <c r="D239" s="543"/>
      <c r="E239" s="543"/>
      <c r="F239" s="155"/>
      <c r="G239" s="158"/>
      <c r="H239" s="543"/>
      <c r="I239" s="543"/>
      <c r="J239" s="543"/>
      <c r="K239" s="543"/>
      <c r="L239" s="543"/>
      <c r="M239" s="543"/>
      <c r="N239" s="157">
        <v>2</v>
      </c>
      <c r="O239" s="158">
        <f t="shared" si="3"/>
        <v>2.5974025974025976E-2</v>
      </c>
      <c r="P239" s="501">
        <v>205</v>
      </c>
      <c r="Q239" s="158">
        <f t="shared" si="4"/>
        <v>1.8928901200369344E-2</v>
      </c>
      <c r="R239" s="503"/>
      <c r="S239" s="463"/>
      <c r="T239" s="255"/>
    </row>
    <row r="240" spans="1:21" s="256" customFormat="1" ht="15.6" x14ac:dyDescent="0.3">
      <c r="A240" s="455"/>
      <c r="B240" s="157" t="s">
        <v>210</v>
      </c>
      <c r="C240" s="543"/>
      <c r="D240" s="543"/>
      <c r="E240" s="543"/>
      <c r="F240" s="155"/>
      <c r="G240" s="158"/>
      <c r="H240" s="543"/>
      <c r="I240" s="543"/>
      <c r="J240" s="543"/>
      <c r="K240" s="543"/>
      <c r="L240" s="543"/>
      <c r="M240" s="543"/>
      <c r="N240" s="157">
        <v>1</v>
      </c>
      <c r="O240" s="158">
        <f t="shared" si="3"/>
        <v>1.2987012987012988E-2</v>
      </c>
      <c r="P240" s="501">
        <v>83</v>
      </c>
      <c r="Q240" s="158">
        <f t="shared" si="4"/>
        <v>7.6638965835641734E-3</v>
      </c>
      <c r="R240" s="503"/>
      <c r="S240" s="463"/>
      <c r="T240" s="255"/>
    </row>
    <row r="241" spans="1:20" s="256" customFormat="1" ht="15.6" x14ac:dyDescent="0.3">
      <c r="A241" s="455"/>
      <c r="B241" s="157" t="s">
        <v>211</v>
      </c>
      <c r="C241" s="543"/>
      <c r="D241" s="543"/>
      <c r="E241" s="543"/>
      <c r="F241" s="155"/>
      <c r="G241" s="158"/>
      <c r="H241" s="543"/>
      <c r="I241" s="543"/>
      <c r="J241" s="543"/>
      <c r="K241" s="543"/>
      <c r="L241" s="543"/>
      <c r="M241" s="543"/>
      <c r="N241" s="157">
        <v>2</v>
      </c>
      <c r="O241" s="158">
        <f t="shared" si="3"/>
        <v>2.5974025974025976E-2</v>
      </c>
      <c r="P241" s="501">
        <v>126</v>
      </c>
      <c r="Q241" s="158">
        <f t="shared" si="4"/>
        <v>1.1634349030470914E-2</v>
      </c>
      <c r="R241" s="503"/>
      <c r="S241" s="463"/>
      <c r="T241" s="255"/>
    </row>
    <row r="242" spans="1:20" s="256" customFormat="1" ht="15.6" x14ac:dyDescent="0.3">
      <c r="A242" s="455"/>
      <c r="B242" s="157" t="s">
        <v>212</v>
      </c>
      <c r="C242" s="543"/>
      <c r="D242" s="543"/>
      <c r="E242" s="543"/>
      <c r="F242" s="155"/>
      <c r="G242" s="158"/>
      <c r="H242" s="543"/>
      <c r="I242" s="543"/>
      <c r="J242" s="543"/>
      <c r="K242" s="543"/>
      <c r="L242" s="543"/>
      <c r="M242" s="543"/>
      <c r="N242" s="157">
        <v>2</v>
      </c>
      <c r="O242" s="158">
        <f t="shared" si="3"/>
        <v>2.5974025974025976E-2</v>
      </c>
      <c r="P242" s="501">
        <v>393</v>
      </c>
      <c r="Q242" s="158">
        <f t="shared" si="4"/>
        <v>3.6288088642659283E-2</v>
      </c>
      <c r="R242" s="503"/>
      <c r="S242" s="463"/>
      <c r="T242" s="255"/>
    </row>
    <row r="243" spans="1:20" s="256" customFormat="1" ht="15.6" x14ac:dyDescent="0.3">
      <c r="A243" s="455"/>
      <c r="B243" s="157" t="s">
        <v>213</v>
      </c>
      <c r="C243" s="543"/>
      <c r="D243" s="543"/>
      <c r="E243" s="543"/>
      <c r="F243" s="155"/>
      <c r="G243" s="158"/>
      <c r="H243" s="543"/>
      <c r="I243" s="543"/>
      <c r="J243" s="543"/>
      <c r="K243" s="543"/>
      <c r="L243" s="543"/>
      <c r="M243" s="543"/>
      <c r="N243" s="157">
        <v>10</v>
      </c>
      <c r="O243" s="158">
        <f t="shared" si="3"/>
        <v>0.12987012987012986</v>
      </c>
      <c r="P243" s="501">
        <v>1957</v>
      </c>
      <c r="Q243" s="158">
        <f t="shared" si="4"/>
        <v>0.18070175438596492</v>
      </c>
      <c r="R243" s="503"/>
      <c r="S243" s="463"/>
      <c r="T243" s="255"/>
    </row>
    <row r="244" spans="1:20" s="256" customFormat="1" ht="15.6" x14ac:dyDescent="0.3">
      <c r="A244" s="455"/>
      <c r="B244" s="157" t="s">
        <v>214</v>
      </c>
      <c r="C244" s="543"/>
      <c r="D244" s="543"/>
      <c r="E244" s="543"/>
      <c r="F244" s="155"/>
      <c r="G244" s="158"/>
      <c r="H244" s="543"/>
      <c r="I244" s="543"/>
      <c r="J244" s="543"/>
      <c r="K244" s="543"/>
      <c r="L244" s="543"/>
      <c r="M244" s="543"/>
      <c r="N244" s="157">
        <v>17</v>
      </c>
      <c r="O244" s="158">
        <f t="shared" si="3"/>
        <v>0.22077922077922077</v>
      </c>
      <c r="P244" s="501">
        <v>2763</v>
      </c>
      <c r="Q244" s="158">
        <f t="shared" si="4"/>
        <v>0.25512465373961218</v>
      </c>
      <c r="R244" s="503"/>
      <c r="S244" s="463"/>
      <c r="T244" s="255"/>
    </row>
    <row r="245" spans="1:20" s="256" customFormat="1" ht="15.6" x14ac:dyDescent="0.3">
      <c r="A245" s="455"/>
      <c r="B245" s="155"/>
      <c r="C245" s="543"/>
      <c r="D245" s="543"/>
      <c r="E245" s="543"/>
      <c r="F245" s="155"/>
      <c r="G245" s="158"/>
      <c r="H245" s="543"/>
      <c r="I245" s="543"/>
      <c r="J245" s="543"/>
      <c r="K245" s="543"/>
      <c r="L245" s="543"/>
      <c r="M245" s="543"/>
      <c r="N245" s="157"/>
      <c r="O245" s="158"/>
      <c r="P245" s="501"/>
      <c r="Q245" s="158"/>
      <c r="R245" s="503"/>
      <c r="S245" s="463"/>
      <c r="T245" s="255"/>
    </row>
    <row r="246" spans="1:20" s="256" customFormat="1" ht="15.6" x14ac:dyDescent="0.3">
      <c r="A246" s="455"/>
      <c r="B246" s="155" t="s">
        <v>129</v>
      </c>
      <c r="C246" s="155"/>
      <c r="D246" s="155"/>
      <c r="E246" s="155"/>
      <c r="F246" s="155"/>
      <c r="G246" s="155"/>
      <c r="H246" s="156"/>
      <c r="I246" s="156"/>
      <c r="J246" s="156"/>
      <c r="K246" s="156"/>
      <c r="L246" s="156"/>
      <c r="M246" s="156"/>
      <c r="N246" s="157">
        <f>SUM(N237:N245)</f>
        <v>77</v>
      </c>
      <c r="O246" s="158">
        <f>SUM(O237:O245)</f>
        <v>1</v>
      </c>
      <c r="P246" s="501">
        <f>SUM(P237:P245)</f>
        <v>10830</v>
      </c>
      <c r="Q246" s="158">
        <f>SUM(Q237:Q245)</f>
        <v>1</v>
      </c>
      <c r="R246" s="503"/>
      <c r="S246" s="463"/>
      <c r="T246" s="255"/>
    </row>
    <row r="247" spans="1:20" ht="15.6" x14ac:dyDescent="0.3">
      <c r="A247" s="6"/>
      <c r="B247" s="151"/>
      <c r="C247" s="151"/>
      <c r="D247" s="151"/>
      <c r="E247" s="151"/>
      <c r="F247" s="151"/>
      <c r="G247" s="151"/>
      <c r="H247" s="152"/>
      <c r="I247" s="152"/>
      <c r="J247" s="152"/>
      <c r="K247" s="152"/>
      <c r="L247" s="152"/>
      <c r="M247" s="152"/>
      <c r="N247" s="420"/>
      <c r="O247" s="440"/>
      <c r="P247" s="441"/>
      <c r="Q247" s="440"/>
      <c r="R247" s="151"/>
      <c r="S247" s="151"/>
      <c r="T247" s="5"/>
    </row>
    <row r="248" spans="1:20" s="153" customFormat="1" ht="15.6" x14ac:dyDescent="0.3">
      <c r="A248" s="411"/>
      <c r="B248" s="14" t="s">
        <v>239</v>
      </c>
      <c r="C248" s="445"/>
      <c r="D248" s="445"/>
      <c r="E248" s="445"/>
      <c r="F248" s="445"/>
      <c r="G248" s="445"/>
      <c r="H248" s="446"/>
      <c r="I248" s="446"/>
      <c r="J248" s="446"/>
      <c r="K248" s="446"/>
      <c r="L248" s="446"/>
      <c r="M248" s="446"/>
      <c r="N248" s="84" t="s">
        <v>113</v>
      </c>
      <c r="O248" s="17" t="s">
        <v>114</v>
      </c>
      <c r="P248" s="84" t="s">
        <v>123</v>
      </c>
      <c r="Q248" s="17" t="s">
        <v>114</v>
      </c>
      <c r="R248" s="445"/>
      <c r="S248" s="445"/>
      <c r="T248" s="5"/>
    </row>
    <row r="249" spans="1:20" s="281" customFormat="1" ht="15.6" x14ac:dyDescent="0.3">
      <c r="A249" s="455"/>
      <c r="B249" s="157" t="s">
        <v>99</v>
      </c>
      <c r="C249" s="155"/>
      <c r="D249" s="155"/>
      <c r="E249" s="155"/>
      <c r="F249" s="155"/>
      <c r="G249" s="155"/>
      <c r="H249" s="156"/>
      <c r="I249" s="156"/>
      <c r="J249" s="156"/>
      <c r="K249" s="156"/>
      <c r="L249" s="156"/>
      <c r="M249" s="156"/>
      <c r="N249" s="157">
        <v>0</v>
      </c>
      <c r="O249" s="158">
        <f t="shared" ref="O249:O256" si="5">N249/$N$258</f>
        <v>0</v>
      </c>
      <c r="P249" s="501">
        <v>0</v>
      </c>
      <c r="Q249" s="158">
        <f t="shared" ref="Q249:Q256" si="6">P249/$P$258</f>
        <v>0</v>
      </c>
      <c r="R249" s="155"/>
      <c r="S249" s="160"/>
      <c r="T249" s="255"/>
    </row>
    <row r="250" spans="1:20" s="281" customFormat="1" ht="15.6" x14ac:dyDescent="0.3">
      <c r="A250" s="455"/>
      <c r="B250" s="157" t="s">
        <v>100</v>
      </c>
      <c r="C250" s="155"/>
      <c r="D250" s="155"/>
      <c r="E250" s="155"/>
      <c r="F250" s="155"/>
      <c r="G250" s="155"/>
      <c r="H250" s="156"/>
      <c r="I250" s="156"/>
      <c r="J250" s="156"/>
      <c r="K250" s="156"/>
      <c r="L250" s="156"/>
      <c r="M250" s="156"/>
      <c r="N250" s="157">
        <v>0</v>
      </c>
      <c r="O250" s="158">
        <f t="shared" si="5"/>
        <v>0</v>
      </c>
      <c r="P250" s="501">
        <v>0</v>
      </c>
      <c r="Q250" s="158">
        <f t="shared" si="6"/>
        <v>0</v>
      </c>
      <c r="R250" s="158"/>
      <c r="S250" s="160"/>
      <c r="T250" s="255"/>
    </row>
    <row r="251" spans="1:20" s="281" customFormat="1" ht="15.6" x14ac:dyDescent="0.3">
      <c r="A251" s="455"/>
      <c r="B251" s="157" t="s">
        <v>101</v>
      </c>
      <c r="C251" s="155"/>
      <c r="D251" s="155"/>
      <c r="E251" s="155"/>
      <c r="F251" s="155"/>
      <c r="G251" s="155"/>
      <c r="H251" s="156"/>
      <c r="I251" s="156"/>
      <c r="J251" s="156"/>
      <c r="K251" s="156"/>
      <c r="L251" s="156"/>
      <c r="M251" s="156"/>
      <c r="N251" s="157">
        <v>0</v>
      </c>
      <c r="O251" s="158">
        <f t="shared" si="5"/>
        <v>0</v>
      </c>
      <c r="P251" s="501">
        <v>0</v>
      </c>
      <c r="Q251" s="158">
        <f t="shared" si="6"/>
        <v>0</v>
      </c>
      <c r="R251" s="155"/>
      <c r="S251" s="160"/>
      <c r="T251" s="255"/>
    </row>
    <row r="252" spans="1:20" s="281" customFormat="1" ht="15.6" x14ac:dyDescent="0.3">
      <c r="A252" s="455"/>
      <c r="B252" s="157" t="s">
        <v>210</v>
      </c>
      <c r="C252" s="155"/>
      <c r="D252" s="155"/>
      <c r="E252" s="155"/>
      <c r="F252" s="155"/>
      <c r="G252" s="155"/>
      <c r="H252" s="156"/>
      <c r="I252" s="156"/>
      <c r="J252" s="156"/>
      <c r="K252" s="156"/>
      <c r="L252" s="156"/>
      <c r="M252" s="156"/>
      <c r="N252" s="157">
        <v>0</v>
      </c>
      <c r="O252" s="158">
        <f t="shared" si="5"/>
        <v>0</v>
      </c>
      <c r="P252" s="501">
        <v>0</v>
      </c>
      <c r="Q252" s="158">
        <f t="shared" si="6"/>
        <v>0</v>
      </c>
      <c r="R252" s="155"/>
      <c r="S252" s="160"/>
      <c r="T252" s="255"/>
    </row>
    <row r="253" spans="1:20" s="281" customFormat="1" ht="15.6" x14ac:dyDescent="0.3">
      <c r="A253" s="455"/>
      <c r="B253" s="157" t="s">
        <v>211</v>
      </c>
      <c r="C253" s="155"/>
      <c r="D253" s="155"/>
      <c r="E253" s="155"/>
      <c r="F253" s="155"/>
      <c r="G253" s="155"/>
      <c r="H253" s="156"/>
      <c r="I253" s="156"/>
      <c r="J253" s="156"/>
      <c r="K253" s="156"/>
      <c r="L253" s="156"/>
      <c r="M253" s="156"/>
      <c r="N253" s="157">
        <v>0</v>
      </c>
      <c r="O253" s="158">
        <f t="shared" si="5"/>
        <v>0</v>
      </c>
      <c r="P253" s="501">
        <v>0</v>
      </c>
      <c r="Q253" s="158">
        <f t="shared" si="6"/>
        <v>0</v>
      </c>
      <c r="R253" s="155"/>
      <c r="S253" s="160"/>
      <c r="T253" s="255"/>
    </row>
    <row r="254" spans="1:20" s="281" customFormat="1" ht="15.6" x14ac:dyDescent="0.3">
      <c r="A254" s="455"/>
      <c r="B254" s="157" t="s">
        <v>212</v>
      </c>
      <c r="C254" s="155"/>
      <c r="D254" s="155"/>
      <c r="E254" s="155"/>
      <c r="F254" s="155"/>
      <c r="G254" s="155"/>
      <c r="H254" s="156"/>
      <c r="I254" s="156"/>
      <c r="J254" s="156"/>
      <c r="K254" s="156"/>
      <c r="L254" s="156"/>
      <c r="M254" s="156"/>
      <c r="N254" s="157">
        <v>0</v>
      </c>
      <c r="O254" s="158">
        <f t="shared" si="5"/>
        <v>0</v>
      </c>
      <c r="P254" s="501">
        <v>0</v>
      </c>
      <c r="Q254" s="158">
        <f t="shared" si="6"/>
        <v>0</v>
      </c>
      <c r="R254" s="155"/>
      <c r="S254" s="160"/>
      <c r="T254" s="255"/>
    </row>
    <row r="255" spans="1:20" s="281" customFormat="1" ht="15.6" x14ac:dyDescent="0.3">
      <c r="A255" s="455"/>
      <c r="B255" s="157" t="s">
        <v>213</v>
      </c>
      <c r="C255" s="155"/>
      <c r="D255" s="155"/>
      <c r="E255" s="155"/>
      <c r="F255" s="155"/>
      <c r="G255" s="155"/>
      <c r="H255" s="156"/>
      <c r="I255" s="156"/>
      <c r="J255" s="156"/>
      <c r="K255" s="156"/>
      <c r="L255" s="156"/>
      <c r="M255" s="156"/>
      <c r="N255" s="157">
        <v>0</v>
      </c>
      <c r="O255" s="158">
        <f t="shared" si="5"/>
        <v>0</v>
      </c>
      <c r="P255" s="501">
        <v>0</v>
      </c>
      <c r="Q255" s="158">
        <f t="shared" si="6"/>
        <v>0</v>
      </c>
      <c r="R255" s="155"/>
      <c r="S255" s="160"/>
      <c r="T255" s="255"/>
    </row>
    <row r="256" spans="1:20" s="281" customFormat="1" ht="15.6" x14ac:dyDescent="0.3">
      <c r="A256" s="455"/>
      <c r="B256" s="157" t="s">
        <v>214</v>
      </c>
      <c r="C256" s="155"/>
      <c r="D256" s="155"/>
      <c r="E256" s="155"/>
      <c r="F256" s="155"/>
      <c r="G256" s="155"/>
      <c r="H256" s="156"/>
      <c r="I256" s="156"/>
      <c r="J256" s="156"/>
      <c r="K256" s="156"/>
      <c r="L256" s="156"/>
      <c r="M256" s="156"/>
      <c r="N256" s="157">
        <v>3</v>
      </c>
      <c r="O256" s="158">
        <f t="shared" si="5"/>
        <v>1</v>
      </c>
      <c r="P256" s="501">
        <v>108</v>
      </c>
      <c r="Q256" s="158">
        <f t="shared" si="6"/>
        <v>1</v>
      </c>
      <c r="R256" s="155"/>
      <c r="S256" s="160"/>
      <c r="T256" s="255"/>
    </row>
    <row r="257" spans="1:20" s="281" customFormat="1" ht="15.6" x14ac:dyDescent="0.3">
      <c r="A257" s="455"/>
      <c r="B257" s="157"/>
      <c r="C257" s="155"/>
      <c r="D257" s="155"/>
      <c r="E257" s="155"/>
      <c r="F257" s="155"/>
      <c r="G257" s="155"/>
      <c r="H257" s="156"/>
      <c r="I257" s="156"/>
      <c r="J257" s="156"/>
      <c r="K257" s="156"/>
      <c r="L257" s="156"/>
      <c r="M257" s="156"/>
      <c r="N257" s="157"/>
      <c r="O257" s="158"/>
      <c r="P257" s="501"/>
      <c r="Q257" s="158"/>
      <c r="R257" s="155"/>
      <c r="S257" s="160"/>
      <c r="T257" s="255"/>
    </row>
    <row r="258" spans="1:20" s="256" customFormat="1" ht="15.6" x14ac:dyDescent="0.3">
      <c r="A258" s="455"/>
      <c r="B258" s="155" t="s">
        <v>129</v>
      </c>
      <c r="C258" s="155"/>
      <c r="D258" s="155"/>
      <c r="E258" s="155"/>
      <c r="F258" s="155"/>
      <c r="G258" s="155"/>
      <c r="H258" s="156"/>
      <c r="I258" s="156"/>
      <c r="J258" s="156"/>
      <c r="K258" s="156"/>
      <c r="L258" s="156"/>
      <c r="M258" s="156"/>
      <c r="N258" s="157">
        <f>SUM(N249:N256)</f>
        <v>3</v>
      </c>
      <c r="O258" s="158">
        <f>SUM(O249:O256)</f>
        <v>1</v>
      </c>
      <c r="P258" s="501">
        <f>SUM(P249:P256)</f>
        <v>108</v>
      </c>
      <c r="Q258" s="158">
        <f>SUM(Q249:Q256)</f>
        <v>1</v>
      </c>
      <c r="R258" s="155"/>
      <c r="S258" s="160"/>
      <c r="T258" s="255"/>
    </row>
    <row r="259" spans="1:20" s="256" customFormat="1" ht="15.6" x14ac:dyDescent="0.3">
      <c r="A259" s="455"/>
      <c r="B259" s="155"/>
      <c r="C259" s="155"/>
      <c r="D259" s="155"/>
      <c r="E259" s="155"/>
      <c r="F259" s="155"/>
      <c r="G259" s="155"/>
      <c r="H259" s="156"/>
      <c r="I259" s="156"/>
      <c r="J259" s="156"/>
      <c r="K259" s="156"/>
      <c r="L259" s="156"/>
      <c r="M259" s="156"/>
      <c r="N259" s="157"/>
      <c r="O259" s="158"/>
      <c r="P259" s="501"/>
      <c r="Q259" s="158"/>
      <c r="R259" s="155"/>
      <c r="S259" s="160"/>
      <c r="T259" s="255"/>
    </row>
    <row r="260" spans="1:20" s="256" customFormat="1" ht="15.6" x14ac:dyDescent="0.3">
      <c r="A260" s="455"/>
      <c r="B260" s="536" t="s">
        <v>240</v>
      </c>
      <c r="C260" s="155"/>
      <c r="D260" s="155"/>
      <c r="E260" s="155"/>
      <c r="F260" s="155"/>
      <c r="G260" s="155"/>
      <c r="H260" s="156"/>
      <c r="I260" s="156"/>
      <c r="J260" s="156"/>
      <c r="K260" s="156"/>
      <c r="L260" s="156"/>
      <c r="M260" s="156"/>
      <c r="N260" s="537">
        <f>+N234+N246+N258</f>
        <v>4127</v>
      </c>
      <c r="O260" s="158"/>
      <c r="P260" s="538">
        <f>+P258+P246+P234</f>
        <v>485211</v>
      </c>
      <c r="Q260" s="158"/>
      <c r="R260" s="155"/>
      <c r="S260" s="160"/>
      <c r="T260" s="255"/>
    </row>
    <row r="261" spans="1:20" s="256" customFormat="1" ht="15.6" x14ac:dyDescent="0.3">
      <c r="A261" s="414"/>
      <c r="B261" s="539"/>
      <c r="C261" s="8"/>
      <c r="D261" s="8"/>
      <c r="E261" s="8"/>
      <c r="F261" s="8"/>
      <c r="G261" s="8"/>
      <c r="H261" s="97"/>
      <c r="I261" s="97"/>
      <c r="J261" s="97"/>
      <c r="K261" s="97"/>
      <c r="L261" s="97"/>
      <c r="M261" s="97"/>
      <c r="N261" s="97"/>
      <c r="O261" s="97"/>
      <c r="P261" s="540"/>
      <c r="Q261" s="97"/>
      <c r="R261" s="8"/>
      <c r="S261" s="8"/>
      <c r="T261" s="255"/>
    </row>
    <row r="262" spans="1:20" s="256" customFormat="1" ht="15.6" x14ac:dyDescent="0.3">
      <c r="A262" s="447"/>
      <c r="B262" s="13" t="s">
        <v>102</v>
      </c>
      <c r="C262" s="8"/>
      <c r="D262" s="8"/>
      <c r="E262" s="8"/>
      <c r="F262" s="541" t="s">
        <v>108</v>
      </c>
      <c r="G262" s="8"/>
      <c r="H262" s="13" t="s">
        <v>110</v>
      </c>
      <c r="I262" s="542"/>
      <c r="J262" s="542"/>
      <c r="K262" s="542"/>
      <c r="L262" s="542"/>
      <c r="M262" s="542"/>
      <c r="N262" s="542"/>
      <c r="O262" s="542"/>
      <c r="P262" s="542"/>
      <c r="Q262" s="542"/>
      <c r="R262" s="542"/>
      <c r="S262" s="542"/>
      <c r="T262" s="255"/>
    </row>
    <row r="263" spans="1:20" s="256" customFormat="1" ht="15.6" x14ac:dyDescent="0.3">
      <c r="A263" s="447"/>
      <c r="B263" s="542"/>
      <c r="C263" s="8"/>
      <c r="D263" s="8"/>
      <c r="E263" s="8"/>
      <c r="F263" s="8"/>
      <c r="G263" s="8"/>
      <c r="H263" s="8"/>
      <c r="I263" s="12"/>
      <c r="J263" s="12"/>
      <c r="K263" s="12"/>
      <c r="L263" s="12"/>
      <c r="M263" s="12"/>
      <c r="N263" s="12"/>
      <c r="O263" s="12"/>
      <c r="P263" s="12"/>
      <c r="Q263" s="12"/>
      <c r="R263" s="12"/>
      <c r="S263" s="12"/>
      <c r="T263" s="255"/>
    </row>
    <row r="264" spans="1:20" s="256" customFormat="1" ht="15.6" x14ac:dyDescent="0.3">
      <c r="A264" s="447"/>
      <c r="B264" s="13" t="s">
        <v>103</v>
      </c>
      <c r="C264" s="13"/>
      <c r="D264" s="13"/>
      <c r="E264" s="13"/>
      <c r="F264" s="133" t="s">
        <v>172</v>
      </c>
      <c r="G264" s="13"/>
      <c r="H264" s="13" t="s">
        <v>200</v>
      </c>
      <c r="I264" s="542"/>
      <c r="J264" s="542"/>
      <c r="K264" s="542"/>
      <c r="L264" s="542"/>
      <c r="M264" s="542"/>
      <c r="N264" s="542"/>
      <c r="O264" s="542"/>
      <c r="P264" s="542"/>
      <c r="Q264" s="542"/>
      <c r="R264" s="542"/>
      <c r="S264" s="542"/>
      <c r="T264" s="255"/>
    </row>
    <row r="265" spans="1:20" s="256" customFormat="1" ht="15.6" x14ac:dyDescent="0.3">
      <c r="A265" s="447"/>
      <c r="B265" s="13" t="s">
        <v>271</v>
      </c>
      <c r="C265" s="13"/>
      <c r="D265" s="13"/>
      <c r="E265" s="13"/>
      <c r="F265" s="133" t="s">
        <v>272</v>
      </c>
      <c r="G265" s="13"/>
      <c r="H265" s="13" t="s">
        <v>273</v>
      </c>
      <c r="I265" s="542"/>
      <c r="J265" s="542"/>
      <c r="K265" s="542"/>
      <c r="L265" s="542"/>
      <c r="M265" s="542"/>
      <c r="N265" s="542"/>
      <c r="O265" s="542"/>
      <c r="P265" s="542"/>
      <c r="Q265" s="542"/>
      <c r="R265" s="542"/>
      <c r="S265" s="542"/>
      <c r="T265" s="255"/>
    </row>
    <row r="266" spans="1:20" s="256" customFormat="1" ht="15.6" x14ac:dyDescent="0.3">
      <c r="A266" s="447"/>
      <c r="B266" s="13" t="s">
        <v>104</v>
      </c>
      <c r="C266" s="13"/>
      <c r="D266" s="13"/>
      <c r="E266" s="13"/>
      <c r="F266" s="133" t="s">
        <v>171</v>
      </c>
      <c r="G266" s="13"/>
      <c r="H266" s="13" t="s">
        <v>201</v>
      </c>
      <c r="I266" s="542"/>
      <c r="J266" s="542"/>
      <c r="K266" s="542"/>
      <c r="L266" s="542"/>
      <c r="M266" s="542"/>
      <c r="N266" s="542"/>
      <c r="O266" s="542"/>
      <c r="P266" s="542"/>
      <c r="Q266" s="542"/>
      <c r="R266" s="542"/>
      <c r="S266" s="542"/>
      <c r="T266" s="255"/>
    </row>
    <row r="267" spans="1:20" s="256" customFormat="1" ht="15.6" x14ac:dyDescent="0.3">
      <c r="A267" s="447"/>
      <c r="B267" s="13"/>
      <c r="C267" s="13"/>
      <c r="D267" s="13"/>
      <c r="E267" s="13"/>
      <c r="F267" s="13"/>
      <c r="G267" s="100"/>
      <c r="H267" s="542"/>
      <c r="I267" s="542"/>
      <c r="J267" s="542"/>
      <c r="K267" s="542"/>
      <c r="L267" s="542"/>
      <c r="M267" s="542"/>
      <c r="N267" s="542"/>
      <c r="O267" s="542"/>
      <c r="P267" s="542"/>
      <c r="Q267" s="542"/>
      <c r="R267" s="542"/>
      <c r="S267" s="542"/>
      <c r="T267" s="255"/>
    </row>
    <row r="268" spans="1:20" s="256" customFormat="1" ht="18" thickBot="1" x14ac:dyDescent="0.35">
      <c r="A268" s="447"/>
      <c r="B268" s="49" t="str">
        <f>B189</f>
        <v>PM8 INVESTOR REPORT QUARTER ENDING MARCH 2010</v>
      </c>
      <c r="C268" s="13"/>
      <c r="D268" s="13"/>
      <c r="E268" s="13"/>
      <c r="F268" s="13"/>
      <c r="G268" s="100"/>
      <c r="H268" s="542"/>
      <c r="I268" s="542"/>
      <c r="J268" s="542"/>
      <c r="K268" s="542"/>
      <c r="L268" s="542"/>
      <c r="M268" s="542"/>
      <c r="N268" s="542"/>
      <c r="O268" s="542"/>
      <c r="P268" s="542"/>
      <c r="Q268" s="542"/>
      <c r="R268" s="542"/>
      <c r="S268" s="542"/>
      <c r="T268" s="255"/>
    </row>
    <row r="269" spans="1:20" x14ac:dyDescent="0.25">
      <c r="A269" s="101"/>
      <c r="B269" s="101"/>
      <c r="C269" s="101"/>
      <c r="D269" s="101"/>
      <c r="E269" s="101"/>
      <c r="F269" s="101"/>
      <c r="G269" s="101"/>
      <c r="H269" s="101"/>
      <c r="I269" s="101"/>
      <c r="J269" s="101"/>
      <c r="K269" s="101"/>
      <c r="L269" s="101"/>
      <c r="M269" s="101"/>
      <c r="N269" s="101"/>
      <c r="O269" s="101"/>
      <c r="P269" s="101"/>
      <c r="Q269" s="101"/>
      <c r="R269" s="101"/>
      <c r="S269" s="101"/>
    </row>
  </sheetData>
  <phoneticPr fontId="0" type="noConversion"/>
  <hyperlinks>
    <hyperlink ref="J222"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2" manualBreakCount="2">
    <brk id="132" max="14" man="1"/>
    <brk id="189"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156</v>
      </c>
      <c r="C5" s="184"/>
      <c r="D5" s="184"/>
      <c r="E5" s="184"/>
      <c r="F5" s="184"/>
      <c r="G5" s="184"/>
      <c r="H5" s="184"/>
      <c r="I5" s="184"/>
      <c r="J5" s="184"/>
      <c r="K5" s="184"/>
      <c r="L5" s="184"/>
      <c r="M5" s="184"/>
      <c r="N5" s="184"/>
      <c r="O5" s="184"/>
      <c r="P5" s="184"/>
      <c r="Q5" s="184"/>
      <c r="R5" s="184"/>
      <c r="S5" s="184"/>
      <c r="T5" s="5"/>
    </row>
    <row r="6" spans="1:20" ht="15.6" x14ac:dyDescent="0.3">
      <c r="A6" s="182"/>
      <c r="B6" s="240" t="s">
        <v>158</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0.88100000000000001</v>
      </c>
      <c r="P16" s="247" t="s">
        <v>161</v>
      </c>
      <c r="Q16" s="246">
        <v>0.11899999999999999</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40381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8"/>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298"/>
      <c r="D26" s="298" t="s">
        <v>162</v>
      </c>
      <c r="E26" s="298"/>
      <c r="F26" s="298" t="s">
        <v>162</v>
      </c>
      <c r="G26" s="298"/>
      <c r="H26" s="298" t="s">
        <v>162</v>
      </c>
      <c r="I26" s="298"/>
      <c r="J26" s="298" t="s">
        <v>162</v>
      </c>
      <c r="K26" s="298"/>
      <c r="L26" s="298" t="s">
        <v>163</v>
      </c>
      <c r="M26" s="298"/>
      <c r="N26" s="298" t="s">
        <v>163</v>
      </c>
      <c r="O26" s="298"/>
      <c r="P26" s="293"/>
      <c r="Q26" s="294"/>
      <c r="R26" s="294"/>
      <c r="S26" s="295"/>
      <c r="T26" s="255"/>
    </row>
    <row r="27" spans="1:20" s="256" customFormat="1" ht="15.6" x14ac:dyDescent="0.3">
      <c r="A27" s="296"/>
      <c r="B27" s="297" t="s">
        <v>10</v>
      </c>
      <c r="C27" s="298"/>
      <c r="D27" s="298" t="s">
        <v>164</v>
      </c>
      <c r="E27" s="298"/>
      <c r="F27" s="298" t="s">
        <v>164</v>
      </c>
      <c r="G27" s="298"/>
      <c r="H27" s="298" t="s">
        <v>164</v>
      </c>
      <c r="I27" s="298"/>
      <c r="J27" s="298" t="s">
        <v>164</v>
      </c>
      <c r="K27" s="298"/>
      <c r="L27" s="298" t="s">
        <v>165</v>
      </c>
      <c r="M27" s="298"/>
      <c r="N27" s="298" t="s">
        <v>165</v>
      </c>
      <c r="O27" s="298"/>
      <c r="P27" s="293"/>
      <c r="Q27" s="294"/>
      <c r="R27" s="294"/>
      <c r="S27" s="295"/>
      <c r="T27" s="255"/>
    </row>
    <row r="28" spans="1:20" s="256" customFormat="1" ht="15.6" x14ac:dyDescent="0.3">
      <c r="A28" s="296"/>
      <c r="B28" s="297" t="s">
        <v>136</v>
      </c>
      <c r="C28" s="298"/>
      <c r="D28" s="298" t="s">
        <v>164</v>
      </c>
      <c r="E28" s="298"/>
      <c r="F28" s="298" t="s">
        <v>164</v>
      </c>
      <c r="G28" s="298"/>
      <c r="H28" s="298" t="s">
        <v>164</v>
      </c>
      <c r="I28" s="298"/>
      <c r="J28" s="298" t="s">
        <v>164</v>
      </c>
      <c r="K28" s="298"/>
      <c r="L28" s="298" t="s">
        <v>165</v>
      </c>
      <c r="M28" s="298"/>
      <c r="N28" s="298" t="s">
        <v>165</v>
      </c>
      <c r="O28" s="298"/>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190954.09500000003</v>
      </c>
      <c r="I31" s="301"/>
      <c r="J31" s="302">
        <f>J30*J37</f>
        <v>283613.78700000001</v>
      </c>
      <c r="K31" s="301"/>
      <c r="L31" s="303">
        <f>L30*L37</f>
        <v>63077.455999999998</v>
      </c>
      <c r="M31" s="301"/>
      <c r="N31" s="302">
        <f>N30*N37</f>
        <v>48521.120000000003</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188953.35600000003</v>
      </c>
      <c r="I32" s="306"/>
      <c r="J32" s="308">
        <f>J36*J30</f>
        <v>280642.19760000001</v>
      </c>
      <c r="K32" s="307"/>
      <c r="L32" s="307">
        <f>L36*L30</f>
        <v>62416.548999999999</v>
      </c>
      <c r="M32" s="307"/>
      <c r="N32" s="308">
        <f>N36*N30</f>
        <v>48012.729999999996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190954.09500000003</v>
      </c>
      <c r="I34" s="301"/>
      <c r="J34" s="301">
        <f>J33*J37</f>
        <v>197214.88500000001</v>
      </c>
      <c r="K34" s="301"/>
      <c r="L34" s="301">
        <f>L33*L37</f>
        <v>63077.455999999998</v>
      </c>
      <c r="M34" s="301"/>
      <c r="N34" s="301">
        <f>N33*N37</f>
        <v>33964.784</v>
      </c>
      <c r="O34" s="301"/>
      <c r="P34" s="301"/>
      <c r="Q34" s="304"/>
      <c r="R34" s="301">
        <f>SUM(C34:N34)</f>
        <v>485211.22000000003</v>
      </c>
      <c r="S34" s="305"/>
      <c r="T34" s="255"/>
    </row>
    <row r="35" spans="1:20" s="256" customFormat="1" ht="15.6" x14ac:dyDescent="0.3">
      <c r="A35" s="296"/>
      <c r="B35" s="297" t="s">
        <v>287</v>
      </c>
      <c r="C35" s="306"/>
      <c r="D35" s="307">
        <f>D36*D33</f>
        <v>0</v>
      </c>
      <c r="E35" s="306"/>
      <c r="F35" s="307">
        <f>F36*F33</f>
        <v>0</v>
      </c>
      <c r="G35" s="307"/>
      <c r="H35" s="307">
        <f>H36*H33</f>
        <v>188953.35600000003</v>
      </c>
      <c r="I35" s="306"/>
      <c r="J35" s="307">
        <f>J36*J33</f>
        <v>195148.54800000001</v>
      </c>
      <c r="K35" s="307"/>
      <c r="L35" s="307">
        <f>L36*L33</f>
        <v>62416.548999999999</v>
      </c>
      <c r="M35" s="307"/>
      <c r="N35" s="307">
        <f>N36*N33</f>
        <v>33608.911</v>
      </c>
      <c r="O35" s="307"/>
      <c r="P35" s="307"/>
      <c r="Q35" s="309"/>
      <c r="R35" s="307">
        <f>SUM(C35:N35)</f>
        <v>480127.36400000006</v>
      </c>
      <c r="S35" s="305"/>
      <c r="T35" s="255"/>
    </row>
    <row r="36" spans="1:20" ht="15.6" x14ac:dyDescent="0.3">
      <c r="A36" s="310"/>
      <c r="B36" s="311" t="s">
        <v>149</v>
      </c>
      <c r="C36" s="312"/>
      <c r="D36" s="313">
        <v>0</v>
      </c>
      <c r="E36" s="314"/>
      <c r="F36" s="313">
        <v>0</v>
      </c>
      <c r="G36" s="315"/>
      <c r="H36" s="313">
        <v>0.61951920000000005</v>
      </c>
      <c r="I36" s="315"/>
      <c r="J36" s="313">
        <v>0.61951920000000005</v>
      </c>
      <c r="K36" s="315"/>
      <c r="L36" s="313">
        <v>0.96025459999999996</v>
      </c>
      <c r="M36" s="315"/>
      <c r="N36" s="313">
        <v>0.96025459999999996</v>
      </c>
      <c r="O36" s="316"/>
      <c r="P36" s="316"/>
      <c r="Q36" s="317"/>
      <c r="R36" s="316"/>
      <c r="S36" s="318"/>
      <c r="T36" s="5"/>
    </row>
    <row r="37" spans="1:20" ht="15.6" x14ac:dyDescent="0.3">
      <c r="A37" s="310"/>
      <c r="B37" s="311" t="s">
        <v>150</v>
      </c>
      <c r="C37" s="312"/>
      <c r="D37" s="313">
        <v>0</v>
      </c>
      <c r="E37" s="314"/>
      <c r="F37" s="313">
        <v>0</v>
      </c>
      <c r="G37" s="315"/>
      <c r="H37" s="313">
        <v>0.62607900000000005</v>
      </c>
      <c r="I37" s="315"/>
      <c r="J37" s="313">
        <v>0.62607900000000005</v>
      </c>
      <c r="K37" s="315"/>
      <c r="L37" s="313">
        <v>0.97042240000000002</v>
      </c>
      <c r="M37" s="315"/>
      <c r="N37" s="313">
        <v>0.97042240000000002</v>
      </c>
      <c r="O37" s="319"/>
      <c r="P37" s="319"/>
      <c r="Q37" s="317"/>
      <c r="R37" s="316"/>
      <c r="S37" s="318"/>
      <c r="T37" s="5"/>
    </row>
    <row r="38" spans="1:20" s="256" customFormat="1" ht="15.6" x14ac:dyDescent="0.3">
      <c r="A38" s="291"/>
      <c r="B38" s="292" t="s">
        <v>12</v>
      </c>
      <c r="C38" s="292"/>
      <c r="D38" s="299" t="s">
        <v>189</v>
      </c>
      <c r="E38" s="292"/>
      <c r="F38" s="299" t="s">
        <v>189</v>
      </c>
      <c r="G38" s="299"/>
      <c r="H38" s="299" t="s">
        <v>190</v>
      </c>
      <c r="I38" s="299"/>
      <c r="J38" s="299" t="s">
        <v>192</v>
      </c>
      <c r="K38" s="299"/>
      <c r="L38" s="299" t="s">
        <v>193</v>
      </c>
      <c r="M38" s="299"/>
      <c r="N38" s="299" t="s">
        <v>194</v>
      </c>
      <c r="O38" s="299"/>
      <c r="P38" s="299"/>
      <c r="Q38" s="294"/>
      <c r="R38" s="294"/>
      <c r="S38" s="295"/>
      <c r="T38" s="255"/>
    </row>
    <row r="39" spans="1:20" s="256" customFormat="1" ht="15.6" x14ac:dyDescent="0.3">
      <c r="A39" s="291"/>
      <c r="B39" s="292" t="s">
        <v>13</v>
      </c>
      <c r="C39" s="292"/>
      <c r="D39" s="320">
        <v>0</v>
      </c>
      <c r="E39" s="292"/>
      <c r="F39" s="320">
        <v>0</v>
      </c>
      <c r="G39" s="321"/>
      <c r="H39" s="320">
        <v>8.4093999999999992E-3</v>
      </c>
      <c r="I39" s="321"/>
      <c r="J39" s="320">
        <v>8.2400000000000008E-3</v>
      </c>
      <c r="K39" s="321"/>
      <c r="L39" s="320">
        <v>1.3009400000000001E-2</v>
      </c>
      <c r="M39" s="321"/>
      <c r="N39" s="320">
        <v>1.244E-2</v>
      </c>
      <c r="O39" s="321"/>
      <c r="P39" s="320"/>
      <c r="Q39" s="294"/>
      <c r="R39" s="321"/>
      <c r="S39" s="295"/>
      <c r="T39" s="255"/>
    </row>
    <row r="40" spans="1:20" s="256" customFormat="1" ht="15.6" x14ac:dyDescent="0.3">
      <c r="A40" s="291"/>
      <c r="B40" s="292" t="s">
        <v>14</v>
      </c>
      <c r="C40" s="292"/>
      <c r="D40" s="320">
        <v>0</v>
      </c>
      <c r="E40" s="292"/>
      <c r="F40" s="320">
        <v>0</v>
      </c>
      <c r="G40" s="321"/>
      <c r="H40" s="320">
        <v>8.0000000000000002E-3</v>
      </c>
      <c r="I40" s="321"/>
      <c r="J40" s="320">
        <v>8.6400000000000001E-3</v>
      </c>
      <c r="K40" s="321"/>
      <c r="L40" s="320">
        <v>1.26E-2</v>
      </c>
      <c r="M40" s="321"/>
      <c r="N40" s="320">
        <v>1.2840000000000001E-2</v>
      </c>
      <c r="O40" s="321"/>
      <c r="P40" s="320"/>
      <c r="Q40" s="294"/>
      <c r="R40" s="294"/>
      <c r="S40" s="295"/>
      <c r="T40" s="255"/>
    </row>
    <row r="41" spans="1:20" s="256" customFormat="1" ht="15.6" x14ac:dyDescent="0.3">
      <c r="A41" s="291"/>
      <c r="B41" s="292" t="s">
        <v>288</v>
      </c>
      <c r="C41" s="292"/>
      <c r="D41" s="299" t="s">
        <v>189</v>
      </c>
      <c r="E41" s="292"/>
      <c r="F41" s="299" t="s">
        <v>215</v>
      </c>
      <c r="G41" s="299"/>
      <c r="H41" s="299" t="s">
        <v>190</v>
      </c>
      <c r="I41" s="299"/>
      <c r="J41" s="299" t="s">
        <v>216</v>
      </c>
      <c r="K41" s="299"/>
      <c r="L41" s="299" t="s">
        <v>193</v>
      </c>
      <c r="M41" s="299"/>
      <c r="N41" s="299" t="s">
        <v>217</v>
      </c>
      <c r="O41" s="321"/>
      <c r="P41" s="320"/>
      <c r="Q41" s="294"/>
      <c r="R41" s="321"/>
      <c r="S41" s="295"/>
      <c r="T41" s="255"/>
    </row>
    <row r="42" spans="1:20" s="256" customFormat="1" ht="15.6" x14ac:dyDescent="0.3">
      <c r="A42" s="291"/>
      <c r="B42" s="292" t="s">
        <v>289</v>
      </c>
      <c r="C42" s="292"/>
      <c r="D42" s="320">
        <f>+D39</f>
        <v>0</v>
      </c>
      <c r="E42" s="292"/>
      <c r="F42" s="320">
        <v>0</v>
      </c>
      <c r="G42" s="321"/>
      <c r="H42" s="320">
        <f>+H39</f>
        <v>8.4093999999999992E-3</v>
      </c>
      <c r="I42" s="321"/>
      <c r="J42" s="320">
        <v>8.8074E-3</v>
      </c>
      <c r="K42" s="321"/>
      <c r="L42" s="320">
        <f>+L39</f>
        <v>1.3009400000000001E-2</v>
      </c>
      <c r="M42" s="321"/>
      <c r="N42" s="320">
        <v>1.33864E-2</v>
      </c>
      <c r="O42" s="321"/>
      <c r="P42" s="320"/>
      <c r="Q42" s="294"/>
      <c r="R42" s="321">
        <f>SUMPRODUCT(D42:N42,D34:N34)/R34</f>
        <v>9.5175577045930639E-3</v>
      </c>
      <c r="S42" s="295"/>
      <c r="T42" s="255"/>
    </row>
    <row r="43" spans="1:20" s="256" customFormat="1" ht="15.6" x14ac:dyDescent="0.3">
      <c r="A43" s="291"/>
      <c r="B43" s="292" t="s">
        <v>290</v>
      </c>
      <c r="C43" s="292"/>
      <c r="D43" s="320">
        <f>+D40</f>
        <v>0</v>
      </c>
      <c r="E43" s="292"/>
      <c r="F43" s="320">
        <v>0</v>
      </c>
      <c r="G43" s="321"/>
      <c r="H43" s="320">
        <f>+H40</f>
        <v>8.0000000000000002E-3</v>
      </c>
      <c r="I43" s="321"/>
      <c r="J43" s="320">
        <v>8.3979999999999992E-3</v>
      </c>
      <c r="K43" s="321"/>
      <c r="L43" s="320">
        <f>+L40</f>
        <v>1.26E-2</v>
      </c>
      <c r="M43" s="321"/>
      <c r="N43" s="320">
        <v>1.2977000000000001E-2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0.24999995834438765</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40374</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90</v>
      </c>
      <c r="O55" s="329"/>
      <c r="P55" s="330">
        <v>40193</v>
      </c>
      <c r="Q55" s="331"/>
      <c r="R55" s="330">
        <v>40282</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40283</v>
      </c>
      <c r="Q56" s="331"/>
      <c r="R56" s="330">
        <v>40373</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40360</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296</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222"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485211</v>
      </c>
      <c r="K66" s="336"/>
      <c r="L66" s="336">
        <f>5084+941+34</f>
        <v>6059</v>
      </c>
      <c r="M66" s="336"/>
      <c r="N66" s="336">
        <f>941+34</f>
        <v>975</v>
      </c>
      <c r="O66" s="336"/>
      <c r="P66" s="336">
        <v>0</v>
      </c>
      <c r="Q66" s="336"/>
      <c r="R66" s="337">
        <f>+J66-L66+N66-P66</f>
        <v>480127</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485211</v>
      </c>
      <c r="K69" s="336"/>
      <c r="L69" s="336">
        <f>SUM(L66:L68)</f>
        <v>6059</v>
      </c>
      <c r="M69" s="336"/>
      <c r="N69" s="336">
        <f>SUM(N66:N68)</f>
        <v>975</v>
      </c>
      <c r="O69" s="336"/>
      <c r="P69" s="336">
        <f>SUM(P66:P68)</f>
        <v>0</v>
      </c>
      <c r="Q69" s="336"/>
      <c r="R69" s="336">
        <f>SUM(R66:R68)</f>
        <v>480127</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485211</v>
      </c>
      <c r="K82" s="336"/>
      <c r="L82" s="336"/>
      <c r="M82" s="336"/>
      <c r="N82" s="336"/>
      <c r="O82" s="336"/>
      <c r="P82" s="336"/>
      <c r="Q82" s="336"/>
      <c r="R82" s="336">
        <f>SUM(R69:R81)</f>
        <v>480127</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222" t="s">
        <v>31</v>
      </c>
      <c r="C85" s="222"/>
      <c r="D85" s="222"/>
      <c r="E85" s="222"/>
      <c r="F85" s="222"/>
      <c r="G85" s="222"/>
      <c r="H85" s="223" t="s">
        <v>106</v>
      </c>
      <c r="I85" s="224"/>
      <c r="J85" s="225">
        <f>+P189</f>
        <v>40359</v>
      </c>
      <c r="K85" s="224"/>
      <c r="L85" s="224"/>
      <c r="M85" s="224"/>
      <c r="N85" s="224"/>
      <c r="O85" s="224"/>
      <c r="P85" s="224" t="s">
        <v>119</v>
      </c>
      <c r="Q85" s="224"/>
      <c r="R85" s="224"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6059-601</f>
        <v>5458</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3944+501-952-100+25+4</f>
        <v>3422</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169+23</f>
        <v>192</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27</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0</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5458</v>
      </c>
      <c r="Q94" s="335"/>
      <c r="R94" s="336">
        <f>SUM(R86:R93)</f>
        <v>3641</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-1</v>
      </c>
      <c r="Q95" s="335"/>
      <c r="R95" s="336">
        <f>-P95</f>
        <v>1</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152</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5457</v>
      </c>
      <c r="Q98" s="335"/>
      <c r="R98" s="336">
        <f>R94+R96+R95+R97</f>
        <v>3794</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-120-94-6</f>
        <v>-220</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-658</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-400</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-433</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-205</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-113</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601</v>
      </c>
      <c r="Q112" s="335"/>
      <c r="R112" s="337">
        <v>-601</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-245</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-908</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-974</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-2001</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-2066</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-661</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-356</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-6058</v>
      </c>
      <c r="Q127" s="336"/>
      <c r="R127" s="336">
        <f>SUM(R99:R126)</f>
        <v>-3794</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JUNE 2010</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23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601</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601</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-601</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v>0</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480127</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480127</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+'March 10'!O177</f>
        <v>85281</v>
      </c>
      <c r="P174" s="337">
        <f>+'March 10'!P177</f>
        <v>8349</v>
      </c>
      <c r="Q174" s="335"/>
      <c r="R174" s="337">
        <f>O174+P174</f>
        <v>93630</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f>941+33</f>
        <v>974</v>
      </c>
      <c r="P175" s="336">
        <f>-P95-P119</f>
        <v>1</v>
      </c>
      <c r="Q175" s="335"/>
      <c r="R175" s="337">
        <f>O175+P175</f>
        <v>975</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86255</v>
      </c>
      <c r="P176" s="337">
        <f>P175+P174</f>
        <v>8350</v>
      </c>
      <c r="Q176" s="335"/>
      <c r="R176" s="337">
        <f>O176+P176</f>
        <v>94605</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65395</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3.4969987995198077</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1.46</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6.5408805031446544</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2.67</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JUNE 2010</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238" t="s">
        <v>78</v>
      </c>
      <c r="C189" s="229"/>
      <c r="D189" s="229"/>
      <c r="E189" s="229"/>
      <c r="F189" s="229"/>
      <c r="G189" s="230"/>
      <c r="H189" s="230"/>
      <c r="I189" s="230"/>
      <c r="J189" s="230"/>
      <c r="K189" s="230"/>
      <c r="L189" s="230"/>
      <c r="M189" s="230"/>
      <c r="N189" s="230"/>
      <c r="O189" s="230"/>
      <c r="P189" s="230">
        <v>40359</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2.741E-2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9.5175577045930639E-3</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1.7892442295406936E-2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7.8192786231144808E-3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15.46</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1.2487350863850985E-2</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0.1416</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222" t="s">
        <v>87</v>
      </c>
      <c r="C205" s="224"/>
      <c r="D205" s="224"/>
      <c r="E205" s="224"/>
      <c r="F205" s="232"/>
      <c r="G205" s="224"/>
      <c r="H205" s="224"/>
      <c r="I205" s="224"/>
      <c r="J205" s="224"/>
      <c r="K205" s="224"/>
      <c r="L205" s="224"/>
      <c r="M205" s="224"/>
      <c r="N205" s="224"/>
      <c r="O205" s="224" t="s">
        <v>113</v>
      </c>
      <c r="P205" s="232"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4</v>
      </c>
      <c r="P206" s="277">
        <v>261</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71</v>
      </c>
      <c r="P207" s="371">
        <f>+P257</f>
        <v>8954</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4</v>
      </c>
      <c r="P208" s="371">
        <f>+P269</f>
        <v>120</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84" t="s">
        <v>93</v>
      </c>
      <c r="C212" s="335"/>
      <c r="D212" s="335"/>
      <c r="E212" s="335"/>
      <c r="F212" s="335"/>
      <c r="G212" s="335"/>
      <c r="H212" s="335"/>
      <c r="I212" s="335"/>
      <c r="J212" s="335"/>
      <c r="K212" s="335"/>
      <c r="L212" s="335"/>
      <c r="M212" s="335"/>
      <c r="N212" s="335"/>
      <c r="O212" s="369"/>
      <c r="P212" s="371">
        <f>R159</f>
        <v>601</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'March 10'!P214+P212</f>
        <v>2601</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1</v>
      </c>
      <c r="P215" s="371">
        <v>27</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14.7</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14</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7</v>
      </c>
      <c r="P219" s="371">
        <v>2006</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12.71</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5.6" x14ac:dyDescent="0.3">
      <c r="A222" s="361"/>
      <c r="B222" s="362"/>
      <c r="C222" s="363"/>
      <c r="D222" s="363"/>
      <c r="E222" s="363"/>
      <c r="F222" s="364"/>
      <c r="G222" s="213"/>
      <c r="H222" s="213"/>
      <c r="I222" s="213"/>
      <c r="J222" s="213"/>
      <c r="K222" s="213"/>
      <c r="L222" s="213"/>
      <c r="M222" s="213"/>
      <c r="N222" s="213"/>
      <c r="O222" s="213"/>
      <c r="P222" s="365"/>
      <c r="Q222" s="213"/>
      <c r="R222" s="366"/>
      <c r="S222" s="367"/>
      <c r="T222" s="5"/>
    </row>
    <row r="223" spans="1:20" ht="15.6" x14ac:dyDescent="0.3">
      <c r="A223" s="215"/>
      <c r="B223" s="222" t="s">
        <v>299</v>
      </c>
      <c r="C223" s="224"/>
      <c r="D223" s="224"/>
      <c r="E223" s="224"/>
      <c r="F223" s="232"/>
      <c r="G223" s="224"/>
      <c r="H223" s="224"/>
      <c r="I223" s="224"/>
      <c r="J223" s="224"/>
      <c r="K223" s="224"/>
      <c r="L223" s="224"/>
      <c r="M223" s="224"/>
      <c r="N223" s="232" t="s">
        <v>113</v>
      </c>
      <c r="O223" s="224" t="s">
        <v>114</v>
      </c>
      <c r="P223" s="232" t="s">
        <v>123</v>
      </c>
      <c r="Q223" s="224" t="s">
        <v>114</v>
      </c>
      <c r="R223" s="216"/>
      <c r="S223" s="222"/>
      <c r="T223" s="5"/>
    </row>
    <row r="224" spans="1:20" s="256" customFormat="1" ht="15.6" x14ac:dyDescent="0.3">
      <c r="A224" s="251"/>
      <c r="B224" s="259" t="s">
        <v>99</v>
      </c>
      <c r="C224" s="279"/>
      <c r="D224" s="279"/>
      <c r="E224" s="279"/>
      <c r="F224" s="252"/>
      <c r="G224" s="279"/>
      <c r="H224" s="279"/>
      <c r="I224" s="279"/>
      <c r="J224" s="279"/>
      <c r="K224" s="279"/>
      <c r="L224" s="279"/>
      <c r="M224" s="279"/>
      <c r="N224" s="336">
        <f>+N236+N248+N260</f>
        <v>3998</v>
      </c>
      <c r="O224" s="399">
        <f>N224/$N$233</f>
        <v>0.98158605450527869</v>
      </c>
      <c r="P224" s="337">
        <f>+P236+P248+P260</f>
        <v>471415</v>
      </c>
      <c r="Q224" s="399">
        <f>P224/$P$233</f>
        <v>0.9818548009172573</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ref="N225:N231" si="1">+N237+N249+N261</f>
        <v>29</v>
      </c>
      <c r="O225" s="399">
        <f t="shared" ref="O225:O231" si="2">N225/$N$233</f>
        <v>7.120058924625583E-3</v>
      </c>
      <c r="P225" s="337">
        <f t="shared" ref="P225:P231" si="3">+P237+P249+P261</f>
        <v>3025</v>
      </c>
      <c r="Q225" s="399">
        <f t="shared" ref="Q225:Q231" si="4">P225/$P$233</f>
        <v>6.3004163481745453E-3</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10</v>
      </c>
      <c r="O226" s="399">
        <f t="shared" si="2"/>
        <v>2.4551927326295114E-3</v>
      </c>
      <c r="P226" s="337">
        <f t="shared" si="3"/>
        <v>1533</v>
      </c>
      <c r="Q226" s="399">
        <f t="shared" si="4"/>
        <v>3.1929052104963896E-3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5</v>
      </c>
      <c r="O227" s="399">
        <f t="shared" si="2"/>
        <v>1.2275963663147557E-3</v>
      </c>
      <c r="P227" s="337">
        <f t="shared" si="3"/>
        <v>468</v>
      </c>
      <c r="Q227" s="399">
        <f t="shared" si="4"/>
        <v>9.7474209948617766E-4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4</v>
      </c>
      <c r="O228" s="399">
        <f t="shared" si="2"/>
        <v>9.8207709305180458E-4</v>
      </c>
      <c r="P228" s="337">
        <f t="shared" si="3"/>
        <v>651</v>
      </c>
      <c r="Q228" s="399">
        <f t="shared" si="4"/>
        <v>1.3558912537724394E-3</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12</v>
      </c>
      <c r="O230" s="399">
        <f t="shared" si="2"/>
        <v>2.9462312791554137E-3</v>
      </c>
      <c r="P230" s="337">
        <f t="shared" si="3"/>
        <v>1216</v>
      </c>
      <c r="Q230" s="399">
        <f t="shared" si="4"/>
        <v>2.5326632328529744E-3</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6">
        <f t="shared" si="1"/>
        <v>15</v>
      </c>
      <c r="O231" s="399">
        <f t="shared" si="2"/>
        <v>3.682789098944267E-3</v>
      </c>
      <c r="P231" s="337">
        <f t="shared" si="3"/>
        <v>1819</v>
      </c>
      <c r="Q231" s="399">
        <f t="shared" si="4"/>
        <v>3.7885809379601646E-3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4073</v>
      </c>
      <c r="O233" s="399">
        <f>SUM(O224:O232)</f>
        <v>0.99999999999999989</v>
      </c>
      <c r="P233" s="337">
        <f>SUM(P224:P232)</f>
        <v>480127</v>
      </c>
      <c r="Q233" s="399">
        <f>SUM(Q224:Q232)</f>
        <v>1</v>
      </c>
      <c r="R233" s="335"/>
      <c r="S233" s="338"/>
      <c r="T233" s="255"/>
    </row>
    <row r="234" spans="1:21" ht="15.6" x14ac:dyDescent="0.3">
      <c r="A234" s="182"/>
      <c r="B234" s="213"/>
      <c r="C234" s="213"/>
      <c r="D234" s="213"/>
      <c r="E234" s="213"/>
      <c r="F234" s="213"/>
      <c r="G234" s="213"/>
      <c r="H234" s="214"/>
      <c r="I234" s="214"/>
      <c r="J234" s="214"/>
      <c r="K234" s="214"/>
      <c r="L234" s="214"/>
      <c r="M234" s="214"/>
      <c r="N234" s="332"/>
      <c r="O234" s="396"/>
      <c r="P234" s="397"/>
      <c r="Q234" s="396"/>
      <c r="R234" s="213"/>
      <c r="S234" s="213"/>
      <c r="T234" s="5"/>
    </row>
    <row r="235" spans="1:21" ht="15.6" x14ac:dyDescent="0.3">
      <c r="A235" s="215"/>
      <c r="B235" s="222" t="s">
        <v>236</v>
      </c>
      <c r="C235" s="224"/>
      <c r="D235" s="224"/>
      <c r="E235" s="224"/>
      <c r="F235" s="232"/>
      <c r="G235" s="224"/>
      <c r="H235" s="224"/>
      <c r="I235" s="224"/>
      <c r="J235" s="224"/>
      <c r="K235" s="224"/>
      <c r="L235" s="224"/>
      <c r="M235" s="224"/>
      <c r="N235" s="232" t="s">
        <v>113</v>
      </c>
      <c r="O235" s="224" t="s">
        <v>114</v>
      </c>
      <c r="P235" s="232" t="s">
        <v>123</v>
      </c>
      <c r="Q235" s="224" t="s">
        <v>114</v>
      </c>
      <c r="R235" s="216"/>
      <c r="S235" s="222"/>
      <c r="T235" s="5"/>
    </row>
    <row r="236" spans="1:21" s="256" customFormat="1" ht="15.6" x14ac:dyDescent="0.3">
      <c r="A236" s="251"/>
      <c r="B236" s="259" t="s">
        <v>99</v>
      </c>
      <c r="C236" s="279"/>
      <c r="D236" s="279"/>
      <c r="E236" s="279"/>
      <c r="F236" s="252"/>
      <c r="G236" s="279"/>
      <c r="H236" s="279"/>
      <c r="I236" s="279"/>
      <c r="J236" s="279"/>
      <c r="K236" s="279"/>
      <c r="L236" s="279"/>
      <c r="M236" s="279"/>
      <c r="N236" s="259">
        <v>3959</v>
      </c>
      <c r="O236" s="280">
        <f t="shared" ref="O236:O243" si="5">N236/$N$245</f>
        <v>0.99024512256128061</v>
      </c>
      <c r="P236" s="269">
        <v>466438</v>
      </c>
      <c r="Q236" s="280">
        <f t="shared" ref="Q236:Q243" si="6">P236/$P$245</f>
        <v>0.99020280095870317</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24</v>
      </c>
      <c r="O237" s="399">
        <f t="shared" si="5"/>
        <v>6.0030015007503752E-3</v>
      </c>
      <c r="P237" s="337">
        <v>2478</v>
      </c>
      <c r="Q237" s="399">
        <f t="shared" si="6"/>
        <v>5.2605545448176742E-3</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6</v>
      </c>
      <c r="O238" s="399">
        <f t="shared" si="5"/>
        <v>1.5007503751875938E-3</v>
      </c>
      <c r="P238" s="337">
        <v>1104</v>
      </c>
      <c r="Q238" s="399">
        <f t="shared" si="6"/>
        <v>2.3436853177880197E-3</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2</v>
      </c>
      <c r="O239" s="399">
        <f t="shared" si="5"/>
        <v>5.0025012506253123E-4</v>
      </c>
      <c r="P239" s="337">
        <v>211</v>
      </c>
      <c r="Q239" s="399">
        <f t="shared" si="6"/>
        <v>4.479326105555001E-4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2</v>
      </c>
      <c r="O240" s="399">
        <f t="shared" si="5"/>
        <v>5.0025012506253123E-4</v>
      </c>
      <c r="P240" s="337">
        <v>446</v>
      </c>
      <c r="Q240" s="399">
        <f t="shared" si="6"/>
        <v>9.4681490193247893E-4</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3</v>
      </c>
      <c r="O242" s="399">
        <f t="shared" si="5"/>
        <v>7.503751875937969E-4</v>
      </c>
      <c r="P242" s="337">
        <v>140</v>
      </c>
      <c r="Q242" s="399">
        <f t="shared" si="6"/>
        <v>2.9720647145862567E-4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2</v>
      </c>
      <c r="O243" s="399">
        <f t="shared" si="5"/>
        <v>5.0025012506253123E-4</v>
      </c>
      <c r="P243" s="337">
        <v>236</v>
      </c>
      <c r="Q243" s="399">
        <f t="shared" si="6"/>
        <v>5.0100519474454038E-4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3998</v>
      </c>
      <c r="O245" s="399">
        <f>SUM(O236:O244)</f>
        <v>0.99999999999999989</v>
      </c>
      <c r="P245" s="337">
        <f>SUM(P236:P244)</f>
        <v>471053</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222" t="s">
        <v>241</v>
      </c>
      <c r="C247" s="224"/>
      <c r="D247" s="224"/>
      <c r="E247" s="224"/>
      <c r="F247" s="232"/>
      <c r="G247" s="224"/>
      <c r="H247" s="224"/>
      <c r="I247" s="224"/>
      <c r="J247" s="224"/>
      <c r="K247" s="224"/>
      <c r="L247" s="224"/>
      <c r="M247" s="224"/>
      <c r="N247" s="232" t="s">
        <v>113</v>
      </c>
      <c r="O247" s="224" t="s">
        <v>114</v>
      </c>
      <c r="P247" s="232" t="s">
        <v>123</v>
      </c>
      <c r="Q247" s="224"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39</v>
      </c>
      <c r="O248" s="280">
        <f t="shared" ref="O248:O255" si="7">N248/$N$257</f>
        <v>0.54929577464788737</v>
      </c>
      <c r="P248" s="269">
        <v>4977</v>
      </c>
      <c r="Q248" s="280">
        <f t="shared" ref="Q248:Q255" si="8">P248/$P$257</f>
        <v>0.55584096493187407</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5</v>
      </c>
      <c r="O249" s="399">
        <f t="shared" si="7"/>
        <v>7.0422535211267609E-2</v>
      </c>
      <c r="P249" s="337">
        <v>547</v>
      </c>
      <c r="Q249" s="399">
        <f t="shared" si="8"/>
        <v>6.1090015635470181E-2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4</v>
      </c>
      <c r="O250" s="399">
        <f t="shared" si="7"/>
        <v>5.6338028169014086E-2</v>
      </c>
      <c r="P250" s="337">
        <v>429</v>
      </c>
      <c r="Q250" s="399">
        <f t="shared" si="8"/>
        <v>4.7911547911547912E-2</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3</v>
      </c>
      <c r="O251" s="399">
        <f t="shared" si="7"/>
        <v>4.2253521126760563E-2</v>
      </c>
      <c r="P251" s="337">
        <v>257</v>
      </c>
      <c r="Q251" s="399">
        <f t="shared" si="8"/>
        <v>2.8702255974983246E-2</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2</v>
      </c>
      <c r="O252" s="399">
        <f t="shared" si="7"/>
        <v>2.8169014084507043E-2</v>
      </c>
      <c r="P252" s="337">
        <v>205</v>
      </c>
      <c r="Q252" s="399">
        <f t="shared" si="8"/>
        <v>2.2894795622068351E-2</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7</v>
      </c>
      <c r="O254" s="399">
        <f t="shared" si="7"/>
        <v>9.8591549295774641E-2</v>
      </c>
      <c r="P254" s="337">
        <v>1037</v>
      </c>
      <c r="Q254" s="399">
        <f t="shared" si="8"/>
        <v>0.11581416126870672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11</v>
      </c>
      <c r="O255" s="399">
        <f t="shared" si="7"/>
        <v>0.15492957746478872</v>
      </c>
      <c r="P255" s="337">
        <v>1502</v>
      </c>
      <c r="Q255" s="399">
        <f t="shared" si="8"/>
        <v>0.16774625865534956</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71</v>
      </c>
      <c r="O257" s="399">
        <f>SUM(O248:O256)</f>
        <v>1</v>
      </c>
      <c r="P257" s="337">
        <f>SUM(P248:P256)</f>
        <v>8954</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222" t="s">
        <v>239</v>
      </c>
      <c r="C259" s="236"/>
      <c r="D259" s="236"/>
      <c r="E259" s="236"/>
      <c r="F259" s="236"/>
      <c r="G259" s="236"/>
      <c r="H259" s="237"/>
      <c r="I259" s="237"/>
      <c r="J259" s="237"/>
      <c r="K259" s="237"/>
      <c r="L259" s="237"/>
      <c r="M259" s="237"/>
      <c r="N259" s="232" t="s">
        <v>113</v>
      </c>
      <c r="O259" s="224" t="s">
        <v>114</v>
      </c>
      <c r="P259" s="232" t="s">
        <v>123</v>
      </c>
      <c r="Q259" s="224"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2</v>
      </c>
      <c r="O266" s="399">
        <f t="shared" si="9"/>
        <v>0.5</v>
      </c>
      <c r="P266" s="337">
        <v>39</v>
      </c>
      <c r="Q266" s="399">
        <f t="shared" si="10"/>
        <v>0.32500000000000001</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2</v>
      </c>
      <c r="O267" s="399">
        <f t="shared" si="9"/>
        <v>0.5</v>
      </c>
      <c r="P267" s="337">
        <v>81</v>
      </c>
      <c r="Q267" s="399">
        <f t="shared" si="10"/>
        <v>0.67500000000000004</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4</v>
      </c>
      <c r="O269" s="399">
        <f>SUM(O260:O267)</f>
        <v>1</v>
      </c>
      <c r="P269" s="337">
        <f>SUM(P260:P267)</f>
        <v>120</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405" t="s">
        <v>240</v>
      </c>
      <c r="C271" s="335"/>
      <c r="D271" s="335"/>
      <c r="E271" s="335"/>
      <c r="F271" s="335"/>
      <c r="G271" s="335"/>
      <c r="H271" s="400"/>
      <c r="I271" s="400"/>
      <c r="J271" s="400"/>
      <c r="K271" s="400"/>
      <c r="L271" s="400"/>
      <c r="M271" s="400"/>
      <c r="N271" s="406">
        <f>+N245+N257+N269</f>
        <v>4073</v>
      </c>
      <c r="O271" s="399"/>
      <c r="P271" s="407">
        <f>+P269+P257+P245</f>
        <v>480127</v>
      </c>
      <c r="Q271" s="399"/>
      <c r="R271" s="335"/>
      <c r="S271" s="338"/>
      <c r="T271" s="255"/>
    </row>
    <row r="272" spans="1:20" s="256" customFormat="1" ht="15.6" x14ac:dyDescent="0.3">
      <c r="A272" s="261"/>
      <c r="B272" s="40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JUNE 2010</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2" manualBreakCount="2">
    <brk id="131" max="14" man="1"/>
    <brk id="188"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156</v>
      </c>
      <c r="C5" s="184"/>
      <c r="D5" s="184"/>
      <c r="E5" s="184"/>
      <c r="F5" s="184"/>
      <c r="G5" s="184"/>
      <c r="H5" s="184"/>
      <c r="I5" s="184"/>
      <c r="J5" s="184"/>
      <c r="K5" s="184"/>
      <c r="L5" s="184"/>
      <c r="M5" s="184"/>
      <c r="N5" s="184"/>
      <c r="O5" s="184"/>
      <c r="P5" s="184"/>
      <c r="Q5" s="184"/>
      <c r="R5" s="184"/>
      <c r="S5" s="184"/>
      <c r="T5" s="5"/>
    </row>
    <row r="6" spans="1:20" ht="15.6" x14ac:dyDescent="0.3">
      <c r="A6" s="182"/>
      <c r="B6" s="240" t="s">
        <v>158</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0.88160000000000005</v>
      </c>
      <c r="P16" s="247" t="s">
        <v>161</v>
      </c>
      <c r="Q16" s="246">
        <v>0.11840000000000001</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40471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8"/>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298"/>
      <c r="D26" s="298" t="s">
        <v>162</v>
      </c>
      <c r="E26" s="298"/>
      <c r="F26" s="298" t="s">
        <v>162</v>
      </c>
      <c r="G26" s="298"/>
      <c r="H26" s="298" t="s">
        <v>162</v>
      </c>
      <c r="I26" s="298"/>
      <c r="J26" s="298" t="s">
        <v>162</v>
      </c>
      <c r="K26" s="298"/>
      <c r="L26" s="298" t="s">
        <v>163</v>
      </c>
      <c r="M26" s="298"/>
      <c r="N26" s="298" t="s">
        <v>163</v>
      </c>
      <c r="O26" s="298"/>
      <c r="P26" s="293"/>
      <c r="Q26" s="294"/>
      <c r="R26" s="294"/>
      <c r="S26" s="295"/>
      <c r="T26" s="255"/>
    </row>
    <row r="27" spans="1:20" s="256" customFormat="1" ht="15.6" x14ac:dyDescent="0.3">
      <c r="A27" s="296"/>
      <c r="B27" s="297" t="s">
        <v>10</v>
      </c>
      <c r="C27" s="298"/>
      <c r="D27" s="298" t="s">
        <v>164</v>
      </c>
      <c r="E27" s="298"/>
      <c r="F27" s="298" t="s">
        <v>164</v>
      </c>
      <c r="G27" s="298"/>
      <c r="H27" s="298" t="s">
        <v>164</v>
      </c>
      <c r="I27" s="298"/>
      <c r="J27" s="298" t="s">
        <v>164</v>
      </c>
      <c r="K27" s="298"/>
      <c r="L27" s="298" t="s">
        <v>165</v>
      </c>
      <c r="M27" s="298"/>
      <c r="N27" s="298" t="s">
        <v>165</v>
      </c>
      <c r="O27" s="298"/>
      <c r="P27" s="293"/>
      <c r="Q27" s="294"/>
      <c r="R27" s="294"/>
      <c r="S27" s="295"/>
      <c r="T27" s="255"/>
    </row>
    <row r="28" spans="1:20" s="256" customFormat="1" ht="15.6" x14ac:dyDescent="0.3">
      <c r="A28" s="296"/>
      <c r="B28" s="297" t="s">
        <v>136</v>
      </c>
      <c r="C28" s="298"/>
      <c r="D28" s="298" t="s">
        <v>164</v>
      </c>
      <c r="E28" s="298"/>
      <c r="F28" s="298" t="s">
        <v>164</v>
      </c>
      <c r="G28" s="298"/>
      <c r="H28" s="298" t="s">
        <v>164</v>
      </c>
      <c r="I28" s="298"/>
      <c r="J28" s="298" t="s">
        <v>164</v>
      </c>
      <c r="K28" s="298"/>
      <c r="L28" s="298" t="s">
        <v>165</v>
      </c>
      <c r="M28" s="298"/>
      <c r="N28" s="298" t="s">
        <v>165</v>
      </c>
      <c r="O28" s="298"/>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188953.35600000003</v>
      </c>
      <c r="I31" s="301"/>
      <c r="J31" s="302">
        <f>J30*J37</f>
        <v>280642.19760000001</v>
      </c>
      <c r="K31" s="301"/>
      <c r="L31" s="303">
        <f>L30*L37</f>
        <v>62416.548999999999</v>
      </c>
      <c r="M31" s="301"/>
      <c r="N31" s="302">
        <f>N30*N37</f>
        <v>48012.729999999996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186701.785</v>
      </c>
      <c r="I32" s="306"/>
      <c r="J32" s="308">
        <f>J36*J30</f>
        <v>277298.06100000005</v>
      </c>
      <c r="K32" s="307"/>
      <c r="L32" s="307">
        <f>L36*L30</f>
        <v>61672.792999999998</v>
      </c>
      <c r="M32" s="307"/>
      <c r="N32" s="308">
        <f>N36*N30</f>
        <v>47440.61</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188953.35600000003</v>
      </c>
      <c r="I34" s="301"/>
      <c r="J34" s="301">
        <f>J33*J37</f>
        <v>195148.54800000001</v>
      </c>
      <c r="K34" s="301"/>
      <c r="L34" s="301">
        <f>L33*L37</f>
        <v>62416.548999999999</v>
      </c>
      <c r="M34" s="301"/>
      <c r="N34" s="301">
        <f>N33*N37</f>
        <v>33608.911</v>
      </c>
      <c r="O34" s="301"/>
      <c r="P34" s="301"/>
      <c r="Q34" s="304"/>
      <c r="R34" s="301">
        <f>SUM(C34:N34)</f>
        <v>480127.36400000006</v>
      </c>
      <c r="S34" s="305"/>
      <c r="T34" s="255"/>
    </row>
    <row r="35" spans="1:20" s="256" customFormat="1" ht="15.6" x14ac:dyDescent="0.3">
      <c r="A35" s="296"/>
      <c r="B35" s="297" t="s">
        <v>287</v>
      </c>
      <c r="C35" s="306"/>
      <c r="D35" s="307">
        <f>D36*D33</f>
        <v>0</v>
      </c>
      <c r="E35" s="306"/>
      <c r="F35" s="307">
        <f>F36*F33</f>
        <v>0</v>
      </c>
      <c r="G35" s="307"/>
      <c r="H35" s="307">
        <f>H36*H33</f>
        <v>186701.785</v>
      </c>
      <c r="I35" s="306"/>
      <c r="J35" s="307">
        <f>J36*J33</f>
        <v>192823.155</v>
      </c>
      <c r="K35" s="307"/>
      <c r="L35" s="307">
        <f>L36*L33</f>
        <v>61672.792999999998</v>
      </c>
      <c r="M35" s="307"/>
      <c r="N35" s="307">
        <f>N36*N33</f>
        <v>33208.427000000003</v>
      </c>
      <c r="O35" s="307"/>
      <c r="P35" s="307"/>
      <c r="Q35" s="309"/>
      <c r="R35" s="307">
        <f>SUM(C35:N35)</f>
        <v>474406.16000000003</v>
      </c>
      <c r="S35" s="305"/>
      <c r="T35" s="255"/>
    </row>
    <row r="36" spans="1:20" ht="15.6" x14ac:dyDescent="0.3">
      <c r="A36" s="310"/>
      <c r="B36" s="311" t="s">
        <v>149</v>
      </c>
      <c r="C36" s="312"/>
      <c r="D36" s="313">
        <v>0</v>
      </c>
      <c r="E36" s="314"/>
      <c r="F36" s="313">
        <v>0</v>
      </c>
      <c r="G36" s="315"/>
      <c r="H36" s="313">
        <v>0.61213700000000004</v>
      </c>
      <c r="I36" s="315"/>
      <c r="J36" s="313">
        <v>0.61213700000000004</v>
      </c>
      <c r="K36" s="315"/>
      <c r="L36" s="313">
        <v>0.94881219999999999</v>
      </c>
      <c r="M36" s="315"/>
      <c r="N36" s="313">
        <v>0.94881219999999999</v>
      </c>
      <c r="O36" s="316"/>
      <c r="P36" s="316"/>
      <c r="Q36" s="317"/>
      <c r="R36" s="316"/>
      <c r="S36" s="318"/>
      <c r="T36" s="5"/>
    </row>
    <row r="37" spans="1:20" ht="15.6" x14ac:dyDescent="0.3">
      <c r="A37" s="310"/>
      <c r="B37" s="311" t="s">
        <v>150</v>
      </c>
      <c r="C37" s="312"/>
      <c r="D37" s="313">
        <v>0</v>
      </c>
      <c r="E37" s="314"/>
      <c r="F37" s="313">
        <v>0</v>
      </c>
      <c r="G37" s="315"/>
      <c r="H37" s="313">
        <v>0.61951920000000005</v>
      </c>
      <c r="I37" s="315"/>
      <c r="J37" s="313">
        <v>0.61951920000000005</v>
      </c>
      <c r="K37" s="315"/>
      <c r="L37" s="313">
        <v>0.96025459999999996</v>
      </c>
      <c r="M37" s="315"/>
      <c r="N37" s="313">
        <v>0.96025459999999996</v>
      </c>
      <c r="O37" s="319"/>
      <c r="P37" s="319"/>
      <c r="Q37" s="317"/>
      <c r="R37" s="316"/>
      <c r="S37" s="318"/>
      <c r="T37" s="5"/>
    </row>
    <row r="38" spans="1:20" s="256" customFormat="1" ht="15.6" x14ac:dyDescent="0.3">
      <c r="A38" s="291"/>
      <c r="B38" s="292" t="s">
        <v>12</v>
      </c>
      <c r="C38" s="292"/>
      <c r="D38" s="299" t="s">
        <v>189</v>
      </c>
      <c r="E38" s="292"/>
      <c r="F38" s="299" t="s">
        <v>189</v>
      </c>
      <c r="G38" s="299"/>
      <c r="H38" s="299" t="s">
        <v>190</v>
      </c>
      <c r="I38" s="299"/>
      <c r="J38" s="299" t="s">
        <v>192</v>
      </c>
      <c r="K38" s="299"/>
      <c r="L38" s="299" t="s">
        <v>193</v>
      </c>
      <c r="M38" s="299"/>
      <c r="N38" s="299" t="s">
        <v>194</v>
      </c>
      <c r="O38" s="299"/>
      <c r="P38" s="299"/>
      <c r="Q38" s="294"/>
      <c r="R38" s="294"/>
      <c r="S38" s="295"/>
      <c r="T38" s="255"/>
    </row>
    <row r="39" spans="1:20" s="256" customFormat="1" ht="15.6" x14ac:dyDescent="0.3">
      <c r="A39" s="291"/>
      <c r="B39" s="292" t="s">
        <v>13</v>
      </c>
      <c r="C39" s="292"/>
      <c r="D39" s="320">
        <v>0</v>
      </c>
      <c r="E39" s="292"/>
      <c r="F39" s="320">
        <v>0</v>
      </c>
      <c r="G39" s="321"/>
      <c r="H39" s="320">
        <v>9.2359E-3</v>
      </c>
      <c r="I39" s="321"/>
      <c r="J39" s="320">
        <v>1.0149999999999999E-2</v>
      </c>
      <c r="K39" s="321"/>
      <c r="L39" s="320">
        <v>1.38359E-2</v>
      </c>
      <c r="M39" s="321"/>
      <c r="N39" s="320">
        <v>1.435E-2</v>
      </c>
      <c r="O39" s="321"/>
      <c r="P39" s="320"/>
      <c r="Q39" s="294"/>
      <c r="R39" s="321"/>
      <c r="S39" s="295"/>
      <c r="T39" s="255"/>
    </row>
    <row r="40" spans="1:20" s="256" customFormat="1" ht="15.6" x14ac:dyDescent="0.3">
      <c r="A40" s="291"/>
      <c r="B40" s="292" t="s">
        <v>14</v>
      </c>
      <c r="C40" s="292"/>
      <c r="D40" s="320">
        <v>0</v>
      </c>
      <c r="E40" s="292"/>
      <c r="F40" s="320">
        <v>0</v>
      </c>
      <c r="G40" s="321"/>
      <c r="H40" s="320">
        <v>8.4093999999999992E-3</v>
      </c>
      <c r="I40" s="321"/>
      <c r="J40" s="320">
        <v>8.2400000000000008E-3</v>
      </c>
      <c r="K40" s="321"/>
      <c r="L40" s="320">
        <v>1.3009400000000001E-2</v>
      </c>
      <c r="M40" s="321"/>
      <c r="N40" s="320">
        <v>1.244E-2</v>
      </c>
      <c r="O40" s="321"/>
      <c r="P40" s="320"/>
      <c r="Q40" s="294"/>
      <c r="R40" s="294"/>
      <c r="S40" s="295"/>
      <c r="T40" s="255"/>
    </row>
    <row r="41" spans="1:20" s="256" customFormat="1" ht="15.6" x14ac:dyDescent="0.3">
      <c r="A41" s="291"/>
      <c r="B41" s="292" t="s">
        <v>288</v>
      </c>
      <c r="C41" s="292"/>
      <c r="D41" s="299" t="s">
        <v>189</v>
      </c>
      <c r="E41" s="292"/>
      <c r="F41" s="299" t="s">
        <v>215</v>
      </c>
      <c r="G41" s="299"/>
      <c r="H41" s="299" t="s">
        <v>190</v>
      </c>
      <c r="I41" s="299"/>
      <c r="J41" s="299" t="s">
        <v>216</v>
      </c>
      <c r="K41" s="299"/>
      <c r="L41" s="299" t="s">
        <v>193</v>
      </c>
      <c r="M41" s="299"/>
      <c r="N41" s="299" t="s">
        <v>217</v>
      </c>
      <c r="O41" s="321"/>
      <c r="P41" s="320"/>
      <c r="Q41" s="294"/>
      <c r="R41" s="321"/>
      <c r="S41" s="295"/>
      <c r="T41" s="255"/>
    </row>
    <row r="42" spans="1:20" s="256" customFormat="1" ht="15.6" x14ac:dyDescent="0.3">
      <c r="A42" s="291"/>
      <c r="B42" s="292" t="s">
        <v>289</v>
      </c>
      <c r="C42" s="292"/>
      <c r="D42" s="320">
        <f>+D39</f>
        <v>0</v>
      </c>
      <c r="E42" s="292"/>
      <c r="F42" s="320">
        <v>0</v>
      </c>
      <c r="G42" s="321"/>
      <c r="H42" s="320">
        <f>+H39</f>
        <v>9.2359E-3</v>
      </c>
      <c r="I42" s="321"/>
      <c r="J42" s="320">
        <v>9.6339000000000008E-3</v>
      </c>
      <c r="K42" s="321"/>
      <c r="L42" s="320">
        <f>+L39</f>
        <v>1.38359E-2</v>
      </c>
      <c r="M42" s="321"/>
      <c r="N42" s="320">
        <v>1.4212900000000001E-2</v>
      </c>
      <c r="O42" s="321"/>
      <c r="P42" s="320"/>
      <c r="Q42" s="294"/>
      <c r="R42" s="321">
        <f>SUMPRODUCT(D42:N42,D34:N34)/R34</f>
        <v>1.0344057621174452E-2</v>
      </c>
      <c r="S42" s="295"/>
      <c r="T42" s="255"/>
    </row>
    <row r="43" spans="1:20" s="256" customFormat="1" ht="15.6" x14ac:dyDescent="0.3">
      <c r="A43" s="291"/>
      <c r="B43" s="292" t="s">
        <v>290</v>
      </c>
      <c r="C43" s="292"/>
      <c r="D43" s="320">
        <f>+D40</f>
        <v>0</v>
      </c>
      <c r="E43" s="292"/>
      <c r="F43" s="320">
        <v>0</v>
      </c>
      <c r="G43" s="321"/>
      <c r="H43" s="320">
        <f>+H40</f>
        <v>8.4093999999999992E-3</v>
      </c>
      <c r="I43" s="321"/>
      <c r="J43" s="320">
        <v>8.8074E-3</v>
      </c>
      <c r="K43" s="321"/>
      <c r="L43" s="320">
        <f>+L40</f>
        <v>1.3009400000000001E-2</v>
      </c>
      <c r="M43" s="321"/>
      <c r="N43" s="320">
        <v>1.33864E-2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0.24999996047690567</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40466</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40283</v>
      </c>
      <c r="Q55" s="331"/>
      <c r="R55" s="330">
        <v>40373</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40374</v>
      </c>
      <c r="Q56" s="331"/>
      <c r="R56" s="330">
        <v>40465</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40452</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297</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222"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480127</v>
      </c>
      <c r="K66" s="336"/>
      <c r="L66" s="336">
        <f>5721+641+13</f>
        <v>6375</v>
      </c>
      <c r="M66" s="336"/>
      <c r="N66" s="336">
        <f>641+13</f>
        <v>654</v>
      </c>
      <c r="O66" s="336"/>
      <c r="P66" s="336">
        <v>0</v>
      </c>
      <c r="Q66" s="336"/>
      <c r="R66" s="337">
        <f>+J66-L66+N66-P66</f>
        <v>474406</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480127</v>
      </c>
      <c r="K69" s="336"/>
      <c r="L69" s="336">
        <f>SUM(L66:L68)</f>
        <v>6375</v>
      </c>
      <c r="M69" s="336"/>
      <c r="N69" s="336">
        <f>SUM(N66:N68)</f>
        <v>654</v>
      </c>
      <c r="O69" s="336"/>
      <c r="P69" s="336">
        <f>SUM(P66:P68)</f>
        <v>0</v>
      </c>
      <c r="Q69" s="336"/>
      <c r="R69" s="336">
        <f>SUM(R66:R68)</f>
        <v>474406</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480127</v>
      </c>
      <c r="K82" s="336"/>
      <c r="L82" s="336"/>
      <c r="M82" s="336"/>
      <c r="N82" s="336"/>
      <c r="O82" s="336"/>
      <c r="P82" s="336"/>
      <c r="Q82" s="336"/>
      <c r="R82" s="336">
        <f>SUM(R69:R81)</f>
        <v>474406</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222" t="s">
        <v>31</v>
      </c>
      <c r="C85" s="222"/>
      <c r="D85" s="222"/>
      <c r="E85" s="222"/>
      <c r="F85" s="222"/>
      <c r="G85" s="222"/>
      <c r="H85" s="223" t="s">
        <v>106</v>
      </c>
      <c r="I85" s="224"/>
      <c r="J85" s="225">
        <f>+P189</f>
        <v>40451</v>
      </c>
      <c r="K85" s="224"/>
      <c r="L85" s="224"/>
      <c r="M85" s="224"/>
      <c r="N85" s="224"/>
      <c r="O85" s="224"/>
      <c r="P85" s="224" t="s">
        <v>119</v>
      </c>
      <c r="Q85" s="224"/>
      <c r="R85" s="224"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6375-384</f>
        <v>5991</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3738+462-781-83+25+1</f>
        <v>3362</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107+14</f>
        <v>121</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29</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0</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5991</v>
      </c>
      <c r="Q94" s="335"/>
      <c r="R94" s="336">
        <f>SUM(R86:R93)</f>
        <v>3512</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-4</v>
      </c>
      <c r="Q95" s="335"/>
      <c r="R95" s="336">
        <f>-P95</f>
        <v>4</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91</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5987</v>
      </c>
      <c r="Q98" s="335"/>
      <c r="R98" s="336">
        <f>R94+R96+R95+R97</f>
        <v>3607</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-121-131-6</f>
        <v>-258</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-413</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-440</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-474</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-218</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-120</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384</v>
      </c>
      <c r="Q112" s="335"/>
      <c r="R112" s="337">
        <v>-384</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-245</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-1044</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-650</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-2252</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-2325</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-744</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-400</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-6371</v>
      </c>
      <c r="Q127" s="336"/>
      <c r="R127" s="336">
        <f>SUM(R99:R126)</f>
        <v>-3607</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SEPTEMBER 2010</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23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384</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384</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-384</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v>0</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474406</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474406</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+'June 10'!O176</f>
        <v>86255</v>
      </c>
      <c r="P174" s="337">
        <f>+'June 10'!P176</f>
        <v>8350</v>
      </c>
      <c r="Q174" s="335"/>
      <c r="R174" s="337">
        <f>O174+P174</f>
        <v>94605</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f>10+640</f>
        <v>650</v>
      </c>
      <c r="P175" s="336">
        <f>-P95-P119</f>
        <v>4</v>
      </c>
      <c r="Q175" s="335"/>
      <c r="R175" s="337">
        <f>O175+P175</f>
        <v>654</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86905</v>
      </c>
      <c r="P176" s="337">
        <f>P175+P174</f>
        <v>8354</v>
      </c>
      <c r="Q176" s="335"/>
      <c r="R176" s="337">
        <f>O176+P176</f>
        <v>95259</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64741</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3.2089715536105032</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1.47</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5.9733727810650885</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2.71</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SEPTEMBER 2010</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238" t="s">
        <v>78</v>
      </c>
      <c r="C189" s="229"/>
      <c r="D189" s="229"/>
      <c r="E189" s="229"/>
      <c r="F189" s="229"/>
      <c r="G189" s="230"/>
      <c r="H189" s="230"/>
      <c r="I189" s="230"/>
      <c r="J189" s="230"/>
      <c r="K189" s="230"/>
      <c r="L189" s="230"/>
      <c r="M189" s="230"/>
      <c r="N189" s="230"/>
      <c r="O189" s="230"/>
      <c r="P189" s="230">
        <v>40451</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2.7969999999999998E-2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1.0344057621174452E-2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1.7625942378825546E-2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7.5125956257406897E-3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15.23</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1.3277736932103381E-2</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0.13800000000000001</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222" t="s">
        <v>87</v>
      </c>
      <c r="C205" s="224"/>
      <c r="D205" s="224"/>
      <c r="E205" s="224"/>
      <c r="F205" s="232"/>
      <c r="G205" s="224"/>
      <c r="H205" s="224"/>
      <c r="I205" s="224"/>
      <c r="J205" s="224"/>
      <c r="K205" s="224"/>
      <c r="L205" s="224"/>
      <c r="M205" s="224"/>
      <c r="N205" s="224"/>
      <c r="O205" s="224" t="s">
        <v>113</v>
      </c>
      <c r="P205" s="232"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1</v>
      </c>
      <c r="P206" s="277">
        <v>190</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63</v>
      </c>
      <c r="P207" s="371">
        <f>+P257</f>
        <v>7920</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3</v>
      </c>
      <c r="P208" s="371">
        <f>+P269</f>
        <v>109</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84" t="s">
        <v>93</v>
      </c>
      <c r="C212" s="335"/>
      <c r="D212" s="335"/>
      <c r="E212" s="335"/>
      <c r="F212" s="335"/>
      <c r="G212" s="335"/>
      <c r="H212" s="335"/>
      <c r="I212" s="335"/>
      <c r="J212" s="335"/>
      <c r="K212" s="335"/>
      <c r="L212" s="335"/>
      <c r="M212" s="335"/>
      <c r="N212" s="335"/>
      <c r="O212" s="369"/>
      <c r="P212" s="371">
        <f>R159</f>
        <v>384</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'June 10'!P213+P212</f>
        <v>2985</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2</v>
      </c>
      <c r="P215" s="371">
        <v>40</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15.55</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10.53</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7</v>
      </c>
      <c r="P219" s="371">
        <v>966</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12.93</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222" t="s">
        <v>298</v>
      </c>
      <c r="C223" s="224"/>
      <c r="D223" s="224"/>
      <c r="E223" s="224"/>
      <c r="F223" s="232"/>
      <c r="G223" s="224"/>
      <c r="H223" s="224"/>
      <c r="I223" s="224"/>
      <c r="J223" s="224"/>
      <c r="K223" s="224"/>
      <c r="L223" s="224"/>
      <c r="M223" s="224"/>
      <c r="N223" s="232" t="s">
        <v>113</v>
      </c>
      <c r="O223" s="224" t="s">
        <v>114</v>
      </c>
      <c r="P223" s="232" t="s">
        <v>123</v>
      </c>
      <c r="Q223" s="224" t="s">
        <v>114</v>
      </c>
      <c r="R223" s="216"/>
      <c r="S223" s="222"/>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3922</v>
      </c>
      <c r="O224" s="280">
        <f>N224/$N$233</f>
        <v>0.97903145282076887</v>
      </c>
      <c r="P224" s="269">
        <f t="shared" ref="P224:P231" si="2">+P236+P248+P260</f>
        <v>464419</v>
      </c>
      <c r="Q224" s="280">
        <f>P224/$P$233</f>
        <v>0.9789484112764173</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44</v>
      </c>
      <c r="O225" s="399">
        <f t="shared" ref="O225:O231" si="3">N225/$N$233</f>
        <v>1.0983524712930605E-2</v>
      </c>
      <c r="P225" s="337">
        <f t="shared" si="2"/>
        <v>5829</v>
      </c>
      <c r="Q225" s="399">
        <f t="shared" ref="Q225:Q231" si="4">P225/$P$233</f>
        <v>1.2286944094298976E-2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11</v>
      </c>
      <c r="O226" s="399">
        <f t="shared" si="3"/>
        <v>2.7458811782326512E-3</v>
      </c>
      <c r="P226" s="337">
        <f t="shared" si="2"/>
        <v>950</v>
      </c>
      <c r="Q226" s="399">
        <f t="shared" si="4"/>
        <v>2.0025041841797955E-3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5</v>
      </c>
      <c r="O227" s="399">
        <f t="shared" si="3"/>
        <v>1.2481278082875687E-3</v>
      </c>
      <c r="P227" s="337">
        <f t="shared" si="2"/>
        <v>700</v>
      </c>
      <c r="Q227" s="399">
        <f t="shared" si="4"/>
        <v>1.4755293988693229E-3</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3</v>
      </c>
      <c r="O228" s="399">
        <f t="shared" si="3"/>
        <v>7.4887668497254113E-4</v>
      </c>
      <c r="P228" s="337">
        <f t="shared" si="2"/>
        <v>142</v>
      </c>
      <c r="Q228" s="399">
        <f t="shared" si="4"/>
        <v>2.9932167805634834E-4</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2</v>
      </c>
      <c r="O229" s="399">
        <f t="shared" si="3"/>
        <v>4.992511233150275E-4</v>
      </c>
      <c r="P229" s="337">
        <f t="shared" si="2"/>
        <v>259</v>
      </c>
      <c r="Q229" s="399">
        <f t="shared" si="4"/>
        <v>5.4594587758164943E-4</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8</v>
      </c>
      <c r="O230" s="399">
        <f t="shared" si="3"/>
        <v>1.99700449326011E-3</v>
      </c>
      <c r="P230" s="337">
        <f t="shared" si="2"/>
        <v>831</v>
      </c>
      <c r="Q230" s="399">
        <f t="shared" si="4"/>
        <v>1.7516641863720105E-3</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11</v>
      </c>
      <c r="O231" s="561">
        <f t="shared" si="3"/>
        <v>2.7458811782326512E-3</v>
      </c>
      <c r="P231" s="562">
        <f t="shared" si="2"/>
        <v>1276</v>
      </c>
      <c r="Q231" s="561">
        <f t="shared" si="4"/>
        <v>2.6896793042246515E-3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4006</v>
      </c>
      <c r="O233" s="399">
        <f>SUM(O224:O232)</f>
        <v>1</v>
      </c>
      <c r="P233" s="337">
        <f>SUM(P224:P232)</f>
        <v>474406</v>
      </c>
      <c r="Q233" s="399">
        <f>SUM(Q224:Q232)</f>
        <v>1</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222" t="s">
        <v>236</v>
      </c>
      <c r="C235" s="224"/>
      <c r="D235" s="224"/>
      <c r="E235" s="224"/>
      <c r="F235" s="232"/>
      <c r="G235" s="224"/>
      <c r="H235" s="224"/>
      <c r="I235" s="224"/>
      <c r="J235" s="224"/>
      <c r="K235" s="224"/>
      <c r="L235" s="224"/>
      <c r="M235" s="224"/>
      <c r="N235" s="232" t="s">
        <v>113</v>
      </c>
      <c r="O235" s="224" t="s">
        <v>114</v>
      </c>
      <c r="P235" s="232" t="s">
        <v>123</v>
      </c>
      <c r="Q235" s="224" t="s">
        <v>114</v>
      </c>
      <c r="R235" s="216"/>
      <c r="S235" s="222"/>
      <c r="T235" s="5"/>
    </row>
    <row r="236" spans="1:21" s="256" customFormat="1" ht="15.6" x14ac:dyDescent="0.3">
      <c r="A236" s="251"/>
      <c r="B236" s="259" t="s">
        <v>99</v>
      </c>
      <c r="C236" s="279"/>
      <c r="D236" s="279"/>
      <c r="E236" s="279"/>
      <c r="F236" s="252"/>
      <c r="G236" s="279"/>
      <c r="H236" s="279"/>
      <c r="I236" s="279"/>
      <c r="J236" s="279"/>
      <c r="K236" s="279"/>
      <c r="L236" s="279"/>
      <c r="M236" s="279"/>
      <c r="N236" s="259">
        <v>3880</v>
      </c>
      <c r="O236" s="280">
        <f t="shared" ref="O236:O243" si="5">N236/$N$245</f>
        <v>0.98477157360406087</v>
      </c>
      <c r="P236" s="269">
        <v>459124</v>
      </c>
      <c r="Q236" s="280">
        <f t="shared" ref="Q236:Q243" si="6">P236/$P$245</f>
        <v>0.9844482039208623</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39</v>
      </c>
      <c r="O237" s="399">
        <f t="shared" si="5"/>
        <v>9.8984771573604052E-3</v>
      </c>
      <c r="P237" s="337">
        <v>5326</v>
      </c>
      <c r="Q237" s="399">
        <f t="shared" si="6"/>
        <v>1.141994566627428E-2</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11</v>
      </c>
      <c r="O238" s="399">
        <f t="shared" si="5"/>
        <v>2.7918781725888324E-3</v>
      </c>
      <c r="P238" s="337">
        <v>950</v>
      </c>
      <c r="Q238" s="399">
        <f t="shared" si="6"/>
        <v>2.0369786674728813E-3</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4</v>
      </c>
      <c r="O239" s="399">
        <f t="shared" si="5"/>
        <v>1.0152284263959391E-3</v>
      </c>
      <c r="P239" s="337">
        <v>556</v>
      </c>
      <c r="Q239" s="399">
        <f t="shared" si="6"/>
        <v>1.1921685674893916E-3</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1</v>
      </c>
      <c r="O240" s="399">
        <f t="shared" si="5"/>
        <v>2.5380710659898478E-4</v>
      </c>
      <c r="P240" s="337">
        <v>34</v>
      </c>
      <c r="Q240" s="399">
        <f t="shared" si="6"/>
        <v>7.2902394414818908E-5</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1</v>
      </c>
      <c r="O241" s="399">
        <f t="shared" si="5"/>
        <v>2.5380710659898478E-4</v>
      </c>
      <c r="P241" s="337">
        <v>41</v>
      </c>
      <c r="Q241" s="399">
        <f t="shared" si="6"/>
        <v>8.7911710911987514E-5</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2</v>
      </c>
      <c r="O242" s="399">
        <f t="shared" si="5"/>
        <v>5.0761421319796957E-4</v>
      </c>
      <c r="P242" s="337">
        <v>110</v>
      </c>
      <c r="Q242" s="399">
        <f t="shared" si="6"/>
        <v>2.3586068781264943E-4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2</v>
      </c>
      <c r="O243" s="399">
        <f t="shared" si="5"/>
        <v>5.0761421319796957E-4</v>
      </c>
      <c r="P243" s="337">
        <v>236</v>
      </c>
      <c r="Q243" s="399">
        <f t="shared" si="6"/>
        <v>5.0602838476168427E-4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3940</v>
      </c>
      <c r="O245" s="399">
        <f>SUM(O236:O244)</f>
        <v>0.99999999999999989</v>
      </c>
      <c r="P245" s="337">
        <f>SUM(P236:P244)</f>
        <v>466377</v>
      </c>
      <c r="Q245" s="399">
        <f>SUM(Q236:Q244)</f>
        <v>0.99999999999999989</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222" t="s">
        <v>241</v>
      </c>
      <c r="C247" s="224"/>
      <c r="D247" s="224"/>
      <c r="E247" s="224"/>
      <c r="F247" s="232"/>
      <c r="G247" s="224"/>
      <c r="H247" s="224"/>
      <c r="I247" s="224"/>
      <c r="J247" s="224"/>
      <c r="K247" s="224"/>
      <c r="L247" s="224"/>
      <c r="M247" s="224"/>
      <c r="N247" s="232" t="s">
        <v>113</v>
      </c>
      <c r="O247" s="224" t="s">
        <v>114</v>
      </c>
      <c r="P247" s="232" t="s">
        <v>123</v>
      </c>
      <c r="Q247" s="224"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42</v>
      </c>
      <c r="O248" s="280">
        <f t="shared" ref="O248:O255" si="7">N248/$N$257</f>
        <v>0.66666666666666663</v>
      </c>
      <c r="P248" s="269">
        <v>5295</v>
      </c>
      <c r="Q248" s="280">
        <f t="shared" ref="Q248:Q255" si="8">P248/$P$257</f>
        <v>0.66856060606060608</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5</v>
      </c>
      <c r="O249" s="399">
        <f t="shared" si="7"/>
        <v>7.9365079365079361E-2</v>
      </c>
      <c r="P249" s="337">
        <v>503</v>
      </c>
      <c r="Q249" s="399">
        <f t="shared" si="8"/>
        <v>6.3510101010101017E-2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0</v>
      </c>
      <c r="O250" s="399">
        <f t="shared" si="7"/>
        <v>0</v>
      </c>
      <c r="P250" s="337">
        <v>0</v>
      </c>
      <c r="Q250" s="399">
        <f t="shared" si="8"/>
        <v>0</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1</v>
      </c>
      <c r="O251" s="399">
        <f t="shared" si="7"/>
        <v>1.5873015873015872E-2</v>
      </c>
      <c r="P251" s="337">
        <v>144</v>
      </c>
      <c r="Q251" s="399">
        <f t="shared" si="8"/>
        <v>1.8181818181818181E-2</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2</v>
      </c>
      <c r="O252" s="399">
        <f t="shared" si="7"/>
        <v>3.1746031746031744E-2</v>
      </c>
      <c r="P252" s="337">
        <v>108</v>
      </c>
      <c r="Q252" s="399">
        <f t="shared" si="8"/>
        <v>1.3636363636363636E-2</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1</v>
      </c>
      <c r="O253" s="399">
        <f t="shared" si="7"/>
        <v>1.5873015873015872E-2</v>
      </c>
      <c r="P253" s="337">
        <v>218</v>
      </c>
      <c r="Q253" s="399">
        <f t="shared" si="8"/>
        <v>2.7525252525252526E-2</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4</v>
      </c>
      <c r="O254" s="399">
        <f t="shared" si="7"/>
        <v>6.3492063492063489E-2</v>
      </c>
      <c r="P254" s="337">
        <v>667</v>
      </c>
      <c r="Q254" s="399">
        <f t="shared" si="8"/>
        <v>8.4217171717171718E-2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8</v>
      </c>
      <c r="O255" s="399">
        <f t="shared" si="7"/>
        <v>0.12698412698412698</v>
      </c>
      <c r="P255" s="337">
        <v>985</v>
      </c>
      <c r="Q255" s="399">
        <f t="shared" si="8"/>
        <v>0.12436868686868686</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63</v>
      </c>
      <c r="O257" s="399">
        <f>SUM(O248:O256)</f>
        <v>1</v>
      </c>
      <c r="P257" s="337">
        <f>SUM(P248:P256)</f>
        <v>7920</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222" t="s">
        <v>239</v>
      </c>
      <c r="C259" s="236"/>
      <c r="D259" s="236"/>
      <c r="E259" s="236"/>
      <c r="F259" s="236"/>
      <c r="G259" s="236"/>
      <c r="H259" s="237"/>
      <c r="I259" s="237"/>
      <c r="J259" s="237"/>
      <c r="K259" s="237"/>
      <c r="L259" s="237"/>
      <c r="M259" s="237"/>
      <c r="N259" s="232" t="s">
        <v>113</v>
      </c>
      <c r="O259" s="224" t="s">
        <v>114</v>
      </c>
      <c r="P259" s="232" t="s">
        <v>123</v>
      </c>
      <c r="Q259" s="224"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2</v>
      </c>
      <c r="O266" s="399">
        <f t="shared" si="9"/>
        <v>0.66666666666666663</v>
      </c>
      <c r="P266" s="337">
        <v>54</v>
      </c>
      <c r="Q266" s="399">
        <f t="shared" si="10"/>
        <v>0.49541284403669728</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1</v>
      </c>
      <c r="O267" s="399">
        <f t="shared" si="9"/>
        <v>0.33333333333333331</v>
      </c>
      <c r="P267" s="337">
        <v>55</v>
      </c>
      <c r="Q267" s="399">
        <f t="shared" si="10"/>
        <v>0.50458715596330272</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3</v>
      </c>
      <c r="O269" s="399">
        <f>SUM(O260:O267)</f>
        <v>1</v>
      </c>
      <c r="P269" s="337">
        <f>SUM(P260:P267)</f>
        <v>109</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405" t="s">
        <v>240</v>
      </c>
      <c r="C271" s="335"/>
      <c r="D271" s="335"/>
      <c r="E271" s="335"/>
      <c r="F271" s="335"/>
      <c r="G271" s="335"/>
      <c r="H271" s="400"/>
      <c r="I271" s="400"/>
      <c r="J271" s="400"/>
      <c r="K271" s="400"/>
      <c r="L271" s="400"/>
      <c r="M271" s="400"/>
      <c r="N271" s="406">
        <f>+N245+N257+N269</f>
        <v>4006</v>
      </c>
      <c r="O271" s="399"/>
      <c r="P271" s="407">
        <f>+P269+P257+P245</f>
        <v>474406</v>
      </c>
      <c r="Q271" s="399"/>
      <c r="R271" s="335"/>
      <c r="S271" s="338"/>
      <c r="T271" s="255"/>
    </row>
    <row r="272" spans="1:20" s="256" customFormat="1" ht="15.6" x14ac:dyDescent="0.3">
      <c r="A272" s="261"/>
      <c r="B272" s="40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SEPTEMBER 2010</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9" man="1"/>
    <brk id="131" max="14" man="1"/>
    <brk id="188"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156</v>
      </c>
      <c r="C5" s="184"/>
      <c r="D5" s="184"/>
      <c r="E5" s="184"/>
      <c r="F5" s="184"/>
      <c r="G5" s="184"/>
      <c r="H5" s="184"/>
      <c r="I5" s="184"/>
      <c r="J5" s="184"/>
      <c r="K5" s="184"/>
      <c r="L5" s="184"/>
      <c r="M5" s="184"/>
      <c r="N5" s="184"/>
      <c r="O5" s="184"/>
      <c r="P5" s="184"/>
      <c r="Q5" s="184"/>
      <c r="R5" s="184"/>
      <c r="S5" s="184"/>
      <c r="T5" s="5"/>
    </row>
    <row r="6" spans="1:20" ht="15.6" x14ac:dyDescent="0.3">
      <c r="A6" s="182"/>
      <c r="B6" s="240" t="s">
        <v>158</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0.88239999999999996</v>
      </c>
      <c r="P16" s="247" t="s">
        <v>161</v>
      </c>
      <c r="Q16" s="246">
        <v>0.1176</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40564</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8"/>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298"/>
      <c r="D26" s="298" t="s">
        <v>162</v>
      </c>
      <c r="E26" s="298"/>
      <c r="F26" s="298" t="s">
        <v>162</v>
      </c>
      <c r="G26" s="298"/>
      <c r="H26" s="298" t="s">
        <v>162</v>
      </c>
      <c r="I26" s="298"/>
      <c r="J26" s="298" t="s">
        <v>162</v>
      </c>
      <c r="K26" s="298"/>
      <c r="L26" s="298" t="s">
        <v>163</v>
      </c>
      <c r="M26" s="298"/>
      <c r="N26" s="298" t="s">
        <v>163</v>
      </c>
      <c r="O26" s="298"/>
      <c r="P26" s="293"/>
      <c r="Q26" s="294"/>
      <c r="R26" s="294"/>
      <c r="S26" s="295"/>
      <c r="T26" s="255"/>
    </row>
    <row r="27" spans="1:20" s="256" customFormat="1" ht="15.6" x14ac:dyDescent="0.3">
      <c r="A27" s="296"/>
      <c r="B27" s="297" t="s">
        <v>10</v>
      </c>
      <c r="C27" s="298"/>
      <c r="D27" s="298" t="s">
        <v>164</v>
      </c>
      <c r="E27" s="298"/>
      <c r="F27" s="298" t="s">
        <v>164</v>
      </c>
      <c r="G27" s="298"/>
      <c r="H27" s="298" t="s">
        <v>164</v>
      </c>
      <c r="I27" s="298"/>
      <c r="J27" s="298" t="s">
        <v>164</v>
      </c>
      <c r="K27" s="298"/>
      <c r="L27" s="298" t="s">
        <v>165</v>
      </c>
      <c r="M27" s="298"/>
      <c r="N27" s="298" t="s">
        <v>165</v>
      </c>
      <c r="O27" s="298"/>
      <c r="P27" s="293"/>
      <c r="Q27" s="294"/>
      <c r="R27" s="294"/>
      <c r="S27" s="295"/>
      <c r="T27" s="255"/>
    </row>
    <row r="28" spans="1:20" s="256" customFormat="1" ht="15.6" x14ac:dyDescent="0.3">
      <c r="A28" s="296"/>
      <c r="B28" s="297" t="s">
        <v>136</v>
      </c>
      <c r="C28" s="298"/>
      <c r="D28" s="298" t="s">
        <v>164</v>
      </c>
      <c r="E28" s="298"/>
      <c r="F28" s="298" t="s">
        <v>164</v>
      </c>
      <c r="G28" s="298"/>
      <c r="H28" s="298" t="s">
        <v>164</v>
      </c>
      <c r="I28" s="298"/>
      <c r="J28" s="298" t="s">
        <v>164</v>
      </c>
      <c r="K28" s="298"/>
      <c r="L28" s="298" t="s">
        <v>165</v>
      </c>
      <c r="M28" s="298"/>
      <c r="N28" s="298" t="s">
        <v>165</v>
      </c>
      <c r="O28" s="298"/>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186701.785</v>
      </c>
      <c r="I31" s="301"/>
      <c r="J31" s="302">
        <f>J30*J37</f>
        <v>277298.06100000005</v>
      </c>
      <c r="K31" s="301"/>
      <c r="L31" s="303">
        <f>L30*L37</f>
        <v>61672.792999999998</v>
      </c>
      <c r="M31" s="301"/>
      <c r="N31" s="302">
        <f>N30*N37</f>
        <v>47440.61</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185526.071</v>
      </c>
      <c r="I32" s="306"/>
      <c r="J32" s="308">
        <f>J36*J30</f>
        <v>275551.83659999998</v>
      </c>
      <c r="K32" s="307"/>
      <c r="L32" s="307">
        <f>L36*L30</f>
        <v>61284.418000000005</v>
      </c>
      <c r="M32" s="307"/>
      <c r="N32" s="308">
        <f>N36*N30</f>
        <v>47141.86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186701.785</v>
      </c>
      <c r="I34" s="301"/>
      <c r="J34" s="301">
        <f>J33*J37</f>
        <v>192823.155</v>
      </c>
      <c r="K34" s="301"/>
      <c r="L34" s="301">
        <f>L33*L37</f>
        <v>61672.792999999998</v>
      </c>
      <c r="M34" s="301"/>
      <c r="N34" s="301">
        <f>N33*N37</f>
        <v>33208.427000000003</v>
      </c>
      <c r="O34" s="301"/>
      <c r="P34" s="301"/>
      <c r="Q34" s="304"/>
      <c r="R34" s="301">
        <f>SUM(C34:N34)</f>
        <v>474406.16000000003</v>
      </c>
      <c r="S34" s="305"/>
      <c r="T34" s="255"/>
    </row>
    <row r="35" spans="1:20" s="256" customFormat="1" ht="15.6" x14ac:dyDescent="0.3">
      <c r="A35" s="296"/>
      <c r="B35" s="297" t="s">
        <v>287</v>
      </c>
      <c r="C35" s="306"/>
      <c r="D35" s="307">
        <f>D36*D33</f>
        <v>0</v>
      </c>
      <c r="E35" s="306"/>
      <c r="F35" s="307">
        <f>F36*F33</f>
        <v>0</v>
      </c>
      <c r="G35" s="307"/>
      <c r="H35" s="307">
        <f>H36*H33</f>
        <v>185526.071</v>
      </c>
      <c r="I35" s="306"/>
      <c r="J35" s="307">
        <f>J36*J33</f>
        <v>191608.89300000001</v>
      </c>
      <c r="K35" s="307"/>
      <c r="L35" s="307">
        <f>L36*L33</f>
        <v>61284.418000000005</v>
      </c>
      <c r="M35" s="307"/>
      <c r="N35" s="307">
        <f>N36*N33</f>
        <v>32999.302000000003</v>
      </c>
      <c r="O35" s="307"/>
      <c r="P35" s="307"/>
      <c r="Q35" s="309"/>
      <c r="R35" s="307">
        <f>SUM(C35:N35)</f>
        <v>471418.68400000007</v>
      </c>
      <c r="S35" s="305"/>
      <c r="T35" s="255"/>
    </row>
    <row r="36" spans="1:20" ht="15.6" x14ac:dyDescent="0.3">
      <c r="A36" s="310"/>
      <c r="B36" s="311" t="s">
        <v>149</v>
      </c>
      <c r="C36" s="312"/>
      <c r="D36" s="313">
        <v>0</v>
      </c>
      <c r="E36" s="314"/>
      <c r="F36" s="313">
        <v>0</v>
      </c>
      <c r="G36" s="315"/>
      <c r="H36" s="313">
        <v>0.6082822</v>
      </c>
      <c r="I36" s="315"/>
      <c r="J36" s="313">
        <v>0.6082822</v>
      </c>
      <c r="K36" s="315"/>
      <c r="L36" s="313">
        <v>0.94283720000000004</v>
      </c>
      <c r="M36" s="315"/>
      <c r="N36" s="313">
        <v>0.94283720000000004</v>
      </c>
      <c r="O36" s="316"/>
      <c r="P36" s="316"/>
      <c r="Q36" s="317"/>
      <c r="R36" s="316"/>
      <c r="S36" s="318"/>
      <c r="T36" s="5"/>
    </row>
    <row r="37" spans="1:20" ht="15.6" x14ac:dyDescent="0.3">
      <c r="A37" s="310"/>
      <c r="B37" s="311" t="s">
        <v>150</v>
      </c>
      <c r="C37" s="312"/>
      <c r="D37" s="313">
        <v>0</v>
      </c>
      <c r="E37" s="314"/>
      <c r="F37" s="313">
        <v>0</v>
      </c>
      <c r="G37" s="315"/>
      <c r="H37" s="313">
        <v>0.61213700000000004</v>
      </c>
      <c r="I37" s="315"/>
      <c r="J37" s="313">
        <v>0.61213700000000004</v>
      </c>
      <c r="K37" s="315"/>
      <c r="L37" s="313">
        <v>0.94881219999999999</v>
      </c>
      <c r="M37" s="315"/>
      <c r="N37" s="313">
        <v>0.94881219999999999</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1.1197500000000001E-2</v>
      </c>
      <c r="I39" s="321"/>
      <c r="J39" s="320">
        <v>1.345E-2</v>
      </c>
      <c r="K39" s="321"/>
      <c r="L39" s="320">
        <v>2.0397499999999999E-2</v>
      </c>
      <c r="M39" s="321"/>
      <c r="N39" s="320">
        <v>2.1850000000000001E-2</v>
      </c>
      <c r="O39" s="321"/>
      <c r="P39" s="320"/>
      <c r="Q39" s="294"/>
      <c r="R39" s="321"/>
      <c r="S39" s="295"/>
      <c r="T39" s="255"/>
    </row>
    <row r="40" spans="1:20" s="256" customFormat="1" ht="15.6" x14ac:dyDescent="0.3">
      <c r="A40" s="291"/>
      <c r="B40" s="292" t="s">
        <v>14</v>
      </c>
      <c r="C40" s="292"/>
      <c r="D40" s="320">
        <v>0</v>
      </c>
      <c r="E40" s="292"/>
      <c r="F40" s="320">
        <v>0</v>
      </c>
      <c r="G40" s="321"/>
      <c r="H40" s="320">
        <v>9.2359E-3</v>
      </c>
      <c r="I40" s="321"/>
      <c r="J40" s="320">
        <v>1.0149999999999999E-2</v>
      </c>
      <c r="K40" s="321"/>
      <c r="L40" s="320">
        <v>1.38359E-2</v>
      </c>
      <c r="M40" s="321"/>
      <c r="N40" s="320">
        <v>1.435E-2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1.1197500000000001E-2</v>
      </c>
      <c r="I42" s="321"/>
      <c r="J42" s="320">
        <v>1.1993500000000001E-2</v>
      </c>
      <c r="K42" s="321"/>
      <c r="L42" s="320">
        <f>+L39</f>
        <v>2.0397499999999999E-2</v>
      </c>
      <c r="M42" s="321"/>
      <c r="N42" s="320">
        <v>2.11515E-2</v>
      </c>
      <c r="O42" s="321"/>
      <c r="P42" s="320"/>
      <c r="Q42" s="294"/>
      <c r="R42" s="321">
        <f>SUMPRODUCT(D42:N42,D34:N34)/R34</f>
        <v>1.3413815254713388E-2</v>
      </c>
      <c r="S42" s="295"/>
      <c r="T42" s="255"/>
    </row>
    <row r="43" spans="1:20" s="256" customFormat="1" ht="15.6" x14ac:dyDescent="0.3">
      <c r="A43" s="291"/>
      <c r="B43" s="292" t="s">
        <v>290</v>
      </c>
      <c r="C43" s="292"/>
      <c r="D43" s="320">
        <f>+D40</f>
        <v>0</v>
      </c>
      <c r="E43" s="292"/>
      <c r="F43" s="320">
        <v>0</v>
      </c>
      <c r="G43" s="321"/>
      <c r="H43" s="320">
        <f>+H40</f>
        <v>9.2359E-3</v>
      </c>
      <c r="I43" s="321"/>
      <c r="J43" s="320">
        <v>9.6339000000000008E-3</v>
      </c>
      <c r="K43" s="321"/>
      <c r="L43" s="320">
        <f>+L40</f>
        <v>1.38359E-2</v>
      </c>
      <c r="M43" s="321"/>
      <c r="N43" s="320">
        <v>1.4212900000000001E-2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0.24999994431701641</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40560</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40374</v>
      </c>
      <c r="Q55" s="331"/>
      <c r="R55" s="330">
        <v>40465</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94</v>
      </c>
      <c r="O56" s="292"/>
      <c r="P56" s="330">
        <v>40466</v>
      </c>
      <c r="Q56" s="331"/>
      <c r="R56" s="330">
        <v>40559</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40547</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300</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222"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474406</v>
      </c>
      <c r="K66" s="336"/>
      <c r="L66" s="336">
        <f>2988+186+19-1</f>
        <v>3192</v>
      </c>
      <c r="M66" s="336"/>
      <c r="N66" s="336">
        <f>186+19</f>
        <v>205</v>
      </c>
      <c r="O66" s="336"/>
      <c r="P66" s="336">
        <v>0</v>
      </c>
      <c r="Q66" s="336"/>
      <c r="R66" s="337">
        <f>+J66-L66+N66-P66</f>
        <v>471419</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474406</v>
      </c>
      <c r="K69" s="336"/>
      <c r="L69" s="336">
        <f>SUM(L66:L68)</f>
        <v>3192</v>
      </c>
      <c r="M69" s="336"/>
      <c r="N69" s="336">
        <f>SUM(N66:N68)</f>
        <v>205</v>
      </c>
      <c r="O69" s="336"/>
      <c r="P69" s="336">
        <f>SUM(P66:P68)</f>
        <v>0</v>
      </c>
      <c r="Q69" s="336"/>
      <c r="R69" s="336">
        <f>SUM(R66:R68)</f>
        <v>471419</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474406</v>
      </c>
      <c r="K82" s="336"/>
      <c r="L82" s="336"/>
      <c r="M82" s="336"/>
      <c r="N82" s="336"/>
      <c r="O82" s="336"/>
      <c r="P82" s="336"/>
      <c r="Q82" s="336"/>
      <c r="R82" s="336">
        <f>SUM(R69:R81)</f>
        <v>471419</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222" t="s">
        <v>31</v>
      </c>
      <c r="C85" s="222"/>
      <c r="D85" s="222"/>
      <c r="E85" s="222"/>
      <c r="F85" s="222"/>
      <c r="G85" s="222"/>
      <c r="H85" s="223" t="s">
        <v>106</v>
      </c>
      <c r="I85" s="224"/>
      <c r="J85" s="225">
        <f>+P189</f>
        <v>40543</v>
      </c>
      <c r="K85" s="224"/>
      <c r="L85" s="224"/>
      <c r="M85" s="224"/>
      <c r="N85" s="224"/>
      <c r="O85" s="224"/>
      <c r="P85" s="224" t="s">
        <v>119</v>
      </c>
      <c r="Q85" s="224"/>
      <c r="R85" s="224"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3192-11</f>
        <v>3181</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3571+446-752-84+32</f>
        <v>3213</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56+10</f>
        <v>66</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37</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244</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3181</v>
      </c>
      <c r="Q94" s="335"/>
      <c r="R94" s="336">
        <f>SUM(R86:R93)</f>
        <v>3560</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-19</v>
      </c>
      <c r="Q95" s="335"/>
      <c r="R95" s="336">
        <f>-P95</f>
        <v>19</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0</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3162</v>
      </c>
      <c r="Q98" s="335"/>
      <c r="R98" s="336">
        <f>R94+R96+R95+R97</f>
        <v>3579</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-119-98-6</f>
        <v>-223</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-266</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-538</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-596</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-324</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-181</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11</v>
      </c>
      <c r="Q112" s="335"/>
      <c r="R112" s="337">
        <v>-11</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-243</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-1186</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-3</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-183</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-1176</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-1214</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-388</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-209</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-3173</v>
      </c>
      <c r="Q127" s="336"/>
      <c r="R127" s="336">
        <f>SUM(R99:R126)</f>
        <v>-3579</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DECEMBER 2010</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23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11</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11</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-11</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v>0</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471419</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471419</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+'Sept 10'!O176</f>
        <v>86905</v>
      </c>
      <c r="P174" s="337">
        <f>+'Sept 10'!P176</f>
        <v>8354</v>
      </c>
      <c r="Q174" s="335"/>
      <c r="R174" s="337">
        <f>O174+P174</f>
        <v>95259</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v>183</v>
      </c>
      <c r="P175" s="336">
        <f>-P95-P119</f>
        <v>22</v>
      </c>
      <c r="Q175" s="335"/>
      <c r="R175" s="337">
        <f>O175+P175</f>
        <v>205</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87088</v>
      </c>
      <c r="P176" s="337">
        <f>P175+P174</f>
        <v>8376</v>
      </c>
      <c r="Q176" s="335"/>
      <c r="R176" s="337">
        <f>O176+P176</f>
        <v>95464</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64536</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2.7222222222222223</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1.48</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3.8673267326732672</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2.73</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DECEMBER 2010</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238" t="s">
        <v>78</v>
      </c>
      <c r="C189" s="229"/>
      <c r="D189" s="229"/>
      <c r="E189" s="229"/>
      <c r="F189" s="229"/>
      <c r="G189" s="230"/>
      <c r="H189" s="230"/>
      <c r="I189" s="230"/>
      <c r="J189" s="230"/>
      <c r="K189" s="230"/>
      <c r="L189" s="230"/>
      <c r="M189" s="230"/>
      <c r="N189" s="230"/>
      <c r="O189" s="230"/>
      <c r="P189" s="230">
        <v>40543</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2.6890000000000001E-2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1.3413815254713388E-2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1.3476184745286612E-2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7.5441710265047235E-3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15</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6.7284140588441121E-3</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0.1338</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222" t="s">
        <v>87</v>
      </c>
      <c r="C205" s="224"/>
      <c r="D205" s="224"/>
      <c r="E205" s="224"/>
      <c r="F205" s="232"/>
      <c r="G205" s="224"/>
      <c r="H205" s="224"/>
      <c r="I205" s="224"/>
      <c r="J205" s="224"/>
      <c r="K205" s="224"/>
      <c r="L205" s="224"/>
      <c r="M205" s="224"/>
      <c r="N205" s="224"/>
      <c r="O205" s="224" t="s">
        <v>113</v>
      </c>
      <c r="P205" s="232"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1</v>
      </c>
      <c r="P206" s="277">
        <v>190</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65</v>
      </c>
      <c r="P207" s="371">
        <f>+P257</f>
        <v>8349</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3</v>
      </c>
      <c r="P208" s="371">
        <f>+P269</f>
        <v>109</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84" t="s">
        <v>93</v>
      </c>
      <c r="C212" s="335"/>
      <c r="D212" s="335"/>
      <c r="E212" s="335"/>
      <c r="F212" s="335"/>
      <c r="G212" s="335"/>
      <c r="H212" s="335"/>
      <c r="I212" s="335"/>
      <c r="J212" s="335"/>
      <c r="K212" s="335"/>
      <c r="L212" s="335"/>
      <c r="M212" s="335"/>
      <c r="N212" s="335"/>
      <c r="O212" s="369"/>
      <c r="P212" s="371">
        <f>R159</f>
        <v>11</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'Sept 10'!P213+P212</f>
        <v>2996</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0</v>
      </c>
      <c r="P215" s="371">
        <v>0</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0</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0</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2</v>
      </c>
      <c r="P219" s="371">
        <v>172</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15.03</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222" t="s">
        <v>298</v>
      </c>
      <c r="C223" s="224"/>
      <c r="D223" s="224"/>
      <c r="E223" s="224"/>
      <c r="F223" s="232"/>
      <c r="G223" s="224"/>
      <c r="H223" s="224"/>
      <c r="I223" s="224"/>
      <c r="J223" s="224"/>
      <c r="K223" s="224"/>
      <c r="L223" s="224"/>
      <c r="M223" s="224"/>
      <c r="N223" s="232" t="s">
        <v>113</v>
      </c>
      <c r="O223" s="224" t="s">
        <v>114</v>
      </c>
      <c r="P223" s="232" t="s">
        <v>123</v>
      </c>
      <c r="Q223" s="224" t="s">
        <v>114</v>
      </c>
      <c r="R223" s="216"/>
      <c r="S223" s="222"/>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3893</v>
      </c>
      <c r="O224" s="280">
        <f t="shared" ref="O224:O231" si="2">N224/$N$233</f>
        <v>0.98134610536929667</v>
      </c>
      <c r="P224" s="269">
        <f t="shared" ref="P224:P231" si="3">+P236+P248+P260</f>
        <v>460234</v>
      </c>
      <c r="Q224" s="280">
        <f t="shared" ref="Q224:Q231" si="4">P224/$P$233</f>
        <v>0.97627376070968719</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38</v>
      </c>
      <c r="O225" s="399">
        <f t="shared" si="2"/>
        <v>9.579026972523318E-3</v>
      </c>
      <c r="P225" s="337">
        <f t="shared" si="3"/>
        <v>7209</v>
      </c>
      <c r="Q225" s="399">
        <f t="shared" si="4"/>
        <v>1.5292128658369731E-2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13</v>
      </c>
      <c r="O226" s="399">
        <f t="shared" si="2"/>
        <v>3.2770355432316612E-3</v>
      </c>
      <c r="P226" s="337">
        <f t="shared" si="3"/>
        <v>1545</v>
      </c>
      <c r="Q226" s="399">
        <f t="shared" si="4"/>
        <v>3.2773392671911826E-3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5</v>
      </c>
      <c r="O227" s="399">
        <f t="shared" si="2"/>
        <v>1.2603982858583312E-3</v>
      </c>
      <c r="P227" s="337">
        <f t="shared" si="3"/>
        <v>303</v>
      </c>
      <c r="Q227" s="399">
        <f t="shared" si="4"/>
        <v>6.4274032230351346E-4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0</v>
      </c>
      <c r="O228" s="399">
        <f t="shared" si="2"/>
        <v>0</v>
      </c>
      <c r="P228" s="337">
        <f t="shared" si="3"/>
        <v>0</v>
      </c>
      <c r="Q228" s="399">
        <f t="shared" si="4"/>
        <v>0</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2</v>
      </c>
      <c r="O229" s="399">
        <f t="shared" si="2"/>
        <v>5.0415931434333251E-4</v>
      </c>
      <c r="P229" s="337">
        <f t="shared" si="3"/>
        <v>520</v>
      </c>
      <c r="Q229" s="399">
        <f t="shared" si="4"/>
        <v>1.1030526983426634E-3</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5</v>
      </c>
      <c r="O230" s="399">
        <f t="shared" si="2"/>
        <v>1.2603982858583312E-3</v>
      </c>
      <c r="P230" s="337">
        <f t="shared" si="3"/>
        <v>480</v>
      </c>
      <c r="Q230" s="399">
        <f t="shared" si="4"/>
        <v>1.018202490777843E-3</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11</v>
      </c>
      <c r="O231" s="561">
        <f t="shared" si="2"/>
        <v>2.7728762288883285E-3</v>
      </c>
      <c r="P231" s="562">
        <f t="shared" si="3"/>
        <v>1128</v>
      </c>
      <c r="Q231" s="561">
        <f t="shared" si="4"/>
        <v>2.3927758533279311E-3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3967</v>
      </c>
      <c r="O233" s="399">
        <f>SUM(O224:O232)</f>
        <v>1</v>
      </c>
      <c r="P233" s="337">
        <f>SUM(P224:P232)</f>
        <v>471419</v>
      </c>
      <c r="Q233" s="399">
        <f>SUM(Q224:Q232)</f>
        <v>1</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222" t="s">
        <v>236</v>
      </c>
      <c r="C235" s="224"/>
      <c r="D235" s="224"/>
      <c r="E235" s="224"/>
      <c r="F235" s="232"/>
      <c r="G235" s="224"/>
      <c r="H235" s="224"/>
      <c r="I235" s="224"/>
      <c r="J235" s="224"/>
      <c r="K235" s="224"/>
      <c r="L235" s="224"/>
      <c r="M235" s="224"/>
      <c r="N235" s="232" t="s">
        <v>113</v>
      </c>
      <c r="O235" s="224" t="s">
        <v>114</v>
      </c>
      <c r="P235" s="232" t="s">
        <v>123</v>
      </c>
      <c r="Q235" s="224" t="s">
        <v>114</v>
      </c>
      <c r="R235" s="216"/>
      <c r="S235" s="222"/>
      <c r="T235" s="5"/>
    </row>
    <row r="236" spans="1:21" s="256" customFormat="1" ht="15.6" x14ac:dyDescent="0.3">
      <c r="A236" s="251"/>
      <c r="B236" s="259" t="s">
        <v>99</v>
      </c>
      <c r="C236" s="279"/>
      <c r="D236" s="279"/>
      <c r="E236" s="279"/>
      <c r="F236" s="252"/>
      <c r="G236" s="279"/>
      <c r="H236" s="279"/>
      <c r="I236" s="279"/>
      <c r="J236" s="279"/>
      <c r="K236" s="279"/>
      <c r="L236" s="279"/>
      <c r="M236" s="279"/>
      <c r="N236" s="259">
        <v>3849</v>
      </c>
      <c r="O236" s="280">
        <f t="shared" ref="O236:O243" si="5">N236/$N$245</f>
        <v>0.98717619902539111</v>
      </c>
      <c r="P236" s="269">
        <v>454654</v>
      </c>
      <c r="Q236" s="280">
        <f t="shared" ref="Q236:Q243" si="6">P236/$P$245</f>
        <v>0.9820568039208486</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34</v>
      </c>
      <c r="O237" s="399">
        <f t="shared" si="5"/>
        <v>8.7201846627340349E-3</v>
      </c>
      <c r="P237" s="337">
        <v>6823</v>
      </c>
      <c r="Q237" s="399">
        <f t="shared" si="6"/>
        <v>1.4737742488028149E-2</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9</v>
      </c>
      <c r="O238" s="399">
        <f t="shared" si="5"/>
        <v>2.3082841754295974E-3</v>
      </c>
      <c r="P238" s="337">
        <v>1079</v>
      </c>
      <c r="Q238" s="399">
        <f t="shared" si="6"/>
        <v>2.3306498819554997E-3</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4</v>
      </c>
      <c r="O239" s="399">
        <f t="shared" si="5"/>
        <v>1.0259040779687098E-3</v>
      </c>
      <c r="P239" s="337">
        <v>136</v>
      </c>
      <c r="Q239" s="399">
        <f t="shared" si="6"/>
        <v>2.9376124554768111E-4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2</v>
      </c>
      <c r="O242" s="399">
        <f t="shared" si="5"/>
        <v>5.1295203898435492E-4</v>
      </c>
      <c r="P242" s="337">
        <v>79</v>
      </c>
      <c r="Q242" s="399">
        <f t="shared" si="6"/>
        <v>1.706407235166677E-4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1</v>
      </c>
      <c r="O243" s="399">
        <f t="shared" si="5"/>
        <v>2.5647601949217746E-4</v>
      </c>
      <c r="P243" s="337">
        <v>190</v>
      </c>
      <c r="Q243" s="399">
        <f t="shared" si="6"/>
        <v>4.1040174010337801E-4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3899</v>
      </c>
      <c r="O245" s="399">
        <f>SUM(O236:O244)</f>
        <v>1</v>
      </c>
      <c r="P245" s="337">
        <f>SUM(P236:P244)</f>
        <v>462961</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222" t="s">
        <v>241</v>
      </c>
      <c r="C247" s="224"/>
      <c r="D247" s="224"/>
      <c r="E247" s="224"/>
      <c r="F247" s="232"/>
      <c r="G247" s="224"/>
      <c r="H247" s="224"/>
      <c r="I247" s="224"/>
      <c r="J247" s="224"/>
      <c r="K247" s="224"/>
      <c r="L247" s="224"/>
      <c r="M247" s="224"/>
      <c r="N247" s="232" t="s">
        <v>113</v>
      </c>
      <c r="O247" s="224" t="s">
        <v>114</v>
      </c>
      <c r="P247" s="232" t="s">
        <v>123</v>
      </c>
      <c r="Q247" s="224"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44</v>
      </c>
      <c r="O248" s="280">
        <f t="shared" ref="O248:O255" si="7">N248/$N$257</f>
        <v>0.67692307692307696</v>
      </c>
      <c r="P248" s="269">
        <v>5580</v>
      </c>
      <c r="Q248" s="280">
        <f t="shared" ref="Q248:Q255" si="8">P248/$P$257</f>
        <v>0.66834351419331661</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4</v>
      </c>
      <c r="O249" s="399">
        <f t="shared" si="7"/>
        <v>6.1538461538461542E-2</v>
      </c>
      <c r="P249" s="337">
        <v>386</v>
      </c>
      <c r="Q249" s="399">
        <f t="shared" si="8"/>
        <v>4.6233081806204335E-2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4</v>
      </c>
      <c r="O250" s="399">
        <f t="shared" si="7"/>
        <v>6.1538461538461542E-2</v>
      </c>
      <c r="P250" s="337">
        <v>466</v>
      </c>
      <c r="Q250" s="399">
        <f t="shared" si="8"/>
        <v>5.5815067672775186E-2</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1</v>
      </c>
      <c r="O251" s="399">
        <f t="shared" si="7"/>
        <v>1.5384615384615385E-2</v>
      </c>
      <c r="P251" s="337">
        <v>167</v>
      </c>
      <c r="Q251" s="399">
        <f t="shared" si="8"/>
        <v>2.0002395496466641E-2</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2</v>
      </c>
      <c r="O253" s="399">
        <f t="shared" si="7"/>
        <v>3.0769230769230771E-2</v>
      </c>
      <c r="P253" s="337">
        <v>520</v>
      </c>
      <c r="Q253" s="399">
        <f t="shared" si="8"/>
        <v>6.2282908132710507E-2</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3</v>
      </c>
      <c r="O254" s="399">
        <f t="shared" si="7"/>
        <v>4.6153846153846156E-2</v>
      </c>
      <c r="P254" s="337">
        <v>401</v>
      </c>
      <c r="Q254" s="399">
        <f t="shared" si="8"/>
        <v>4.8029704156186369E-2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7</v>
      </c>
      <c r="O255" s="399">
        <f t="shared" si="7"/>
        <v>0.1076923076923077</v>
      </c>
      <c r="P255" s="337">
        <v>829</v>
      </c>
      <c r="Q255" s="399">
        <f t="shared" si="8"/>
        <v>9.9293328542340395E-2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65</v>
      </c>
      <c r="O257" s="399">
        <f>SUM(O248:O256)</f>
        <v>1</v>
      </c>
      <c r="P257" s="337">
        <f>SUM(P248:P256)</f>
        <v>8349</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222" t="s">
        <v>239</v>
      </c>
      <c r="C259" s="236"/>
      <c r="D259" s="236"/>
      <c r="E259" s="236"/>
      <c r="F259" s="236"/>
      <c r="G259" s="236"/>
      <c r="H259" s="237"/>
      <c r="I259" s="237"/>
      <c r="J259" s="237"/>
      <c r="K259" s="237"/>
      <c r="L259" s="237"/>
      <c r="M259" s="237"/>
      <c r="N259" s="232" t="s">
        <v>113</v>
      </c>
      <c r="O259" s="224" t="s">
        <v>114</v>
      </c>
      <c r="P259" s="232" t="s">
        <v>123</v>
      </c>
      <c r="Q259" s="224"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3</v>
      </c>
      <c r="O267" s="399">
        <f t="shared" si="9"/>
        <v>1</v>
      </c>
      <c r="P267" s="337">
        <v>109</v>
      </c>
      <c r="Q267" s="399">
        <f t="shared" si="10"/>
        <v>1</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3</v>
      </c>
      <c r="O269" s="399">
        <f>SUM(O260:O267)</f>
        <v>1</v>
      </c>
      <c r="P269" s="337">
        <f>SUM(P260:P267)</f>
        <v>109</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405" t="s">
        <v>240</v>
      </c>
      <c r="C271" s="335"/>
      <c r="D271" s="335"/>
      <c r="E271" s="335"/>
      <c r="F271" s="335"/>
      <c r="G271" s="335"/>
      <c r="H271" s="400"/>
      <c r="I271" s="400"/>
      <c r="J271" s="400"/>
      <c r="K271" s="400"/>
      <c r="L271" s="400"/>
      <c r="M271" s="400"/>
      <c r="N271" s="406">
        <f>+N245+N257+N269</f>
        <v>3967</v>
      </c>
      <c r="O271" s="399"/>
      <c r="P271" s="407">
        <f>+P269+P257+P245</f>
        <v>471419</v>
      </c>
      <c r="Q271" s="399"/>
      <c r="R271" s="335"/>
      <c r="S271" s="338"/>
      <c r="T271" s="255"/>
    </row>
    <row r="272" spans="1:20" s="256" customFormat="1" ht="15.6" x14ac:dyDescent="0.3">
      <c r="A272" s="261"/>
      <c r="B272" s="40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DECEMBER 2010</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9" man="1"/>
    <brk id="131" max="14" man="1"/>
    <brk id="188"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156</v>
      </c>
      <c r="C5" s="184"/>
      <c r="D5" s="184"/>
      <c r="E5" s="184"/>
      <c r="F5" s="184"/>
      <c r="G5" s="184"/>
      <c r="H5" s="184"/>
      <c r="I5" s="184"/>
      <c r="J5" s="184"/>
      <c r="K5" s="184"/>
      <c r="L5" s="184"/>
      <c r="M5" s="184"/>
      <c r="N5" s="184"/>
      <c r="O5" s="184"/>
      <c r="P5" s="184"/>
      <c r="Q5" s="184"/>
      <c r="R5" s="184"/>
      <c r="S5" s="184"/>
      <c r="T5" s="5"/>
    </row>
    <row r="6" spans="1:20" ht="15.6" x14ac:dyDescent="0.3">
      <c r="A6" s="182"/>
      <c r="B6" s="240" t="s">
        <v>158</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0.8821</v>
      </c>
      <c r="P16" s="247" t="s">
        <v>161</v>
      </c>
      <c r="Q16" s="246">
        <v>0.1179</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40651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8"/>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298"/>
      <c r="D26" s="298" t="s">
        <v>162</v>
      </c>
      <c r="E26" s="298"/>
      <c r="F26" s="298" t="s">
        <v>162</v>
      </c>
      <c r="G26" s="298"/>
      <c r="H26" s="298" t="s">
        <v>162</v>
      </c>
      <c r="I26" s="298"/>
      <c r="J26" s="298" t="s">
        <v>162</v>
      </c>
      <c r="K26" s="298"/>
      <c r="L26" s="298" t="s">
        <v>163</v>
      </c>
      <c r="M26" s="298"/>
      <c r="N26" s="298" t="s">
        <v>163</v>
      </c>
      <c r="O26" s="298"/>
      <c r="P26" s="293"/>
      <c r="Q26" s="294"/>
      <c r="R26" s="294"/>
      <c r="S26" s="295"/>
      <c r="T26" s="255"/>
    </row>
    <row r="27" spans="1:20" s="256" customFormat="1" ht="15.6" x14ac:dyDescent="0.3">
      <c r="A27" s="296"/>
      <c r="B27" s="297" t="s">
        <v>10</v>
      </c>
      <c r="C27" s="298"/>
      <c r="D27" s="298" t="s">
        <v>164</v>
      </c>
      <c r="E27" s="298"/>
      <c r="F27" s="298" t="s">
        <v>164</v>
      </c>
      <c r="G27" s="298"/>
      <c r="H27" s="298" t="s">
        <v>164</v>
      </c>
      <c r="I27" s="298"/>
      <c r="J27" s="298" t="s">
        <v>164</v>
      </c>
      <c r="K27" s="298"/>
      <c r="L27" s="298" t="s">
        <v>165</v>
      </c>
      <c r="M27" s="298"/>
      <c r="N27" s="298" t="s">
        <v>165</v>
      </c>
      <c r="O27" s="298"/>
      <c r="P27" s="293"/>
      <c r="Q27" s="294"/>
      <c r="R27" s="294"/>
      <c r="S27" s="295"/>
      <c r="T27" s="255"/>
    </row>
    <row r="28" spans="1:20" s="256" customFormat="1" ht="15.6" x14ac:dyDescent="0.3">
      <c r="A28" s="296"/>
      <c r="B28" s="297" t="s">
        <v>136</v>
      </c>
      <c r="C28" s="298"/>
      <c r="D28" s="298" t="s">
        <v>164</v>
      </c>
      <c r="E28" s="298"/>
      <c r="F28" s="298" t="s">
        <v>164</v>
      </c>
      <c r="G28" s="298"/>
      <c r="H28" s="298" t="s">
        <v>164</v>
      </c>
      <c r="I28" s="298"/>
      <c r="J28" s="298" t="s">
        <v>164</v>
      </c>
      <c r="K28" s="298"/>
      <c r="L28" s="298" t="s">
        <v>165</v>
      </c>
      <c r="M28" s="298"/>
      <c r="N28" s="298" t="s">
        <v>165</v>
      </c>
      <c r="O28" s="298"/>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185526.071</v>
      </c>
      <c r="I31" s="301"/>
      <c r="J31" s="302">
        <f>J30*J37</f>
        <v>275551.83659999998</v>
      </c>
      <c r="K31" s="301"/>
      <c r="L31" s="303">
        <f>L30*L37</f>
        <v>61284.418000000005</v>
      </c>
      <c r="M31" s="301"/>
      <c r="N31" s="302">
        <f>N30*N37</f>
        <v>47141.86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184565.016</v>
      </c>
      <c r="I32" s="306"/>
      <c r="J32" s="308">
        <f>J36*J30</f>
        <v>274124.43359999999</v>
      </c>
      <c r="K32" s="307"/>
      <c r="L32" s="307">
        <f>L36*L30</f>
        <v>60966.945</v>
      </c>
      <c r="M32" s="307"/>
      <c r="N32" s="308">
        <f>N36*N30</f>
        <v>46897.65</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185526.071</v>
      </c>
      <c r="I34" s="301"/>
      <c r="J34" s="301">
        <f>J33*J37</f>
        <v>191608.89300000001</v>
      </c>
      <c r="K34" s="301"/>
      <c r="L34" s="301">
        <f>L33*L37</f>
        <v>61284.418000000005</v>
      </c>
      <c r="M34" s="301"/>
      <c r="N34" s="301">
        <f>N33*N37</f>
        <v>32999.302000000003</v>
      </c>
      <c r="O34" s="301"/>
      <c r="P34" s="301"/>
      <c r="Q34" s="304"/>
      <c r="R34" s="301">
        <f>SUM(C34:N34)</f>
        <v>471418.68400000007</v>
      </c>
      <c r="S34" s="305"/>
      <c r="T34" s="255"/>
    </row>
    <row r="35" spans="1:20" s="256" customFormat="1" ht="15.6" x14ac:dyDescent="0.3">
      <c r="A35" s="296"/>
      <c r="B35" s="297" t="s">
        <v>287</v>
      </c>
      <c r="C35" s="306"/>
      <c r="D35" s="307">
        <f>D36*D33</f>
        <v>0</v>
      </c>
      <c r="E35" s="306"/>
      <c r="F35" s="307">
        <f>F36*F33</f>
        <v>0</v>
      </c>
      <c r="G35" s="307"/>
      <c r="H35" s="307">
        <f>H36*H33</f>
        <v>184565.016</v>
      </c>
      <c r="I35" s="306"/>
      <c r="J35" s="307">
        <f>J36*J33</f>
        <v>190616.32799999998</v>
      </c>
      <c r="K35" s="307"/>
      <c r="L35" s="307">
        <f>L36*L33</f>
        <v>60966.945</v>
      </c>
      <c r="M35" s="307"/>
      <c r="N35" s="307">
        <f>N36*N33</f>
        <v>32828.355000000003</v>
      </c>
      <c r="O35" s="307"/>
      <c r="P35" s="307"/>
      <c r="Q35" s="309"/>
      <c r="R35" s="307">
        <f>SUM(C35:N35)</f>
        <v>468976.64399999997</v>
      </c>
      <c r="S35" s="305"/>
      <c r="T35" s="255"/>
    </row>
    <row r="36" spans="1:20" ht="15.6" x14ac:dyDescent="0.3">
      <c r="A36" s="310"/>
      <c r="B36" s="311" t="s">
        <v>149</v>
      </c>
      <c r="C36" s="312"/>
      <c r="D36" s="313">
        <v>0</v>
      </c>
      <c r="E36" s="314"/>
      <c r="F36" s="313">
        <v>0</v>
      </c>
      <c r="G36" s="315"/>
      <c r="H36" s="313">
        <v>0.60513119999999998</v>
      </c>
      <c r="I36" s="315"/>
      <c r="J36" s="313">
        <v>0.60513119999999998</v>
      </c>
      <c r="K36" s="315"/>
      <c r="L36" s="313">
        <v>0.93795300000000004</v>
      </c>
      <c r="M36" s="315"/>
      <c r="N36" s="313">
        <v>0.93795300000000004</v>
      </c>
      <c r="O36" s="316"/>
      <c r="P36" s="316"/>
      <c r="Q36" s="317"/>
      <c r="R36" s="316"/>
      <c r="S36" s="318"/>
      <c r="T36" s="5"/>
    </row>
    <row r="37" spans="1:20" ht="15.6" x14ac:dyDescent="0.3">
      <c r="A37" s="310"/>
      <c r="B37" s="311" t="s">
        <v>150</v>
      </c>
      <c r="C37" s="312"/>
      <c r="D37" s="313">
        <v>0</v>
      </c>
      <c r="E37" s="314"/>
      <c r="F37" s="313">
        <v>0</v>
      </c>
      <c r="G37" s="315"/>
      <c r="H37" s="313">
        <v>0.6082822</v>
      </c>
      <c r="I37" s="315"/>
      <c r="J37" s="313">
        <v>0.6082822</v>
      </c>
      <c r="K37" s="315"/>
      <c r="L37" s="313">
        <v>0.94283720000000004</v>
      </c>
      <c r="M37" s="315"/>
      <c r="N37" s="313">
        <v>0.94283720000000004</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1.1475000000000001E-2</v>
      </c>
      <c r="I39" s="321"/>
      <c r="J39" s="320">
        <v>1.358E-2</v>
      </c>
      <c r="K39" s="321"/>
      <c r="L39" s="320">
        <v>2.0674999999999999E-2</v>
      </c>
      <c r="M39" s="321"/>
      <c r="N39" s="320">
        <v>2.198E-2</v>
      </c>
      <c r="O39" s="321"/>
      <c r="P39" s="320"/>
      <c r="Q39" s="294"/>
      <c r="R39" s="321"/>
      <c r="S39" s="295"/>
      <c r="T39" s="255"/>
    </row>
    <row r="40" spans="1:20" s="256" customFormat="1" ht="15.6" x14ac:dyDescent="0.3">
      <c r="A40" s="291"/>
      <c r="B40" s="292" t="s">
        <v>14</v>
      </c>
      <c r="C40" s="292"/>
      <c r="D40" s="320">
        <v>0</v>
      </c>
      <c r="E40" s="292"/>
      <c r="F40" s="320">
        <v>0</v>
      </c>
      <c r="G40" s="321"/>
      <c r="H40" s="320">
        <v>1.1197500000000001E-2</v>
      </c>
      <c r="I40" s="321"/>
      <c r="J40" s="320">
        <v>1.345E-2</v>
      </c>
      <c r="K40" s="321"/>
      <c r="L40" s="320">
        <v>2.0397499999999999E-2</v>
      </c>
      <c r="M40" s="321"/>
      <c r="N40" s="320">
        <v>2.1850000000000001E-2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1.1475000000000001E-2</v>
      </c>
      <c r="I42" s="321"/>
      <c r="J42" s="320">
        <v>1.2271000000000001E-2</v>
      </c>
      <c r="K42" s="321"/>
      <c r="L42" s="320">
        <f>+L39</f>
        <v>2.0674999999999999E-2</v>
      </c>
      <c r="M42" s="321"/>
      <c r="N42" s="320">
        <v>2.1429E-2</v>
      </c>
      <c r="O42" s="321"/>
      <c r="P42" s="320"/>
      <c r="Q42" s="294"/>
      <c r="R42" s="321">
        <f>SUMPRODUCT(D42:N42,D34:N34)/R34</f>
        <v>1.3691315161017249E-2</v>
      </c>
      <c r="S42" s="295"/>
      <c r="T42" s="255"/>
    </row>
    <row r="43" spans="1:20" s="256" customFormat="1" ht="15.6" x14ac:dyDescent="0.3">
      <c r="A43" s="291"/>
      <c r="B43" s="292" t="s">
        <v>290</v>
      </c>
      <c r="C43" s="292"/>
      <c r="D43" s="320">
        <f>+D40</f>
        <v>0</v>
      </c>
      <c r="E43" s="292"/>
      <c r="F43" s="320">
        <v>0</v>
      </c>
      <c r="G43" s="321"/>
      <c r="H43" s="320">
        <f>+H40</f>
        <v>1.1197500000000001E-2</v>
      </c>
      <c r="I43" s="321"/>
      <c r="J43" s="320">
        <v>1.1993500000000001E-2</v>
      </c>
      <c r="K43" s="321"/>
      <c r="L43" s="320">
        <f>+L40</f>
        <v>2.0397499999999999E-2</v>
      </c>
      <c r="M43" s="321"/>
      <c r="N43" s="320">
        <v>2.11515E-2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0.24999990404640166</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40648</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94</v>
      </c>
      <c r="O55" s="329"/>
      <c r="P55" s="330">
        <v>40466</v>
      </c>
      <c r="Q55" s="331"/>
      <c r="R55" s="330">
        <v>40559</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88</v>
      </c>
      <c r="O56" s="292"/>
      <c r="P56" s="330">
        <v>40560</v>
      </c>
      <c r="Q56" s="331"/>
      <c r="R56" s="330">
        <v>40647</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40634</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301</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222"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471419</v>
      </c>
      <c r="K66" s="336"/>
      <c r="L66" s="336">
        <f>2442+308+113</f>
        <v>2863</v>
      </c>
      <c r="M66" s="336"/>
      <c r="N66" s="336">
        <f>308+113</f>
        <v>421</v>
      </c>
      <c r="O66" s="336"/>
      <c r="P66" s="336">
        <v>0</v>
      </c>
      <c r="Q66" s="336"/>
      <c r="R66" s="337">
        <f>+J66-L66+N66-P66</f>
        <v>468977</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471419</v>
      </c>
      <c r="K69" s="336"/>
      <c r="L69" s="336">
        <f>SUM(L66:L68)</f>
        <v>2863</v>
      </c>
      <c r="M69" s="336"/>
      <c r="N69" s="336">
        <f>SUM(N66:N68)</f>
        <v>421</v>
      </c>
      <c r="O69" s="336"/>
      <c r="P69" s="336">
        <f>SUM(P66:P68)</f>
        <v>0</v>
      </c>
      <c r="Q69" s="336"/>
      <c r="R69" s="336">
        <f>SUM(R66:R68)</f>
        <v>468977</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471419</v>
      </c>
      <c r="K82" s="336"/>
      <c r="L82" s="336"/>
      <c r="M82" s="336"/>
      <c r="N82" s="336"/>
      <c r="O82" s="336"/>
      <c r="P82" s="336"/>
      <c r="Q82" s="336"/>
      <c r="R82" s="336">
        <f>SUM(R69:R81)</f>
        <v>468977</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222" t="s">
        <v>31</v>
      </c>
      <c r="C85" s="222"/>
      <c r="D85" s="222"/>
      <c r="E85" s="222"/>
      <c r="F85" s="222"/>
      <c r="G85" s="222"/>
      <c r="H85" s="223" t="s">
        <v>106</v>
      </c>
      <c r="I85" s="224"/>
      <c r="J85" s="225">
        <f>+P189</f>
        <v>40633</v>
      </c>
      <c r="K85" s="224"/>
      <c r="L85" s="224"/>
      <c r="M85" s="224"/>
      <c r="N85" s="224"/>
      <c r="O85" s="224"/>
      <c r="P85" s="224" t="s">
        <v>119</v>
      </c>
      <c r="Q85" s="224"/>
      <c r="R85" s="224"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2863-47</f>
        <v>2816</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3819+452-1057-91+57</f>
        <v>3180</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22+8</f>
        <v>30</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36</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286</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2816</v>
      </c>
      <c r="Q94" s="335"/>
      <c r="R94" s="336">
        <f>SUM(R86:R93)</f>
        <v>3532</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-11</v>
      </c>
      <c r="Q95" s="335"/>
      <c r="R95" s="336">
        <f>-P95</f>
        <v>11</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38</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2805</v>
      </c>
      <c r="Q98" s="335"/>
      <c r="R98" s="336">
        <f>R94+R96+R95+R97</f>
        <v>3581</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-116-146-6</f>
        <v>-268</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-209</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-513</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-567</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-305</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-171</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47</v>
      </c>
      <c r="Q112" s="335"/>
      <c r="R112" s="337">
        <v>-47</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-236</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-1254</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-410</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-961</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-993</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-317</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-171</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-2852</v>
      </c>
      <c r="Q127" s="336"/>
      <c r="R127" s="336">
        <f>SUM(R99:R126)</f>
        <v>-3581</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MARCH 2011</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23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47</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47</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-47</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v>0</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468977</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468977</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+'Dec 10'!O176</f>
        <v>87088</v>
      </c>
      <c r="P174" s="337">
        <f>+'Dec 10'!P176</f>
        <v>8376</v>
      </c>
      <c r="Q174" s="335"/>
      <c r="R174" s="337">
        <f>O174+P174</f>
        <v>95464</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f>308+102</f>
        <v>410</v>
      </c>
      <c r="P175" s="336">
        <f>-P95-P119</f>
        <v>11</v>
      </c>
      <c r="Q175" s="335"/>
      <c r="R175" s="337">
        <f>O175+P175</f>
        <v>421</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87498</v>
      </c>
      <c r="P176" s="337">
        <f>P175+P174</f>
        <v>8387</v>
      </c>
      <c r="Q176" s="335"/>
      <c r="R176" s="337">
        <f>O176+P176</f>
        <v>95885</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64115</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2.8712962962962965</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1.49</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4.2457983193277311</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2.75</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MARCH 2011</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238" t="s">
        <v>78</v>
      </c>
      <c r="C189" s="229"/>
      <c r="D189" s="229"/>
      <c r="E189" s="229"/>
      <c r="F189" s="229"/>
      <c r="G189" s="230"/>
      <c r="H189" s="230"/>
      <c r="I189" s="230"/>
      <c r="J189" s="230"/>
      <c r="K189" s="230"/>
      <c r="L189" s="230"/>
      <c r="M189" s="230"/>
      <c r="N189" s="230"/>
      <c r="O189" s="230"/>
      <c r="P189" s="230">
        <v>40633</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2.657E-2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1.3691315161017249E-2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1.2878684838982751E-2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7.596214832240533E-3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14.76</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6.0731536064520097E-3</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0.1298</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222" t="s">
        <v>87</v>
      </c>
      <c r="C205" s="224"/>
      <c r="D205" s="224"/>
      <c r="E205" s="224"/>
      <c r="F205" s="232"/>
      <c r="G205" s="224"/>
      <c r="H205" s="224"/>
      <c r="I205" s="224"/>
      <c r="J205" s="224"/>
      <c r="K205" s="224"/>
      <c r="L205" s="224"/>
      <c r="M205" s="224"/>
      <c r="N205" s="224"/>
      <c r="O205" s="224" t="s">
        <v>113</v>
      </c>
      <c r="P205" s="232"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3</v>
      </c>
      <c r="P206" s="277">
        <v>354</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72</v>
      </c>
      <c r="P207" s="371">
        <f>+P257</f>
        <v>9953</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3</v>
      </c>
      <c r="P208" s="371">
        <f>+P269</f>
        <v>109</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84" t="s">
        <v>93</v>
      </c>
      <c r="C212" s="335"/>
      <c r="D212" s="335"/>
      <c r="E212" s="335"/>
      <c r="F212" s="335"/>
      <c r="G212" s="335"/>
      <c r="H212" s="335"/>
      <c r="I212" s="335"/>
      <c r="J212" s="335"/>
      <c r="K212" s="335"/>
      <c r="L212" s="335"/>
      <c r="M212" s="335"/>
      <c r="N212" s="335"/>
      <c r="O212" s="369"/>
      <c r="P212" s="371">
        <f>R159</f>
        <v>47</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'Dec 10'!P213+P212</f>
        <v>3043</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0</v>
      </c>
      <c r="P215" s="371">
        <v>0</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0</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0</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3</v>
      </c>
      <c r="P219" s="371">
        <v>228</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1.33</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222" t="s">
        <v>298</v>
      </c>
      <c r="C223" s="224"/>
      <c r="D223" s="224"/>
      <c r="E223" s="224"/>
      <c r="F223" s="232"/>
      <c r="G223" s="224"/>
      <c r="H223" s="224"/>
      <c r="I223" s="224"/>
      <c r="J223" s="224"/>
      <c r="K223" s="224"/>
      <c r="L223" s="224"/>
      <c r="M223" s="224"/>
      <c r="N223" s="232" t="s">
        <v>113</v>
      </c>
      <c r="O223" s="224" t="s">
        <v>114</v>
      </c>
      <c r="P223" s="232" t="s">
        <v>123</v>
      </c>
      <c r="Q223" s="224" t="s">
        <v>114</v>
      </c>
      <c r="R223" s="216"/>
      <c r="S223" s="222"/>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3874</v>
      </c>
      <c r="O224" s="280">
        <f t="shared" ref="O224:O231" si="2">N224/$N$233</f>
        <v>0.98374809547993902</v>
      </c>
      <c r="P224" s="269">
        <f t="shared" ref="P224:P231" si="3">+P236+P248+P260</f>
        <v>460274</v>
      </c>
      <c r="Q224" s="280">
        <f t="shared" ref="Q224:Q231" si="4">P224/$P$233</f>
        <v>0.98144258673666296</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25</v>
      </c>
      <c r="O225" s="399">
        <f t="shared" si="2"/>
        <v>6.3484002031488065E-3</v>
      </c>
      <c r="P225" s="337">
        <f t="shared" si="3"/>
        <v>4544</v>
      </c>
      <c r="Q225" s="399">
        <f t="shared" si="4"/>
        <v>9.689174522417944E-3</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13</v>
      </c>
      <c r="O226" s="399">
        <f t="shared" si="2"/>
        <v>3.3011681056373792E-3</v>
      </c>
      <c r="P226" s="337">
        <f t="shared" si="3"/>
        <v>1454</v>
      </c>
      <c r="Q226" s="399">
        <f t="shared" si="4"/>
        <v>3.1003652631152487E-3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3</v>
      </c>
      <c r="O227" s="399">
        <f t="shared" si="2"/>
        <v>7.6180802437785682E-4</v>
      </c>
      <c r="P227" s="337">
        <f t="shared" si="3"/>
        <v>206</v>
      </c>
      <c r="Q227" s="399">
        <f t="shared" si="4"/>
        <v>4.3925395062017965E-4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3</v>
      </c>
      <c r="O228" s="399">
        <f t="shared" si="2"/>
        <v>7.6180802437785682E-4</v>
      </c>
      <c r="P228" s="337">
        <f t="shared" si="3"/>
        <v>291</v>
      </c>
      <c r="Q228" s="399">
        <f t="shared" si="4"/>
        <v>6.2049951276928292E-4</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6</v>
      </c>
      <c r="O229" s="399">
        <f t="shared" si="2"/>
        <v>1.5236160487557136E-3</v>
      </c>
      <c r="P229" s="337">
        <f t="shared" si="3"/>
        <v>619</v>
      </c>
      <c r="Q229" s="399">
        <f t="shared" si="4"/>
        <v>1.319894152591705E-3</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3</v>
      </c>
      <c r="O230" s="399">
        <f t="shared" si="2"/>
        <v>7.6180802437785682E-4</v>
      </c>
      <c r="P230" s="337">
        <f t="shared" si="3"/>
        <v>460</v>
      </c>
      <c r="Q230" s="399">
        <f t="shared" si="4"/>
        <v>9.8085833633632363E-4</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11</v>
      </c>
      <c r="O231" s="561">
        <f t="shared" si="2"/>
        <v>2.7932960893854749E-3</v>
      </c>
      <c r="P231" s="562">
        <f t="shared" si="3"/>
        <v>1129</v>
      </c>
      <c r="Q231" s="561">
        <f t="shared" si="4"/>
        <v>2.4073675254863247E-3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3938</v>
      </c>
      <c r="O233" s="399">
        <f>SUM(O224:O232)</f>
        <v>1</v>
      </c>
      <c r="P233" s="337">
        <f>SUM(P224:P232)</f>
        <v>468977</v>
      </c>
      <c r="Q233" s="399">
        <f>SUM(Q224:Q232)</f>
        <v>1</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222" t="s">
        <v>236</v>
      </c>
      <c r="C235" s="224"/>
      <c r="D235" s="224"/>
      <c r="E235" s="224"/>
      <c r="F235" s="232"/>
      <c r="G235" s="224"/>
      <c r="H235" s="224"/>
      <c r="I235" s="224"/>
      <c r="J235" s="224"/>
      <c r="K235" s="224"/>
      <c r="L235" s="224"/>
      <c r="M235" s="224"/>
      <c r="N235" s="232" t="s">
        <v>113</v>
      </c>
      <c r="O235" s="224" t="s">
        <v>114</v>
      </c>
      <c r="P235" s="232" t="s">
        <v>123</v>
      </c>
      <c r="Q235" s="224" t="s">
        <v>114</v>
      </c>
      <c r="R235" s="216"/>
      <c r="S235" s="222"/>
      <c r="T235" s="5"/>
    </row>
    <row r="236" spans="1:21" s="256" customFormat="1" ht="15.6" x14ac:dyDescent="0.3">
      <c r="A236" s="251"/>
      <c r="B236" s="259" t="s">
        <v>99</v>
      </c>
      <c r="C236" s="279"/>
      <c r="D236" s="279"/>
      <c r="E236" s="279"/>
      <c r="F236" s="252"/>
      <c r="G236" s="279"/>
      <c r="H236" s="279"/>
      <c r="I236" s="279"/>
      <c r="J236" s="279"/>
      <c r="K236" s="279"/>
      <c r="L236" s="279"/>
      <c r="M236" s="279"/>
      <c r="N236" s="259">
        <v>3826</v>
      </c>
      <c r="O236" s="280">
        <f t="shared" ref="O236:O243" si="5">N236/$N$245</f>
        <v>0.9904219518508931</v>
      </c>
      <c r="P236" s="269">
        <v>454074</v>
      </c>
      <c r="Q236" s="280">
        <f t="shared" ref="Q236:Q243" si="6">P236/$P$245</f>
        <v>0.98945120556094268</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23</v>
      </c>
      <c r="O237" s="399">
        <f t="shared" si="5"/>
        <v>5.9539218224178101E-3</v>
      </c>
      <c r="P237" s="337">
        <v>4161</v>
      </c>
      <c r="Q237" s="399">
        <f t="shared" si="6"/>
        <v>9.0670385583386907E-3</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5</v>
      </c>
      <c r="O238" s="399">
        <f t="shared" si="5"/>
        <v>1.2943308309603934E-3</v>
      </c>
      <c r="P238" s="337">
        <v>127</v>
      </c>
      <c r="Q238" s="399">
        <f t="shared" si="6"/>
        <v>2.7673970125186579E-4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2</v>
      </c>
      <c r="O239" s="399">
        <f t="shared" si="5"/>
        <v>5.1773233238415744E-4</v>
      </c>
      <c r="P239" s="337">
        <v>49</v>
      </c>
      <c r="Q239" s="399">
        <f t="shared" si="6"/>
        <v>1.0677358552237343E-4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1</v>
      </c>
      <c r="O240" s="399">
        <f t="shared" si="5"/>
        <v>2.5886616619207872E-4</v>
      </c>
      <c r="P240" s="337">
        <v>30</v>
      </c>
      <c r="Q240" s="399">
        <f t="shared" si="6"/>
        <v>6.5371582972881687E-5</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4</v>
      </c>
      <c r="O241" s="399">
        <f t="shared" si="5"/>
        <v>1.0354646647683149E-3</v>
      </c>
      <c r="P241" s="337">
        <v>238</v>
      </c>
      <c r="Q241" s="399">
        <f t="shared" si="6"/>
        <v>5.1861455825152804E-4</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1</v>
      </c>
      <c r="O242" s="399">
        <f t="shared" si="5"/>
        <v>2.5886616619207872E-4</v>
      </c>
      <c r="P242" s="337">
        <v>46</v>
      </c>
      <c r="Q242" s="399">
        <f t="shared" si="6"/>
        <v>1.0023642722508526E-4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1</v>
      </c>
      <c r="O243" s="399">
        <f t="shared" si="5"/>
        <v>2.5886616619207872E-4</v>
      </c>
      <c r="P243" s="337">
        <v>190</v>
      </c>
      <c r="Q243" s="399">
        <f t="shared" si="6"/>
        <v>4.1402002549491734E-4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3863</v>
      </c>
      <c r="O245" s="399">
        <f>SUM(O236:O244)</f>
        <v>1</v>
      </c>
      <c r="P245" s="337">
        <f>SUM(P236:P244)</f>
        <v>458915</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222" t="s">
        <v>241</v>
      </c>
      <c r="C247" s="224"/>
      <c r="D247" s="224"/>
      <c r="E247" s="224"/>
      <c r="F247" s="232"/>
      <c r="G247" s="224"/>
      <c r="H247" s="224"/>
      <c r="I247" s="224"/>
      <c r="J247" s="224"/>
      <c r="K247" s="224"/>
      <c r="L247" s="224"/>
      <c r="M247" s="224"/>
      <c r="N247" s="232" t="s">
        <v>113</v>
      </c>
      <c r="O247" s="224" t="s">
        <v>114</v>
      </c>
      <c r="P247" s="232" t="s">
        <v>123</v>
      </c>
      <c r="Q247" s="224"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48</v>
      </c>
      <c r="O248" s="280">
        <f t="shared" ref="O248:O255" si="7">N248/$N$257</f>
        <v>0.66666666666666663</v>
      </c>
      <c r="P248" s="269">
        <v>6200</v>
      </c>
      <c r="Q248" s="280">
        <f t="shared" ref="Q248:Q255" si="8">P248/$P$257</f>
        <v>0.62292776047422893</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2</v>
      </c>
      <c r="O249" s="399">
        <f t="shared" si="7"/>
        <v>2.7777777777777776E-2</v>
      </c>
      <c r="P249" s="337">
        <v>383</v>
      </c>
      <c r="Q249" s="399">
        <f t="shared" si="8"/>
        <v>3.8480860042198334E-2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8</v>
      </c>
      <c r="O250" s="399">
        <f t="shared" si="7"/>
        <v>0.1111111111111111</v>
      </c>
      <c r="P250" s="337">
        <v>1327</v>
      </c>
      <c r="Q250" s="399">
        <f t="shared" si="8"/>
        <v>0.13332663518537125</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1</v>
      </c>
      <c r="O251" s="399">
        <f t="shared" si="7"/>
        <v>1.3888888888888888E-2</v>
      </c>
      <c r="P251" s="337">
        <v>157</v>
      </c>
      <c r="Q251" s="399">
        <f t="shared" si="8"/>
        <v>1.5774138450718376E-2</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2</v>
      </c>
      <c r="O252" s="399">
        <f t="shared" si="7"/>
        <v>2.7777777777777776E-2</v>
      </c>
      <c r="P252" s="337">
        <v>261</v>
      </c>
      <c r="Q252" s="399">
        <f t="shared" si="8"/>
        <v>2.6223249271576408E-2</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2</v>
      </c>
      <c r="O253" s="399">
        <f t="shared" si="7"/>
        <v>2.7777777777777776E-2</v>
      </c>
      <c r="P253" s="337">
        <v>381</v>
      </c>
      <c r="Q253" s="399">
        <f t="shared" si="8"/>
        <v>3.8279915603335678E-2</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2</v>
      </c>
      <c r="O254" s="399">
        <f t="shared" si="7"/>
        <v>2.7777777777777776E-2</v>
      </c>
      <c r="P254" s="337">
        <v>414</v>
      </c>
      <c r="Q254" s="399">
        <f t="shared" si="8"/>
        <v>4.1595498844569478E-2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7</v>
      </c>
      <c r="O255" s="399">
        <f t="shared" si="7"/>
        <v>9.7222222222222224E-2</v>
      </c>
      <c r="P255" s="337">
        <v>830</v>
      </c>
      <c r="Q255" s="399">
        <f t="shared" si="8"/>
        <v>8.3391942128001606E-2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72</v>
      </c>
      <c r="O257" s="399">
        <f>SUM(O248:O256)</f>
        <v>1</v>
      </c>
      <c r="P257" s="337">
        <f>SUM(P248:P256)</f>
        <v>9953</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222" t="s">
        <v>239</v>
      </c>
      <c r="C259" s="236"/>
      <c r="D259" s="236"/>
      <c r="E259" s="236"/>
      <c r="F259" s="236"/>
      <c r="G259" s="236"/>
      <c r="H259" s="237"/>
      <c r="I259" s="237"/>
      <c r="J259" s="237"/>
      <c r="K259" s="237"/>
      <c r="L259" s="237"/>
      <c r="M259" s="237"/>
      <c r="N259" s="232" t="s">
        <v>113</v>
      </c>
      <c r="O259" s="224" t="s">
        <v>114</v>
      </c>
      <c r="P259" s="232" t="s">
        <v>123</v>
      </c>
      <c r="Q259" s="224"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3</v>
      </c>
      <c r="O267" s="399">
        <f t="shared" si="9"/>
        <v>1</v>
      </c>
      <c r="P267" s="337">
        <v>109</v>
      </c>
      <c r="Q267" s="399">
        <f t="shared" si="10"/>
        <v>1</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3</v>
      </c>
      <c r="O269" s="399">
        <f>SUM(O260:O267)</f>
        <v>1</v>
      </c>
      <c r="P269" s="337">
        <f>SUM(P260:P267)</f>
        <v>109</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405" t="s">
        <v>240</v>
      </c>
      <c r="C271" s="335"/>
      <c r="D271" s="335"/>
      <c r="E271" s="335"/>
      <c r="F271" s="335"/>
      <c r="G271" s="335"/>
      <c r="H271" s="400"/>
      <c r="I271" s="400"/>
      <c r="J271" s="400"/>
      <c r="K271" s="400"/>
      <c r="L271" s="400"/>
      <c r="M271" s="400"/>
      <c r="N271" s="406">
        <f>+N245+N257+N269</f>
        <v>3938</v>
      </c>
      <c r="O271" s="399"/>
      <c r="P271" s="407">
        <f>+P269+P257+P245</f>
        <v>468977</v>
      </c>
      <c r="Q271" s="399"/>
      <c r="R271" s="335"/>
      <c r="S271" s="338"/>
      <c r="T271" s="255"/>
    </row>
    <row r="272" spans="1:20" s="256" customFormat="1" ht="15.6" x14ac:dyDescent="0.3">
      <c r="A272" s="261"/>
      <c r="B272" s="40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MARCH 2011</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9" man="1"/>
    <brk id="131" max="14" man="1"/>
    <brk id="188"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0.88129999999999997</v>
      </c>
      <c r="P16" s="247" t="s">
        <v>161</v>
      </c>
      <c r="Q16" s="246">
        <v>0.1187</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40742</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305</v>
      </c>
      <c r="I27" s="563"/>
      <c r="J27" s="563" t="s">
        <v>305</v>
      </c>
      <c r="K27" s="563"/>
      <c r="L27" s="563" t="s">
        <v>165</v>
      </c>
      <c r="M27" s="563"/>
      <c r="N27" s="563" t="s">
        <v>165</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184565.016</v>
      </c>
      <c r="I31" s="301"/>
      <c r="J31" s="302">
        <f>J30*J37</f>
        <v>274124.43359999999</v>
      </c>
      <c r="K31" s="301"/>
      <c r="L31" s="303">
        <f>L30*L37</f>
        <v>60966.945</v>
      </c>
      <c r="M31" s="301"/>
      <c r="N31" s="302">
        <f>N30*N37</f>
        <v>46897.65</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182532.06900000002</v>
      </c>
      <c r="I32" s="306"/>
      <c r="J32" s="308">
        <f>J36*J30</f>
        <v>271105.0074</v>
      </c>
      <c r="K32" s="307"/>
      <c r="L32" s="307">
        <f>L36*L30</f>
        <v>60295.404000000002</v>
      </c>
      <c r="M32" s="307"/>
      <c r="N32" s="308">
        <f>N36*N30</f>
        <v>46381.08</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184565.016</v>
      </c>
      <c r="I34" s="301"/>
      <c r="J34" s="301">
        <f>J33*J37</f>
        <v>190616.32799999998</v>
      </c>
      <c r="K34" s="301"/>
      <c r="L34" s="301">
        <f>L33*L37</f>
        <v>60966.945</v>
      </c>
      <c r="M34" s="301"/>
      <c r="N34" s="301">
        <f>N33*N37</f>
        <v>32828.355000000003</v>
      </c>
      <c r="O34" s="301"/>
      <c r="P34" s="301"/>
      <c r="Q34" s="304"/>
      <c r="R34" s="301">
        <f>SUM(C34:N34)</f>
        <v>468976.64399999997</v>
      </c>
      <c r="S34" s="305"/>
      <c r="T34" s="255"/>
    </row>
    <row r="35" spans="1:20" s="256" customFormat="1" ht="15.6" x14ac:dyDescent="0.3">
      <c r="A35" s="296"/>
      <c r="B35" s="297" t="s">
        <v>287</v>
      </c>
      <c r="C35" s="306"/>
      <c r="D35" s="307">
        <f>D36*D33</f>
        <v>0</v>
      </c>
      <c r="E35" s="306"/>
      <c r="F35" s="307">
        <f>F36*F33</f>
        <v>0</v>
      </c>
      <c r="G35" s="307"/>
      <c r="H35" s="307">
        <f>H36*H33</f>
        <v>182532.06900000002</v>
      </c>
      <c r="I35" s="306"/>
      <c r="J35" s="307">
        <f>J36*J33</f>
        <v>188516.72700000001</v>
      </c>
      <c r="K35" s="307"/>
      <c r="L35" s="307">
        <f>L36*L33</f>
        <v>60295.404000000002</v>
      </c>
      <c r="M35" s="307"/>
      <c r="N35" s="307">
        <f>N36*N33</f>
        <v>32466.756000000001</v>
      </c>
      <c r="O35" s="307"/>
      <c r="P35" s="307"/>
      <c r="Q35" s="309"/>
      <c r="R35" s="307">
        <f>SUM(C35:N35)</f>
        <v>463810.95600000001</v>
      </c>
      <c r="S35" s="305"/>
      <c r="T35" s="255"/>
    </row>
    <row r="36" spans="1:20" ht="15.6" x14ac:dyDescent="0.3">
      <c r="A36" s="310"/>
      <c r="B36" s="311" t="s">
        <v>149</v>
      </c>
      <c r="C36" s="312"/>
      <c r="D36" s="313">
        <v>0</v>
      </c>
      <c r="E36" s="314"/>
      <c r="F36" s="313">
        <v>0</v>
      </c>
      <c r="G36" s="315"/>
      <c r="H36" s="313">
        <v>0.59846580000000005</v>
      </c>
      <c r="I36" s="315"/>
      <c r="J36" s="313">
        <v>0.59846580000000005</v>
      </c>
      <c r="K36" s="315"/>
      <c r="L36" s="313">
        <v>0.92762160000000005</v>
      </c>
      <c r="M36" s="315"/>
      <c r="N36" s="313">
        <v>0.92762160000000005</v>
      </c>
      <c r="O36" s="316"/>
      <c r="P36" s="316"/>
      <c r="Q36" s="317"/>
      <c r="R36" s="316"/>
      <c r="S36" s="318"/>
      <c r="T36" s="5"/>
    </row>
    <row r="37" spans="1:20" ht="15.6" x14ac:dyDescent="0.3">
      <c r="A37" s="310"/>
      <c r="B37" s="311" t="s">
        <v>150</v>
      </c>
      <c r="C37" s="312"/>
      <c r="D37" s="313">
        <v>0</v>
      </c>
      <c r="E37" s="314"/>
      <c r="F37" s="313">
        <v>0</v>
      </c>
      <c r="G37" s="315"/>
      <c r="H37" s="313">
        <v>0.60513119999999998</v>
      </c>
      <c r="I37" s="315"/>
      <c r="J37" s="313">
        <v>0.60513119999999998</v>
      </c>
      <c r="K37" s="315"/>
      <c r="L37" s="313">
        <v>0.93795300000000004</v>
      </c>
      <c r="M37" s="315"/>
      <c r="N37" s="313">
        <v>0.93795300000000004</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1.1993800000000001E-2</v>
      </c>
      <c r="I39" s="321"/>
      <c r="J39" s="320">
        <v>1.687E-2</v>
      </c>
      <c r="K39" s="321"/>
      <c r="L39" s="320">
        <v>2.1193799999999999E-2</v>
      </c>
      <c r="M39" s="321"/>
      <c r="N39" s="320">
        <v>2.5270000000000001E-2</v>
      </c>
      <c r="O39" s="321"/>
      <c r="P39" s="320"/>
      <c r="Q39" s="294"/>
      <c r="R39" s="321"/>
      <c r="S39" s="295"/>
      <c r="T39" s="255"/>
    </row>
    <row r="40" spans="1:20" s="256" customFormat="1" ht="15.6" x14ac:dyDescent="0.3">
      <c r="A40" s="291"/>
      <c r="B40" s="292" t="s">
        <v>14</v>
      </c>
      <c r="C40" s="292"/>
      <c r="D40" s="320">
        <v>0</v>
      </c>
      <c r="E40" s="292"/>
      <c r="F40" s="320">
        <v>0</v>
      </c>
      <c r="G40" s="321"/>
      <c r="H40" s="320">
        <v>1.1475000000000001E-2</v>
      </c>
      <c r="I40" s="321"/>
      <c r="J40" s="320">
        <v>1.358E-2</v>
      </c>
      <c r="K40" s="321"/>
      <c r="L40" s="320">
        <v>2.0674999999999999E-2</v>
      </c>
      <c r="M40" s="321"/>
      <c r="N40" s="320">
        <v>2.198E-2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1.1993800000000001E-2</v>
      </c>
      <c r="I42" s="321"/>
      <c r="J42" s="320">
        <v>1.27898E-2</v>
      </c>
      <c r="K42" s="321"/>
      <c r="L42" s="320">
        <f>+L39</f>
        <v>2.1193799999999999E-2</v>
      </c>
      <c r="M42" s="321"/>
      <c r="N42" s="320">
        <v>2.19478E-2</v>
      </c>
      <c r="O42" s="321"/>
      <c r="P42" s="320"/>
      <c r="Q42" s="294"/>
      <c r="R42" s="321">
        <f>SUMPRODUCT(D42:N42,D34:N34)/R34</f>
        <v>1.4210114927525476E-2</v>
      </c>
      <c r="S42" s="295"/>
      <c r="T42" s="255"/>
    </row>
    <row r="43" spans="1:20" s="256" customFormat="1" ht="15.6" x14ac:dyDescent="0.3">
      <c r="A43" s="291"/>
      <c r="B43" s="292" t="s">
        <v>290</v>
      </c>
      <c r="C43" s="292"/>
      <c r="D43" s="320">
        <f>+D40</f>
        <v>0</v>
      </c>
      <c r="E43" s="292"/>
      <c r="F43" s="320">
        <v>0</v>
      </c>
      <c r="G43" s="321"/>
      <c r="H43" s="320">
        <f>+H40</f>
        <v>1.1475000000000001E-2</v>
      </c>
      <c r="I43" s="321"/>
      <c r="J43" s="320">
        <v>1.2271000000000001E-2</v>
      </c>
      <c r="K43" s="321"/>
      <c r="L43" s="320">
        <f>+L40</f>
        <v>2.0674999999999999E-2</v>
      </c>
      <c r="M43" s="321"/>
      <c r="N43" s="320">
        <v>2.1429E-2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0.24999989489253052</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40739</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88</v>
      </c>
      <c r="O55" s="329"/>
      <c r="P55" s="330">
        <v>40560</v>
      </c>
      <c r="Q55" s="331"/>
      <c r="R55" s="330">
        <v>40647</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40648</v>
      </c>
      <c r="Q56" s="331"/>
      <c r="R56" s="330">
        <v>40738</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40725</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304</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468977</v>
      </c>
      <c r="K66" s="336"/>
      <c r="L66" s="336">
        <f>5166+128+9</f>
        <v>5303</v>
      </c>
      <c r="M66" s="336"/>
      <c r="N66" s="336">
        <f>128+9</f>
        <v>137</v>
      </c>
      <c r="O66" s="336"/>
      <c r="P66" s="336">
        <v>0</v>
      </c>
      <c r="Q66" s="336"/>
      <c r="R66" s="337">
        <f>+J66-L66+N66-P66</f>
        <v>463811</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468977</v>
      </c>
      <c r="K69" s="336"/>
      <c r="L69" s="336">
        <f>SUM(L66:L68)</f>
        <v>5303</v>
      </c>
      <c r="M69" s="336"/>
      <c r="N69" s="336">
        <f>SUM(N66:N68)</f>
        <v>137</v>
      </c>
      <c r="O69" s="336"/>
      <c r="P69" s="336">
        <f>SUM(P66:P68)</f>
        <v>0</v>
      </c>
      <c r="Q69" s="336"/>
      <c r="R69" s="336">
        <f>SUM(R66:R68)</f>
        <v>463811</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468977</v>
      </c>
      <c r="K82" s="336"/>
      <c r="L82" s="336"/>
      <c r="M82" s="336"/>
      <c r="N82" s="336"/>
      <c r="O82" s="336"/>
      <c r="P82" s="336"/>
      <c r="Q82" s="336"/>
      <c r="R82" s="336">
        <f>SUM(R69:R81)</f>
        <v>463811</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+P189</f>
        <v>40724</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5303-82</f>
        <v>5221</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3557+455-823-85+64</f>
        <v>3168</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30+1</f>
        <v>31</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42</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281</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5221</v>
      </c>
      <c r="Q94" s="335"/>
      <c r="R94" s="336">
        <f>SUM(R86:R93)</f>
        <v>3522</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-7</v>
      </c>
      <c r="Q95" s="335"/>
      <c r="R95" s="336">
        <f>-P95</f>
        <v>7</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-163</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5214</v>
      </c>
      <c r="Q98" s="335"/>
      <c r="R98" s="336">
        <f>R94+R96+R95+R97</f>
        <v>3366</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-117-137-6</f>
        <v>-260</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-192</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-552</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-608</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-322</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-180</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82</v>
      </c>
      <c r="Q112" s="335"/>
      <c r="R112" s="337">
        <v>-82</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-237</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-922</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-130</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-2033</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-2100</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-671</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-362</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-5296</v>
      </c>
      <c r="Q127" s="336"/>
      <c r="R127" s="336">
        <f>SUM(R99:R126)</f>
        <v>-3366</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JUNE 2011</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56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82</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82</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-82</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f>-R97</f>
        <v>163</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463811</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463811</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+'March 11'!O176</f>
        <v>87498</v>
      </c>
      <c r="P174" s="337">
        <f>+'March 11'!P176</f>
        <v>8387</v>
      </c>
      <c r="Q174" s="335"/>
      <c r="R174" s="337">
        <f>O174+P174</f>
        <v>95885</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f>128+2</f>
        <v>130</v>
      </c>
      <c r="P175" s="336">
        <f>-P95-P119</f>
        <v>7</v>
      </c>
      <c r="Q175" s="335"/>
      <c r="R175" s="337">
        <f>O175+P175</f>
        <v>137</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87628</v>
      </c>
      <c r="P176" s="337">
        <f>P175+P174</f>
        <v>8394</v>
      </c>
      <c r="Q176" s="335"/>
      <c r="R176" s="337">
        <f>O176+P176</f>
        <v>96022</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63978</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2.5094827586206896</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1.49</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3.4880478087649402</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2.76</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JUNE 2011</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568" t="s">
        <v>78</v>
      </c>
      <c r="C189" s="569"/>
      <c r="D189" s="569"/>
      <c r="E189" s="569"/>
      <c r="F189" s="569"/>
      <c r="G189" s="570"/>
      <c r="H189" s="570"/>
      <c r="I189" s="570"/>
      <c r="J189" s="570"/>
      <c r="K189" s="570"/>
      <c r="L189" s="570"/>
      <c r="M189" s="570"/>
      <c r="N189" s="570"/>
      <c r="O189" s="570"/>
      <c r="P189" s="570">
        <v>40724</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2.682E-2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1.4210114927525476E-2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1.2609885072474524E-2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7.1773242611044893E-3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14.56</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1.1307590777372877E-2</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0.1268</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564" t="s">
        <v>87</v>
      </c>
      <c r="C205" s="566"/>
      <c r="D205" s="566"/>
      <c r="E205" s="566"/>
      <c r="F205" s="571"/>
      <c r="G205" s="566"/>
      <c r="H205" s="566"/>
      <c r="I205" s="566"/>
      <c r="J205" s="566"/>
      <c r="K205" s="566"/>
      <c r="L205" s="566"/>
      <c r="M205" s="566"/>
      <c r="N205" s="566"/>
      <c r="O205" s="566" t="s">
        <v>113</v>
      </c>
      <c r="P205" s="571"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4</v>
      </c>
      <c r="P206" s="277">
        <v>395</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73</v>
      </c>
      <c r="P207" s="371">
        <f>+P257</f>
        <v>10009</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2</v>
      </c>
      <c r="P208" s="371">
        <f>+P269</f>
        <v>85</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35" t="s">
        <v>93</v>
      </c>
      <c r="C212" s="335"/>
      <c r="D212" s="335"/>
      <c r="E212" s="335"/>
      <c r="F212" s="335"/>
      <c r="G212" s="335"/>
      <c r="H212" s="335"/>
      <c r="I212" s="335"/>
      <c r="J212" s="335"/>
      <c r="K212" s="335"/>
      <c r="L212" s="335"/>
      <c r="M212" s="335"/>
      <c r="N212" s="335"/>
      <c r="O212" s="369"/>
      <c r="P212" s="371">
        <f>R159</f>
        <v>82</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'March 11'!P213+P212</f>
        <v>3125</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1</v>
      </c>
      <c r="P215" s="371">
        <v>24</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16.149999999999999</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12.02</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1</v>
      </c>
      <c r="P219" s="371">
        <v>124</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1</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564" t="s">
        <v>298</v>
      </c>
      <c r="C223" s="566"/>
      <c r="D223" s="566"/>
      <c r="E223" s="566"/>
      <c r="F223" s="571"/>
      <c r="G223" s="566"/>
      <c r="H223" s="566"/>
      <c r="I223" s="566"/>
      <c r="J223" s="566"/>
      <c r="K223" s="566"/>
      <c r="L223" s="566"/>
      <c r="M223" s="566"/>
      <c r="N223" s="571" t="s">
        <v>113</v>
      </c>
      <c r="O223" s="566" t="s">
        <v>114</v>
      </c>
      <c r="P223" s="571" t="s">
        <v>123</v>
      </c>
      <c r="Q223" s="566" t="s">
        <v>114</v>
      </c>
      <c r="R223" s="216"/>
      <c r="S223" s="564"/>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3838</v>
      </c>
      <c r="O224" s="280">
        <f t="shared" ref="O224:O231" si="2">N224/$N$233</f>
        <v>0.98385029479620612</v>
      </c>
      <c r="P224" s="269">
        <f t="shared" ref="P224:P231" si="3">+P236+P248+P260</f>
        <v>455992</v>
      </c>
      <c r="Q224" s="280">
        <f t="shared" ref="Q224:Q231" si="4">P224/$P$233</f>
        <v>0.98314184010297301</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32</v>
      </c>
      <c r="O225" s="399">
        <f t="shared" si="2"/>
        <v>8.2030248654191232E-3</v>
      </c>
      <c r="P225" s="337">
        <f t="shared" si="3"/>
        <v>5529</v>
      </c>
      <c r="Q225" s="399">
        <f t="shared" si="4"/>
        <v>1.1920803948159919E-2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6</v>
      </c>
      <c r="O226" s="399">
        <f t="shared" si="2"/>
        <v>1.5380671622660857E-3</v>
      </c>
      <c r="P226" s="337">
        <f t="shared" si="3"/>
        <v>172</v>
      </c>
      <c r="Q226" s="399">
        <f t="shared" si="4"/>
        <v>3.7084070882320602E-4</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4</v>
      </c>
      <c r="O227" s="399">
        <f t="shared" si="2"/>
        <v>1.0253781081773904E-3</v>
      </c>
      <c r="P227" s="337">
        <f t="shared" si="3"/>
        <v>126</v>
      </c>
      <c r="Q227" s="399">
        <f t="shared" si="4"/>
        <v>2.7166237971932531E-4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2</v>
      </c>
      <c r="O228" s="399">
        <f t="shared" si="2"/>
        <v>5.126890540886952E-4</v>
      </c>
      <c r="P228" s="337">
        <f t="shared" si="3"/>
        <v>63</v>
      </c>
      <c r="Q228" s="399">
        <f t="shared" si="4"/>
        <v>1.3583118985966265E-4</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1</v>
      </c>
      <c r="O229" s="399">
        <f t="shared" si="2"/>
        <v>2.563445270443476E-4</v>
      </c>
      <c r="P229" s="337">
        <f t="shared" si="3"/>
        <v>30</v>
      </c>
      <c r="Q229" s="399">
        <f t="shared" si="4"/>
        <v>6.4681518980791745E-5</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7</v>
      </c>
      <c r="O230" s="399">
        <f t="shared" si="2"/>
        <v>1.7944116893104333E-3</v>
      </c>
      <c r="P230" s="337">
        <f t="shared" si="3"/>
        <v>766</v>
      </c>
      <c r="Q230" s="399">
        <f t="shared" si="4"/>
        <v>1.6515347846428826E-3</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11</v>
      </c>
      <c r="O231" s="561">
        <f t="shared" si="2"/>
        <v>2.8197897974878237E-3</v>
      </c>
      <c r="P231" s="562">
        <f t="shared" si="3"/>
        <v>1133</v>
      </c>
      <c r="Q231" s="561">
        <f t="shared" si="4"/>
        <v>2.4428053668412351E-3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3901</v>
      </c>
      <c r="O233" s="399">
        <f>SUM(O224:O232)</f>
        <v>1</v>
      </c>
      <c r="P233" s="337">
        <f>SUM(P224:P232)</f>
        <v>463811</v>
      </c>
      <c r="Q233" s="399">
        <f>SUM(Q224:Q232)</f>
        <v>1</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564" t="s">
        <v>236</v>
      </c>
      <c r="C235" s="566"/>
      <c r="D235" s="566"/>
      <c r="E235" s="566"/>
      <c r="F235" s="571"/>
      <c r="G235" s="566"/>
      <c r="H235" s="566"/>
      <c r="I235" s="566"/>
      <c r="J235" s="566"/>
      <c r="K235" s="566"/>
      <c r="L235" s="566"/>
      <c r="M235" s="566"/>
      <c r="N235" s="571" t="s">
        <v>113</v>
      </c>
      <c r="O235" s="566" t="s">
        <v>114</v>
      </c>
      <c r="P235" s="571" t="s">
        <v>123</v>
      </c>
      <c r="Q235" s="566" t="s">
        <v>114</v>
      </c>
      <c r="R235" s="216"/>
      <c r="S235" s="564"/>
      <c r="T235" s="5"/>
    </row>
    <row r="236" spans="1:21" s="256" customFormat="1" ht="15.6" x14ac:dyDescent="0.3">
      <c r="A236" s="251"/>
      <c r="B236" s="259" t="s">
        <v>99</v>
      </c>
      <c r="C236" s="279"/>
      <c r="D236" s="279"/>
      <c r="E236" s="279"/>
      <c r="F236" s="252"/>
      <c r="G236" s="279"/>
      <c r="H236" s="279"/>
      <c r="I236" s="279"/>
      <c r="J236" s="279"/>
      <c r="K236" s="279"/>
      <c r="L236" s="279"/>
      <c r="M236" s="279"/>
      <c r="N236" s="259">
        <v>3786</v>
      </c>
      <c r="O236" s="280">
        <f t="shared" ref="O236:O243" si="5">N236/$N$245</f>
        <v>0.98954521693674857</v>
      </c>
      <c r="P236" s="269">
        <v>449212</v>
      </c>
      <c r="Q236" s="280">
        <f t="shared" ref="Q236:Q243" si="6">P236/$P$245</f>
        <v>0.99007090322822378</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22</v>
      </c>
      <c r="O237" s="399">
        <f t="shared" si="5"/>
        <v>5.7501306847882903E-3</v>
      </c>
      <c r="P237" s="337">
        <v>3563</v>
      </c>
      <c r="Q237" s="399">
        <f t="shared" si="6"/>
        <v>7.8529127187211417E-3</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5</v>
      </c>
      <c r="O238" s="399">
        <f t="shared" si="5"/>
        <v>1.3068478829064297E-3</v>
      </c>
      <c r="P238" s="337">
        <v>141</v>
      </c>
      <c r="Q238" s="399">
        <f t="shared" si="6"/>
        <v>3.1076640284582682E-4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4</v>
      </c>
      <c r="O239" s="399">
        <f t="shared" si="5"/>
        <v>1.0454783063251437E-3</v>
      </c>
      <c r="P239" s="337">
        <v>126</v>
      </c>
      <c r="Q239" s="399">
        <f t="shared" si="6"/>
        <v>2.7770614722393033E-4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2</v>
      </c>
      <c r="O240" s="399">
        <f t="shared" si="5"/>
        <v>5.2273915316257186E-4</v>
      </c>
      <c r="P240" s="337">
        <v>63</v>
      </c>
      <c r="Q240" s="399">
        <f t="shared" si="6"/>
        <v>1.3885307361196516E-4</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1</v>
      </c>
      <c r="O241" s="399">
        <f t="shared" si="5"/>
        <v>2.6136957658128593E-4</v>
      </c>
      <c r="P241" s="337">
        <v>30</v>
      </c>
      <c r="Q241" s="399">
        <f t="shared" si="6"/>
        <v>6.6120511243792943E-5</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4</v>
      </c>
      <c r="O242" s="399">
        <f t="shared" si="5"/>
        <v>1.0454783063251437E-3</v>
      </c>
      <c r="P242" s="337">
        <v>363</v>
      </c>
      <c r="Q242" s="399">
        <f t="shared" si="6"/>
        <v>8.0005818604989454E-4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2</v>
      </c>
      <c r="O243" s="399">
        <f t="shared" si="5"/>
        <v>5.2273915316257186E-4</v>
      </c>
      <c r="P243" s="337">
        <v>219</v>
      </c>
      <c r="Q243" s="399">
        <f t="shared" si="6"/>
        <v>4.8267973207968845E-4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3826</v>
      </c>
      <c r="O245" s="399">
        <f>SUM(O236:O244)</f>
        <v>1</v>
      </c>
      <c r="P245" s="337">
        <f>SUM(P236:P244)</f>
        <v>453717</v>
      </c>
      <c r="Q245" s="399">
        <f>SUM(Q236:Q244)</f>
        <v>0.99999999999999989</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564" t="s">
        <v>241</v>
      </c>
      <c r="C247" s="566"/>
      <c r="D247" s="566"/>
      <c r="E247" s="566"/>
      <c r="F247" s="571"/>
      <c r="G247" s="566"/>
      <c r="H247" s="566"/>
      <c r="I247" s="566"/>
      <c r="J247" s="566"/>
      <c r="K247" s="566"/>
      <c r="L247" s="566"/>
      <c r="M247" s="566"/>
      <c r="N247" s="571" t="s">
        <v>113</v>
      </c>
      <c r="O247" s="566" t="s">
        <v>114</v>
      </c>
      <c r="P247" s="571" t="s">
        <v>123</v>
      </c>
      <c r="Q247" s="566"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52</v>
      </c>
      <c r="O248" s="280">
        <f t="shared" ref="O248:O255" si="7">N248/$N$257</f>
        <v>0.71232876712328763</v>
      </c>
      <c r="P248" s="269">
        <v>6780</v>
      </c>
      <c r="Q248" s="280">
        <f t="shared" ref="Q248:Q255" si="8">P248/$P$257</f>
        <v>0.67739034868618242</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10</v>
      </c>
      <c r="O249" s="399">
        <f t="shared" si="7"/>
        <v>0.13698630136986301</v>
      </c>
      <c r="P249" s="337">
        <v>1966</v>
      </c>
      <c r="Q249" s="399">
        <f t="shared" si="8"/>
        <v>0.19642321910280747</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1</v>
      </c>
      <c r="O250" s="399">
        <f t="shared" si="7"/>
        <v>1.3698630136986301E-2</v>
      </c>
      <c r="P250" s="337">
        <v>31</v>
      </c>
      <c r="Q250" s="399">
        <f t="shared" si="8"/>
        <v>3.097212508742132E-3</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0</v>
      </c>
      <c r="O251" s="399">
        <f t="shared" si="7"/>
        <v>0</v>
      </c>
      <c r="P251" s="337">
        <v>0</v>
      </c>
      <c r="Q251" s="399">
        <f t="shared" si="8"/>
        <v>0</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3</v>
      </c>
      <c r="O254" s="399">
        <f t="shared" si="7"/>
        <v>4.1095890410958902E-2</v>
      </c>
      <c r="P254" s="337">
        <v>403</v>
      </c>
      <c r="Q254" s="399">
        <f t="shared" si="8"/>
        <v>4.0263762613647718E-2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7</v>
      </c>
      <c r="O255" s="399">
        <f t="shared" si="7"/>
        <v>9.5890410958904104E-2</v>
      </c>
      <c r="P255" s="337">
        <v>829</v>
      </c>
      <c r="Q255" s="399">
        <f t="shared" si="8"/>
        <v>8.2825457088620241E-2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73</v>
      </c>
      <c r="O257" s="399">
        <f>SUM(O248:O256)</f>
        <v>0.99999999999999978</v>
      </c>
      <c r="P257" s="337">
        <f>SUM(P248:P256)</f>
        <v>10009</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564" t="s">
        <v>239</v>
      </c>
      <c r="C259" s="236"/>
      <c r="D259" s="236"/>
      <c r="E259" s="236"/>
      <c r="F259" s="236"/>
      <c r="G259" s="236"/>
      <c r="H259" s="237"/>
      <c r="I259" s="237"/>
      <c r="J259" s="237"/>
      <c r="K259" s="237"/>
      <c r="L259" s="237"/>
      <c r="M259" s="237"/>
      <c r="N259" s="571" t="s">
        <v>113</v>
      </c>
      <c r="O259" s="566" t="s">
        <v>114</v>
      </c>
      <c r="P259" s="571" t="s">
        <v>123</v>
      </c>
      <c r="Q259" s="566"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2</v>
      </c>
      <c r="O267" s="399">
        <f t="shared" si="9"/>
        <v>1</v>
      </c>
      <c r="P267" s="337">
        <v>85</v>
      </c>
      <c r="Q267" s="399">
        <f t="shared" si="10"/>
        <v>1</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2</v>
      </c>
      <c r="O269" s="399">
        <f>SUM(O260:O267)</f>
        <v>1</v>
      </c>
      <c r="P269" s="337">
        <f>SUM(P260:P267)</f>
        <v>85</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572" t="s">
        <v>240</v>
      </c>
      <c r="C271" s="335"/>
      <c r="D271" s="335"/>
      <c r="E271" s="335"/>
      <c r="F271" s="335"/>
      <c r="G271" s="335"/>
      <c r="H271" s="400"/>
      <c r="I271" s="400"/>
      <c r="J271" s="400"/>
      <c r="K271" s="400"/>
      <c r="L271" s="400"/>
      <c r="M271" s="400"/>
      <c r="N271" s="573">
        <f>+N245+N257+N269</f>
        <v>3901</v>
      </c>
      <c r="O271" s="399"/>
      <c r="P271" s="407">
        <f>+P269+P257+P245</f>
        <v>463811</v>
      </c>
      <c r="Q271" s="399"/>
      <c r="R271" s="335"/>
      <c r="S271" s="338"/>
      <c r="T271" s="255"/>
    </row>
    <row r="272" spans="1:20" s="256" customFormat="1" ht="15.6" x14ac:dyDescent="0.3">
      <c r="A272" s="261"/>
      <c r="B272" s="57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JUNE 2011</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9" man="1"/>
    <brk id="131" max="14" man="1"/>
    <brk id="188"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0.88180000000000003</v>
      </c>
      <c r="P16" s="247" t="s">
        <v>161</v>
      </c>
      <c r="Q16" s="246">
        <v>0.1182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40834</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305</v>
      </c>
      <c r="I27" s="563"/>
      <c r="J27" s="563" t="s">
        <v>305</v>
      </c>
      <c r="K27" s="563"/>
      <c r="L27" s="563" t="s">
        <v>165</v>
      </c>
      <c r="M27" s="563"/>
      <c r="N27" s="563" t="s">
        <v>165</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182532.06900000002</v>
      </c>
      <c r="I31" s="301"/>
      <c r="J31" s="302">
        <f>J30*J37</f>
        <v>271105.0074</v>
      </c>
      <c r="K31" s="301"/>
      <c r="L31" s="303">
        <f>L30*L37</f>
        <v>60295.404000000002</v>
      </c>
      <c r="M31" s="301"/>
      <c r="N31" s="302">
        <f>N30*N37</f>
        <v>46381.08</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181544.601</v>
      </c>
      <c r="I32" s="306"/>
      <c r="J32" s="308">
        <f>J36*J30</f>
        <v>269638.37459999998</v>
      </c>
      <c r="K32" s="307"/>
      <c r="L32" s="307">
        <f>L36*L30</f>
        <v>59969.207999999999</v>
      </c>
      <c r="M32" s="307"/>
      <c r="N32" s="308">
        <f>N36*N30</f>
        <v>46130.159999999996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182532.06900000002</v>
      </c>
      <c r="I34" s="301"/>
      <c r="J34" s="301">
        <f>J33*J37</f>
        <v>188516.72700000001</v>
      </c>
      <c r="K34" s="301"/>
      <c r="L34" s="301">
        <f>L33*L37</f>
        <v>60295.404000000002</v>
      </c>
      <c r="M34" s="301"/>
      <c r="N34" s="301">
        <f>N33*N37</f>
        <v>32466.756000000001</v>
      </c>
      <c r="O34" s="301"/>
      <c r="P34" s="301"/>
      <c r="Q34" s="304"/>
      <c r="R34" s="301">
        <f>SUM(C34:N34)</f>
        <v>463810.95600000001</v>
      </c>
      <c r="S34" s="305"/>
      <c r="T34" s="255"/>
    </row>
    <row r="35" spans="1:20" s="256" customFormat="1" ht="15.6" x14ac:dyDescent="0.3">
      <c r="A35" s="296"/>
      <c r="B35" s="297" t="s">
        <v>287</v>
      </c>
      <c r="C35" s="306"/>
      <c r="D35" s="307">
        <f>D36*D33</f>
        <v>0</v>
      </c>
      <c r="E35" s="306"/>
      <c r="F35" s="307">
        <f>F36*F33</f>
        <v>0</v>
      </c>
      <c r="G35" s="307"/>
      <c r="H35" s="307">
        <f>H36*H33</f>
        <v>181544.601</v>
      </c>
      <c r="I35" s="306"/>
      <c r="J35" s="307">
        <f>J36*J33</f>
        <v>187496.883</v>
      </c>
      <c r="K35" s="307"/>
      <c r="L35" s="307">
        <f>L36*L33</f>
        <v>59969.207999999999</v>
      </c>
      <c r="M35" s="307"/>
      <c r="N35" s="307">
        <f>N36*N33</f>
        <v>32291.111999999997</v>
      </c>
      <c r="O35" s="307"/>
      <c r="P35" s="307"/>
      <c r="Q35" s="309"/>
      <c r="R35" s="307">
        <f>SUM(C35:N35)</f>
        <v>461301.804</v>
      </c>
      <c r="S35" s="305"/>
      <c r="T35" s="255"/>
    </row>
    <row r="36" spans="1:20" ht="15.6" x14ac:dyDescent="0.3">
      <c r="A36" s="310"/>
      <c r="B36" s="311" t="s">
        <v>149</v>
      </c>
      <c r="C36" s="312"/>
      <c r="D36" s="313">
        <v>0</v>
      </c>
      <c r="E36" s="314"/>
      <c r="F36" s="313">
        <v>0</v>
      </c>
      <c r="G36" s="315"/>
      <c r="H36" s="313">
        <v>0.59522819999999999</v>
      </c>
      <c r="I36" s="315"/>
      <c r="J36" s="313">
        <v>0.59522819999999999</v>
      </c>
      <c r="K36" s="315"/>
      <c r="L36" s="313">
        <v>0.92260319999999996</v>
      </c>
      <c r="M36" s="315"/>
      <c r="N36" s="313">
        <v>0.92260319999999996</v>
      </c>
      <c r="O36" s="316"/>
      <c r="P36" s="316"/>
      <c r="Q36" s="317"/>
      <c r="R36" s="316"/>
      <c r="S36" s="318"/>
      <c r="T36" s="5"/>
    </row>
    <row r="37" spans="1:20" ht="15.6" x14ac:dyDescent="0.3">
      <c r="A37" s="310"/>
      <c r="B37" s="311" t="s">
        <v>150</v>
      </c>
      <c r="C37" s="312"/>
      <c r="D37" s="313">
        <v>0</v>
      </c>
      <c r="E37" s="314"/>
      <c r="F37" s="313">
        <v>0</v>
      </c>
      <c r="G37" s="315"/>
      <c r="H37" s="313">
        <v>0.59846580000000005</v>
      </c>
      <c r="I37" s="315"/>
      <c r="J37" s="313">
        <v>0.59846580000000005</v>
      </c>
      <c r="K37" s="315"/>
      <c r="L37" s="313">
        <v>0.92762160000000005</v>
      </c>
      <c r="M37" s="315"/>
      <c r="N37" s="313">
        <v>0.92762160000000005</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1.20719E-2</v>
      </c>
      <c r="I39" s="321"/>
      <c r="J39" s="320">
        <v>1.9650000000000001E-2</v>
      </c>
      <c r="K39" s="321"/>
      <c r="L39" s="320">
        <v>2.12719E-2</v>
      </c>
      <c r="M39" s="321"/>
      <c r="N39" s="320">
        <v>2.8049999999999999E-2</v>
      </c>
      <c r="O39" s="321"/>
      <c r="P39" s="320"/>
      <c r="Q39" s="294"/>
      <c r="R39" s="321"/>
      <c r="S39" s="295"/>
      <c r="T39" s="255"/>
    </row>
    <row r="40" spans="1:20" s="256" customFormat="1" ht="15.6" x14ac:dyDescent="0.3">
      <c r="A40" s="291"/>
      <c r="B40" s="292" t="s">
        <v>14</v>
      </c>
      <c r="C40" s="292"/>
      <c r="D40" s="320">
        <v>0</v>
      </c>
      <c r="E40" s="292"/>
      <c r="F40" s="320">
        <v>0</v>
      </c>
      <c r="G40" s="321"/>
      <c r="H40" s="320">
        <v>1.1993800000000001E-2</v>
      </c>
      <c r="I40" s="321"/>
      <c r="J40" s="320">
        <v>1.687E-2</v>
      </c>
      <c r="K40" s="321"/>
      <c r="L40" s="320">
        <v>2.1193799999999999E-2</v>
      </c>
      <c r="M40" s="321"/>
      <c r="N40" s="320">
        <v>2.5270000000000001E-2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1.20719E-2</v>
      </c>
      <c r="I42" s="321"/>
      <c r="J42" s="320">
        <v>1.28679E-2</v>
      </c>
      <c r="K42" s="321"/>
      <c r="L42" s="320">
        <f>+L39</f>
        <v>2.12719E-2</v>
      </c>
      <c r="M42" s="321"/>
      <c r="N42" s="320">
        <v>2.2025900000000001E-2</v>
      </c>
      <c r="O42" s="321"/>
      <c r="P42" s="320"/>
      <c r="Q42" s="294"/>
      <c r="R42" s="321">
        <f>SUMPRODUCT(D42:N42,D34:N34)/R34</f>
        <v>1.4288214874450702E-2</v>
      </c>
      <c r="S42" s="295"/>
      <c r="T42" s="255"/>
    </row>
    <row r="43" spans="1:20" s="256" customFormat="1" ht="15.6" x14ac:dyDescent="0.3">
      <c r="A43" s="291"/>
      <c r="B43" s="292" t="s">
        <v>290</v>
      </c>
      <c r="C43" s="292"/>
      <c r="D43" s="320">
        <f>+D40</f>
        <v>0</v>
      </c>
      <c r="E43" s="292"/>
      <c r="F43" s="320">
        <v>0</v>
      </c>
      <c r="G43" s="321"/>
      <c r="H43" s="320">
        <f>+H40</f>
        <v>1.1993800000000001E-2</v>
      </c>
      <c r="I43" s="321"/>
      <c r="J43" s="320">
        <v>1.27898E-2</v>
      </c>
      <c r="K43" s="321"/>
      <c r="L43" s="320">
        <f>+L40</f>
        <v>2.1193799999999999E-2</v>
      </c>
      <c r="M43" s="321"/>
      <c r="N43" s="320">
        <v>2.19478E-2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0.24999986180415423</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40833</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40648</v>
      </c>
      <c r="Q55" s="331"/>
      <c r="R55" s="330">
        <v>40738</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94</v>
      </c>
      <c r="O56" s="292"/>
      <c r="P56" s="330">
        <v>40739</v>
      </c>
      <c r="Q56" s="331"/>
      <c r="R56" s="330">
        <v>40832</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40819</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306</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463811</v>
      </c>
      <c r="K66" s="336"/>
      <c r="L66" s="336">
        <f>2509+573+36</f>
        <v>3118</v>
      </c>
      <c r="M66" s="336"/>
      <c r="N66" s="336">
        <f>573+36</f>
        <v>609</v>
      </c>
      <c r="O66" s="336"/>
      <c r="P66" s="336">
        <v>0</v>
      </c>
      <c r="Q66" s="336"/>
      <c r="R66" s="337">
        <f>+J66-L66+N66-P66</f>
        <v>461302</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463811</v>
      </c>
      <c r="K69" s="336"/>
      <c r="L69" s="336">
        <f>SUM(L66:L68)</f>
        <v>3118</v>
      </c>
      <c r="M69" s="336"/>
      <c r="N69" s="336">
        <f>SUM(N66:N68)</f>
        <v>609</v>
      </c>
      <c r="O69" s="336"/>
      <c r="P69" s="336">
        <f>SUM(P66:P68)</f>
        <v>0</v>
      </c>
      <c r="Q69" s="336"/>
      <c r="R69" s="336">
        <f>SUM(R66:R68)</f>
        <v>461302</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463811</v>
      </c>
      <c r="K82" s="336"/>
      <c r="L82" s="336"/>
      <c r="M82" s="336"/>
      <c r="N82" s="336"/>
      <c r="O82" s="336"/>
      <c r="P82" s="336"/>
      <c r="Q82" s="336"/>
      <c r="R82" s="336">
        <f>SUM(R69:R81)</f>
        <v>461302</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+P189</f>
        <v>40816</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3118+72</f>
        <v>3190</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3581+451-825-84</f>
        <v>3123</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10+1</f>
        <v>11</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24</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281</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3190</v>
      </c>
      <c r="Q94" s="335"/>
      <c r="R94" s="336">
        <f>SUM(R86:R93)</f>
        <v>3439</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-2</v>
      </c>
      <c r="Q95" s="335"/>
      <c r="R95" s="336">
        <f>-P95</f>
        <v>2</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-114</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3188</v>
      </c>
      <c r="Q98" s="335"/>
      <c r="R98" s="336">
        <f>R94+R96+R95+R97</f>
        <v>3327</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-117-136-6</f>
        <v>-259</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-126</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-567</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-625</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-330</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-184</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-72</v>
      </c>
      <c r="Q112" s="335"/>
      <c r="R112" s="337">
        <v>72</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-237</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-1060</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-607</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-987</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-1020</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-326</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-176</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-3116</v>
      </c>
      <c r="Q127" s="336"/>
      <c r="R127" s="336">
        <f>SUM(R99:R126)</f>
        <v>-3327</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SEPTEMBER 2011</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56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-72</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-72</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72</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f>-R97</f>
        <v>114</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461302</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461302</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+'June 11'!O176</f>
        <v>87628</v>
      </c>
      <c r="P174" s="337">
        <f>+'June 11'!P176</f>
        <v>8394</v>
      </c>
      <c r="Q174" s="335"/>
      <c r="R174" s="337">
        <f>O174+P174</f>
        <v>96022</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f>573+34</f>
        <v>607</v>
      </c>
      <c r="P175" s="336">
        <f>-P95-P119</f>
        <v>2</v>
      </c>
      <c r="Q175" s="335"/>
      <c r="R175" s="337">
        <f>O175+P175</f>
        <v>609</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88235</v>
      </c>
      <c r="P176" s="337">
        <f>P175+P174</f>
        <v>8396</v>
      </c>
      <c r="Q176" s="335"/>
      <c r="R176" s="337">
        <f>O176+P176</f>
        <v>96631</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63369</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2.4656040268456376</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1.5</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3.3988326848249026</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2.77</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SEPTEMBER 2011</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568" t="s">
        <v>78</v>
      </c>
      <c r="C189" s="569"/>
      <c r="D189" s="569"/>
      <c r="E189" s="569"/>
      <c r="F189" s="569"/>
      <c r="G189" s="570"/>
      <c r="H189" s="570"/>
      <c r="I189" s="570"/>
      <c r="J189" s="570"/>
      <c r="K189" s="570"/>
      <c r="L189" s="570"/>
      <c r="M189" s="570"/>
      <c r="N189" s="570"/>
      <c r="O189" s="570"/>
      <c r="P189" s="570">
        <v>40816</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2.6759999999999999E-2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1.4288214874450702E-2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1.2471785125549298E-2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7.1731804549698044E-3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14.33</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6.7225658727369554E-3</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0.1234</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564" t="s">
        <v>87</v>
      </c>
      <c r="C205" s="566"/>
      <c r="D205" s="566"/>
      <c r="E205" s="566"/>
      <c r="F205" s="571"/>
      <c r="G205" s="566"/>
      <c r="H205" s="566"/>
      <c r="I205" s="566"/>
      <c r="J205" s="566"/>
      <c r="K205" s="566"/>
      <c r="L205" s="566"/>
      <c r="M205" s="566"/>
      <c r="N205" s="566"/>
      <c r="O205" s="566" t="s">
        <v>113</v>
      </c>
      <c r="P205" s="571"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4</v>
      </c>
      <c r="P206" s="277">
        <v>501</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79</v>
      </c>
      <c r="P207" s="371">
        <f>+P257</f>
        <v>11378</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2</v>
      </c>
      <c r="P208" s="371">
        <f>+P269</f>
        <v>85</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35" t="s">
        <v>93</v>
      </c>
      <c r="C212" s="335"/>
      <c r="D212" s="335"/>
      <c r="E212" s="335"/>
      <c r="F212" s="335"/>
      <c r="G212" s="335"/>
      <c r="H212" s="335"/>
      <c r="I212" s="335"/>
      <c r="J212" s="335"/>
      <c r="K212" s="335"/>
      <c r="L212" s="335"/>
      <c r="M212" s="335"/>
      <c r="N212" s="335"/>
      <c r="O212" s="369"/>
      <c r="P212" s="371">
        <f>R159</f>
        <v>-72</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'June 11'!P213+P212</f>
        <v>3053</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0</v>
      </c>
      <c r="P215" s="371">
        <v>0</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0</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0</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1</v>
      </c>
      <c r="P219" s="371">
        <v>31</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2.92</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564" t="s">
        <v>298</v>
      </c>
      <c r="C223" s="566"/>
      <c r="D223" s="566"/>
      <c r="E223" s="566"/>
      <c r="F223" s="571"/>
      <c r="G223" s="566"/>
      <c r="H223" s="566"/>
      <c r="I223" s="566"/>
      <c r="J223" s="566"/>
      <c r="K223" s="566"/>
      <c r="L223" s="566"/>
      <c r="M223" s="566"/>
      <c r="N223" s="571" t="s">
        <v>113</v>
      </c>
      <c r="O223" s="566" t="s">
        <v>114</v>
      </c>
      <c r="P223" s="571" t="s">
        <v>123</v>
      </c>
      <c r="Q223" s="566" t="s">
        <v>114</v>
      </c>
      <c r="R223" s="216"/>
      <c r="S223" s="564"/>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3809</v>
      </c>
      <c r="O224" s="280">
        <f t="shared" ref="O224:O231" si="2">N224/$N$233</f>
        <v>0.98347534211205778</v>
      </c>
      <c r="P224" s="269">
        <f t="shared" ref="P224:P231" si="3">+P236+P248+P260</f>
        <v>451261</v>
      </c>
      <c r="Q224" s="280">
        <f t="shared" ref="Q224:Q231" si="4">P224/$P$233</f>
        <v>0.97823334821873742</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34</v>
      </c>
      <c r="O225" s="399">
        <f t="shared" si="2"/>
        <v>8.7787245029692738E-3</v>
      </c>
      <c r="P225" s="337">
        <f t="shared" si="3"/>
        <v>6746</v>
      </c>
      <c r="Q225" s="399">
        <f t="shared" si="4"/>
        <v>1.4623825606652475E-2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9</v>
      </c>
      <c r="O226" s="399">
        <f t="shared" si="2"/>
        <v>2.3237800154918666E-3</v>
      </c>
      <c r="P226" s="337">
        <f t="shared" si="3"/>
        <v>1340</v>
      </c>
      <c r="Q226" s="399">
        <f t="shared" si="4"/>
        <v>2.9048215702511585E-3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2</v>
      </c>
      <c r="O227" s="399">
        <f t="shared" si="2"/>
        <v>5.1639555899819257E-4</v>
      </c>
      <c r="P227" s="337">
        <f t="shared" si="3"/>
        <v>52</v>
      </c>
      <c r="Q227" s="399">
        <f t="shared" si="4"/>
        <v>1.1272441914407481E-4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1</v>
      </c>
      <c r="O228" s="399">
        <f t="shared" si="2"/>
        <v>2.5819777949909629E-4</v>
      </c>
      <c r="P228" s="337">
        <f t="shared" si="3"/>
        <v>13</v>
      </c>
      <c r="Q228" s="399">
        <f t="shared" si="4"/>
        <v>2.8181104786018702E-5</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1</v>
      </c>
      <c r="O229" s="399">
        <f t="shared" si="2"/>
        <v>2.5819777949909629E-4</v>
      </c>
      <c r="P229" s="337">
        <f t="shared" si="3"/>
        <v>30</v>
      </c>
      <c r="Q229" s="399">
        <f t="shared" si="4"/>
        <v>6.5033318736966236E-5</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7</v>
      </c>
      <c r="O230" s="399">
        <f t="shared" si="2"/>
        <v>1.8073844564936742E-3</v>
      </c>
      <c r="P230" s="337">
        <f t="shared" si="3"/>
        <v>756</v>
      </c>
      <c r="Q230" s="399">
        <f t="shared" si="4"/>
        <v>1.6388396321715493E-3</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10</v>
      </c>
      <c r="O231" s="561">
        <f t="shared" si="2"/>
        <v>2.5819777949909629E-3</v>
      </c>
      <c r="P231" s="562">
        <f t="shared" si="3"/>
        <v>1104</v>
      </c>
      <c r="Q231" s="561">
        <f t="shared" si="4"/>
        <v>2.3932261295203576E-3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3873</v>
      </c>
      <c r="O233" s="399">
        <f>SUM(O224:O232)</f>
        <v>0.99999999999999978</v>
      </c>
      <c r="P233" s="337">
        <f>SUM(P224:P232)</f>
        <v>461302</v>
      </c>
      <c r="Q233" s="399">
        <f>SUM(Q224:Q232)</f>
        <v>1</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564" t="s">
        <v>236</v>
      </c>
      <c r="C235" s="566"/>
      <c r="D235" s="566"/>
      <c r="E235" s="566"/>
      <c r="F235" s="571"/>
      <c r="G235" s="566"/>
      <c r="H235" s="566"/>
      <c r="I235" s="566"/>
      <c r="J235" s="566"/>
      <c r="K235" s="566"/>
      <c r="L235" s="566"/>
      <c r="M235" s="566"/>
      <c r="N235" s="571" t="s">
        <v>113</v>
      </c>
      <c r="O235" s="566" t="s">
        <v>114</v>
      </c>
      <c r="P235" s="571" t="s">
        <v>123</v>
      </c>
      <c r="Q235" s="566" t="s">
        <v>114</v>
      </c>
      <c r="R235" s="216"/>
      <c r="S235" s="564"/>
      <c r="T235" s="5"/>
    </row>
    <row r="236" spans="1:21" s="256" customFormat="1" ht="15.6" x14ac:dyDescent="0.3">
      <c r="A236" s="251"/>
      <c r="B236" s="259" t="s">
        <v>99</v>
      </c>
      <c r="C236" s="279"/>
      <c r="D236" s="279"/>
      <c r="E236" s="279"/>
      <c r="F236" s="252"/>
      <c r="G236" s="279"/>
      <c r="H236" s="279"/>
      <c r="I236" s="279"/>
      <c r="J236" s="279"/>
      <c r="K236" s="279"/>
      <c r="L236" s="279"/>
      <c r="M236" s="279"/>
      <c r="N236" s="259">
        <v>3746</v>
      </c>
      <c r="O236" s="280">
        <f t="shared" ref="O236:O243" si="5">N236/$N$245</f>
        <v>0.9878691983122363</v>
      </c>
      <c r="P236" s="269">
        <v>442309</v>
      </c>
      <c r="Q236" s="280">
        <f t="shared" ref="Q236:Q243" si="6">P236/$P$245</f>
        <v>0.98326067770913594</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33</v>
      </c>
      <c r="O237" s="399">
        <f t="shared" si="5"/>
        <v>8.7025316455696198E-3</v>
      </c>
      <c r="P237" s="337">
        <v>6623</v>
      </c>
      <c r="Q237" s="399">
        <f t="shared" si="6"/>
        <v>1.4723045356227451E-2</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4</v>
      </c>
      <c r="O238" s="399">
        <f t="shared" si="5"/>
        <v>1.0548523206751054E-3</v>
      </c>
      <c r="P238" s="337">
        <v>269</v>
      </c>
      <c r="Q238" s="399">
        <f t="shared" si="6"/>
        <v>5.9799172592861006E-4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2</v>
      </c>
      <c r="O239" s="399">
        <f t="shared" si="5"/>
        <v>5.274261603375527E-4</v>
      </c>
      <c r="P239" s="337">
        <v>52</v>
      </c>
      <c r="Q239" s="399">
        <f t="shared" si="6"/>
        <v>1.1559691356240789E-4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1</v>
      </c>
      <c r="O240" s="399">
        <f t="shared" si="5"/>
        <v>2.6371308016877635E-4</v>
      </c>
      <c r="P240" s="337">
        <v>13</v>
      </c>
      <c r="Q240" s="399">
        <f t="shared" si="6"/>
        <v>2.8899228390601972E-5</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1</v>
      </c>
      <c r="O241" s="399">
        <f t="shared" si="5"/>
        <v>2.6371308016877635E-4</v>
      </c>
      <c r="P241" s="337">
        <v>30</v>
      </c>
      <c r="Q241" s="399">
        <f t="shared" si="6"/>
        <v>6.6690527055235312E-5</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4</v>
      </c>
      <c r="O242" s="399">
        <f t="shared" si="5"/>
        <v>1.0548523206751054E-3</v>
      </c>
      <c r="P242" s="337">
        <v>353</v>
      </c>
      <c r="Q242" s="399">
        <f t="shared" si="6"/>
        <v>7.8472520168326894E-4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1</v>
      </c>
      <c r="O243" s="399">
        <f t="shared" si="5"/>
        <v>2.6371308016877635E-4</v>
      </c>
      <c r="P243" s="337">
        <v>190</v>
      </c>
      <c r="Q243" s="399">
        <f t="shared" si="6"/>
        <v>4.2237333801649037E-4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3792</v>
      </c>
      <c r="O245" s="399">
        <f>SUM(O236:O244)</f>
        <v>1.0000000000000002</v>
      </c>
      <c r="P245" s="337">
        <f>SUM(P236:P244)</f>
        <v>449839</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564" t="s">
        <v>241</v>
      </c>
      <c r="C247" s="566"/>
      <c r="D247" s="566"/>
      <c r="E247" s="566"/>
      <c r="F247" s="571"/>
      <c r="G247" s="566"/>
      <c r="H247" s="566"/>
      <c r="I247" s="566"/>
      <c r="J247" s="566"/>
      <c r="K247" s="566"/>
      <c r="L247" s="566"/>
      <c r="M247" s="566"/>
      <c r="N247" s="571" t="s">
        <v>113</v>
      </c>
      <c r="O247" s="566" t="s">
        <v>114</v>
      </c>
      <c r="P247" s="571" t="s">
        <v>123</v>
      </c>
      <c r="Q247" s="566"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63</v>
      </c>
      <c r="O248" s="280">
        <f t="shared" ref="O248:O255" si="7">N248/$N$257</f>
        <v>0.79746835443037978</v>
      </c>
      <c r="P248" s="269">
        <v>8952</v>
      </c>
      <c r="Q248" s="280">
        <f t="shared" ref="Q248:Q255" si="8">P248/$P$257</f>
        <v>0.78678150817366843</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1</v>
      </c>
      <c r="O249" s="399">
        <f t="shared" si="7"/>
        <v>1.2658227848101266E-2</v>
      </c>
      <c r="P249" s="337">
        <v>123</v>
      </c>
      <c r="Q249" s="399">
        <f t="shared" si="8"/>
        <v>1.0810335735630163E-2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5</v>
      </c>
      <c r="O250" s="399">
        <f t="shared" si="7"/>
        <v>6.3291139240506333E-2</v>
      </c>
      <c r="P250" s="337">
        <v>1071</v>
      </c>
      <c r="Q250" s="399">
        <f t="shared" si="8"/>
        <v>9.4129020917560202E-2</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0</v>
      </c>
      <c r="O251" s="399">
        <f t="shared" si="7"/>
        <v>0</v>
      </c>
      <c r="P251" s="337">
        <v>0</v>
      </c>
      <c r="Q251" s="399">
        <f t="shared" si="8"/>
        <v>0</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3</v>
      </c>
      <c r="O254" s="399">
        <f t="shared" si="7"/>
        <v>3.7974683544303799E-2</v>
      </c>
      <c r="P254" s="337">
        <v>403</v>
      </c>
      <c r="Q254" s="399">
        <f t="shared" si="8"/>
        <v>3.5419230093162245E-2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7</v>
      </c>
      <c r="O255" s="399">
        <f t="shared" si="7"/>
        <v>8.8607594936708861E-2</v>
      </c>
      <c r="P255" s="337">
        <v>829</v>
      </c>
      <c r="Q255" s="399">
        <f t="shared" si="8"/>
        <v>7.2859905079978901E-2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79</v>
      </c>
      <c r="O257" s="399">
        <f>SUM(O248:O256)</f>
        <v>1</v>
      </c>
      <c r="P257" s="337">
        <f>SUM(P248:P256)</f>
        <v>11378</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564" t="s">
        <v>239</v>
      </c>
      <c r="C259" s="236"/>
      <c r="D259" s="236"/>
      <c r="E259" s="236"/>
      <c r="F259" s="236"/>
      <c r="G259" s="236"/>
      <c r="H259" s="237"/>
      <c r="I259" s="237"/>
      <c r="J259" s="237"/>
      <c r="K259" s="237"/>
      <c r="L259" s="237"/>
      <c r="M259" s="237"/>
      <c r="N259" s="571" t="s">
        <v>113</v>
      </c>
      <c r="O259" s="566" t="s">
        <v>114</v>
      </c>
      <c r="P259" s="571" t="s">
        <v>123</v>
      </c>
      <c r="Q259" s="566"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2</v>
      </c>
      <c r="O267" s="399">
        <f t="shared" si="9"/>
        <v>1</v>
      </c>
      <c r="P267" s="337">
        <v>85</v>
      </c>
      <c r="Q267" s="399">
        <f t="shared" si="10"/>
        <v>1</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2</v>
      </c>
      <c r="O269" s="399">
        <f>SUM(O260:O267)</f>
        <v>1</v>
      </c>
      <c r="P269" s="337">
        <f>SUM(P260:P267)</f>
        <v>85</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572" t="s">
        <v>240</v>
      </c>
      <c r="C271" s="335"/>
      <c r="D271" s="335"/>
      <c r="E271" s="335"/>
      <c r="F271" s="335"/>
      <c r="G271" s="335"/>
      <c r="H271" s="400"/>
      <c r="I271" s="400"/>
      <c r="J271" s="400"/>
      <c r="K271" s="400"/>
      <c r="L271" s="400"/>
      <c r="M271" s="400"/>
      <c r="N271" s="573">
        <f>+N245+N257+N269</f>
        <v>3873</v>
      </c>
      <c r="O271" s="399"/>
      <c r="P271" s="407">
        <f>+P269+P257+P245</f>
        <v>461302</v>
      </c>
      <c r="Q271" s="399"/>
      <c r="R271" s="335"/>
      <c r="S271" s="338"/>
      <c r="T271" s="255"/>
    </row>
    <row r="272" spans="1:20" s="256" customFormat="1" ht="15.6" x14ac:dyDescent="0.3">
      <c r="A272" s="261"/>
      <c r="B272" s="57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SEPTEMBER 2011</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9" man="1"/>
    <brk id="131" max="14" man="1"/>
    <brk id="188"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0.88119999999999998</v>
      </c>
      <c r="P16" s="247" t="s">
        <v>161</v>
      </c>
      <c r="Q16" s="246">
        <v>0.1188</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40928</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305</v>
      </c>
      <c r="I27" s="563"/>
      <c r="J27" s="563" t="s">
        <v>305</v>
      </c>
      <c r="K27" s="563"/>
      <c r="L27" s="563" t="s">
        <v>165</v>
      </c>
      <c r="M27" s="563"/>
      <c r="N27" s="563" t="s">
        <v>165</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181544.601</v>
      </c>
      <c r="I31" s="301"/>
      <c r="J31" s="302">
        <f>J30*J37</f>
        <v>269638.37459999998</v>
      </c>
      <c r="K31" s="301"/>
      <c r="L31" s="303">
        <f>L30*L37</f>
        <v>59969.207999999999</v>
      </c>
      <c r="M31" s="301"/>
      <c r="N31" s="302">
        <f>N30*N37</f>
        <v>46130.159999999996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180262.625</v>
      </c>
      <c r="I32" s="306"/>
      <c r="J32" s="308">
        <f>J36*J30</f>
        <v>267734.32500000001</v>
      </c>
      <c r="K32" s="307"/>
      <c r="L32" s="307">
        <f>L36*L30</f>
        <v>59545.733</v>
      </c>
      <c r="M32" s="307"/>
      <c r="N32" s="308">
        <f>N36*N30</f>
        <v>45804.41</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181544.601</v>
      </c>
      <c r="I34" s="301"/>
      <c r="J34" s="301">
        <f>J33*J37</f>
        <v>187496.883</v>
      </c>
      <c r="K34" s="301"/>
      <c r="L34" s="301">
        <f>L33*L37</f>
        <v>59969.207999999999</v>
      </c>
      <c r="M34" s="301"/>
      <c r="N34" s="301">
        <f>N33*N37</f>
        <v>32291.111999999997</v>
      </c>
      <c r="O34" s="301"/>
      <c r="P34" s="301"/>
      <c r="Q34" s="304"/>
      <c r="R34" s="301">
        <f>SUM(C34:N34)</f>
        <v>461301.804</v>
      </c>
      <c r="S34" s="305"/>
      <c r="T34" s="255"/>
    </row>
    <row r="35" spans="1:20" s="256" customFormat="1" ht="15.6" x14ac:dyDescent="0.3">
      <c r="A35" s="296"/>
      <c r="B35" s="297" t="s">
        <v>287</v>
      </c>
      <c r="C35" s="306"/>
      <c r="D35" s="307">
        <f>D36*D33</f>
        <v>0</v>
      </c>
      <c r="E35" s="306"/>
      <c r="F35" s="307">
        <f>F36*F33</f>
        <v>0</v>
      </c>
      <c r="G35" s="307"/>
      <c r="H35" s="307">
        <f>H36*H33</f>
        <v>180262.625</v>
      </c>
      <c r="I35" s="306"/>
      <c r="J35" s="307">
        <f>J36*J33</f>
        <v>186172.875</v>
      </c>
      <c r="K35" s="307"/>
      <c r="L35" s="307">
        <f>L36*L33</f>
        <v>59545.733</v>
      </c>
      <c r="M35" s="307"/>
      <c r="N35" s="307">
        <f>N36*N33</f>
        <v>32063.087</v>
      </c>
      <c r="O35" s="307"/>
      <c r="P35" s="307"/>
      <c r="Q35" s="309"/>
      <c r="R35" s="307">
        <f>SUM(C35:N35)</f>
        <v>458044.32</v>
      </c>
      <c r="S35" s="305"/>
      <c r="T35" s="255"/>
    </row>
    <row r="36" spans="1:20" ht="15.6" x14ac:dyDescent="0.3">
      <c r="A36" s="310"/>
      <c r="B36" s="311" t="s">
        <v>149</v>
      </c>
      <c r="C36" s="312"/>
      <c r="D36" s="313">
        <v>0</v>
      </c>
      <c r="E36" s="314"/>
      <c r="F36" s="313">
        <v>0</v>
      </c>
      <c r="G36" s="315"/>
      <c r="H36" s="313">
        <v>0.59102500000000002</v>
      </c>
      <c r="I36" s="315"/>
      <c r="J36" s="313">
        <v>0.59102500000000002</v>
      </c>
      <c r="K36" s="315"/>
      <c r="L36" s="313">
        <v>0.91608820000000002</v>
      </c>
      <c r="M36" s="315"/>
      <c r="N36" s="313">
        <v>0.91608820000000002</v>
      </c>
      <c r="O36" s="316"/>
      <c r="P36" s="316"/>
      <c r="Q36" s="317"/>
      <c r="R36" s="316"/>
      <c r="S36" s="318"/>
      <c r="T36" s="5"/>
    </row>
    <row r="37" spans="1:20" ht="15.6" x14ac:dyDescent="0.3">
      <c r="A37" s="310"/>
      <c r="B37" s="311" t="s">
        <v>150</v>
      </c>
      <c r="C37" s="312"/>
      <c r="D37" s="313">
        <v>0</v>
      </c>
      <c r="E37" s="314"/>
      <c r="F37" s="313">
        <v>0</v>
      </c>
      <c r="G37" s="315"/>
      <c r="H37" s="313">
        <v>0.59522819999999999</v>
      </c>
      <c r="I37" s="315"/>
      <c r="J37" s="313">
        <v>0.59522819999999999</v>
      </c>
      <c r="K37" s="315"/>
      <c r="L37" s="313">
        <v>0.92260319999999996</v>
      </c>
      <c r="M37" s="315"/>
      <c r="N37" s="313">
        <v>0.92260319999999996</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1.34669E-2</v>
      </c>
      <c r="I39" s="321"/>
      <c r="J39" s="320">
        <v>1.932E-2</v>
      </c>
      <c r="K39" s="321"/>
      <c r="L39" s="320">
        <v>2.26669E-2</v>
      </c>
      <c r="M39" s="321"/>
      <c r="N39" s="320">
        <v>2.7720000000000002E-2</v>
      </c>
      <c r="O39" s="321"/>
      <c r="P39" s="320"/>
      <c r="Q39" s="294"/>
      <c r="R39" s="321"/>
      <c r="S39" s="295"/>
      <c r="T39" s="255"/>
    </row>
    <row r="40" spans="1:20" s="256" customFormat="1" ht="15.6" x14ac:dyDescent="0.3">
      <c r="A40" s="291"/>
      <c r="B40" s="292" t="s">
        <v>14</v>
      </c>
      <c r="C40" s="292"/>
      <c r="D40" s="320">
        <v>0</v>
      </c>
      <c r="E40" s="292"/>
      <c r="F40" s="320">
        <v>0</v>
      </c>
      <c r="G40" s="321"/>
      <c r="H40" s="320">
        <v>1.20719E-2</v>
      </c>
      <c r="I40" s="321"/>
      <c r="J40" s="320">
        <v>1.9650000000000001E-2</v>
      </c>
      <c r="K40" s="321"/>
      <c r="L40" s="320">
        <v>2.12719E-2</v>
      </c>
      <c r="M40" s="321"/>
      <c r="N40" s="320">
        <v>2.8049999999999999E-2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1.34669E-2</v>
      </c>
      <c r="I42" s="321"/>
      <c r="J42" s="320">
        <v>1.42629E-2</v>
      </c>
      <c r="K42" s="321"/>
      <c r="L42" s="320">
        <f>+L39</f>
        <v>2.26669E-2</v>
      </c>
      <c r="M42" s="321"/>
      <c r="N42" s="320">
        <v>2.3420900000000001E-2</v>
      </c>
      <c r="O42" s="321"/>
      <c r="P42" s="320"/>
      <c r="Q42" s="294"/>
      <c r="R42" s="321">
        <f>SUMPRODUCT(D42:N42,D34:N34)/R34</f>
        <v>1.5683214682602021E-2</v>
      </c>
      <c r="S42" s="295"/>
      <c r="T42" s="255"/>
    </row>
    <row r="43" spans="1:20" s="256" customFormat="1" ht="15.6" x14ac:dyDescent="0.3">
      <c r="A43" s="291"/>
      <c r="B43" s="292" t="s">
        <v>290</v>
      </c>
      <c r="C43" s="292"/>
      <c r="D43" s="320">
        <f>+D40</f>
        <v>0</v>
      </c>
      <c r="E43" s="292"/>
      <c r="F43" s="320">
        <v>0</v>
      </c>
      <c r="G43" s="321"/>
      <c r="H43" s="320">
        <f>+H40</f>
        <v>1.20719E-2</v>
      </c>
      <c r="I43" s="321"/>
      <c r="J43" s="320">
        <v>1.28679E-2</v>
      </c>
      <c r="K43" s="321"/>
      <c r="L43" s="320">
        <f>+L40</f>
        <v>2.12719E-2</v>
      </c>
      <c r="M43" s="321"/>
      <c r="N43" s="320">
        <v>2.2025900000000001E-2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0.24999984990537219</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40924</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94</v>
      </c>
      <c r="O55" s="329"/>
      <c r="P55" s="330">
        <v>40739</v>
      </c>
      <c r="Q55" s="331"/>
      <c r="R55" s="330">
        <v>40832</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40833</v>
      </c>
      <c r="Q56" s="331"/>
      <c r="R56" s="330">
        <v>40923</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40911</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307</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461302</v>
      </c>
      <c r="K66" s="336"/>
      <c r="L66" s="336">
        <f>3258+82+10</f>
        <v>3350</v>
      </c>
      <c r="M66" s="336"/>
      <c r="N66" s="336">
        <f>82+10</f>
        <v>92</v>
      </c>
      <c r="O66" s="336"/>
      <c r="P66" s="336">
        <v>0</v>
      </c>
      <c r="Q66" s="336"/>
      <c r="R66" s="337">
        <f>+J66-L66+N66-P66</f>
        <v>458044</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461302</v>
      </c>
      <c r="K69" s="336"/>
      <c r="L69" s="336">
        <f>SUM(L66:L68)</f>
        <v>3350</v>
      </c>
      <c r="M69" s="336"/>
      <c r="N69" s="336">
        <f>SUM(N66:N68)</f>
        <v>92</v>
      </c>
      <c r="O69" s="336"/>
      <c r="P69" s="336">
        <f>SUM(P66:P68)</f>
        <v>0</v>
      </c>
      <c r="Q69" s="336"/>
      <c r="R69" s="336">
        <f>SUM(R66:R68)</f>
        <v>458044</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461302</v>
      </c>
      <c r="K82" s="336"/>
      <c r="L82" s="336"/>
      <c r="M82" s="336"/>
      <c r="N82" s="336"/>
      <c r="O82" s="336"/>
      <c r="P82" s="336"/>
      <c r="Q82" s="336"/>
      <c r="R82" s="336">
        <f>SUM(R69:R81)</f>
        <v>458044</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+P189</f>
        <v>40907</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3350-123</f>
        <v>3227</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3729+516-885-125</f>
        <v>3235</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v>21</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38</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321</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3227</v>
      </c>
      <c r="Q94" s="335"/>
      <c r="R94" s="336">
        <f>SUM(R86:R93)</f>
        <v>3615</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-3</v>
      </c>
      <c r="Q95" s="335"/>
      <c r="R95" s="336">
        <f>-P95</f>
        <v>3</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-52</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3224</v>
      </c>
      <c r="Q98" s="335"/>
      <c r="R98" s="336">
        <f>R94+R96+R95+R97</f>
        <v>3566</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-116-166-6</f>
        <v>-288</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-117</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-609</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-667</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-339</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-188</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123</v>
      </c>
      <c r="Q112" s="335"/>
      <c r="R112" s="337">
        <v>-123</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-236</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-988</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-89</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-1282</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-1324</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-424</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-228</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-3347</v>
      </c>
      <c r="Q127" s="336"/>
      <c r="R127" s="336">
        <f>SUM(R99:R126)</f>
        <v>-3566</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DECEMBER 2011</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56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123</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123</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-123</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f>-R97</f>
        <v>52</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458044</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458044</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+'Sept 11'!O176</f>
        <v>88235</v>
      </c>
      <c r="P174" s="337">
        <f>+'Sept 11'!P176</f>
        <v>8396</v>
      </c>
      <c r="Q174" s="335"/>
      <c r="R174" s="337">
        <f>O174+P174</f>
        <v>96631</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f>82+7</f>
        <v>89</v>
      </c>
      <c r="P175" s="336">
        <f>-P95-P119</f>
        <v>3</v>
      </c>
      <c r="Q175" s="335"/>
      <c r="R175" s="337">
        <f>O175+P175</f>
        <v>92</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88324</v>
      </c>
      <c r="P176" s="337">
        <f>P175+P174</f>
        <v>8399</v>
      </c>
      <c r="Q176" s="335"/>
      <c r="R176" s="337">
        <f>O176+P176</f>
        <v>96723</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63277</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2.4749216300940438</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1.51</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3.5711574952561671</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2.79</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DECEMBER 2011</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568" t="s">
        <v>78</v>
      </c>
      <c r="C189" s="569"/>
      <c r="D189" s="569"/>
      <c r="E189" s="569"/>
      <c r="F189" s="569"/>
      <c r="G189" s="570"/>
      <c r="H189" s="570"/>
      <c r="I189" s="570"/>
      <c r="J189" s="570"/>
      <c r="K189" s="570"/>
      <c r="L189" s="570"/>
      <c r="M189" s="570"/>
      <c r="N189" s="570"/>
      <c r="O189" s="570"/>
      <c r="P189" s="570">
        <v>40907</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2.767E-2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1.5683214682602021E-2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1.1986785317397979E-2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7.730293820534054E-3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14.1</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7.2620539256278965E-3</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0.1203</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564" t="s">
        <v>87</v>
      </c>
      <c r="C205" s="566"/>
      <c r="D205" s="566"/>
      <c r="E205" s="566"/>
      <c r="F205" s="571"/>
      <c r="G205" s="566"/>
      <c r="H205" s="566"/>
      <c r="I205" s="566"/>
      <c r="J205" s="566"/>
      <c r="K205" s="566"/>
      <c r="L205" s="566"/>
      <c r="M205" s="566"/>
      <c r="N205" s="566"/>
      <c r="O205" s="566" t="s">
        <v>113</v>
      </c>
      <c r="P205" s="571"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3</v>
      </c>
      <c r="P206" s="277">
        <v>215</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97</v>
      </c>
      <c r="P207" s="371">
        <f>+P257</f>
        <v>14118</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2</v>
      </c>
      <c r="P208" s="371">
        <f>+P269</f>
        <v>85</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35" t="s">
        <v>93</v>
      </c>
      <c r="C212" s="335"/>
      <c r="D212" s="335"/>
      <c r="E212" s="335"/>
      <c r="F212" s="335"/>
      <c r="G212" s="335"/>
      <c r="H212" s="335"/>
      <c r="I212" s="335"/>
      <c r="J212" s="335"/>
      <c r="K212" s="335"/>
      <c r="L212" s="335"/>
      <c r="M212" s="335"/>
      <c r="N212" s="335"/>
      <c r="O212" s="369"/>
      <c r="P212" s="371">
        <f>R159</f>
        <v>123</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'Sept 11'!P213+P212</f>
        <v>3176</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0</v>
      </c>
      <c r="P215" s="371">
        <v>0</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0</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0</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2</v>
      </c>
      <c r="P219" s="371">
        <v>326</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5.33</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564" t="s">
        <v>298</v>
      </c>
      <c r="C223" s="566"/>
      <c r="D223" s="566"/>
      <c r="E223" s="566"/>
      <c r="F223" s="571"/>
      <c r="G223" s="566"/>
      <c r="H223" s="566"/>
      <c r="I223" s="566"/>
      <c r="J223" s="566"/>
      <c r="K223" s="566"/>
      <c r="L223" s="566"/>
      <c r="M223" s="566"/>
      <c r="N223" s="571" t="s">
        <v>113</v>
      </c>
      <c r="O223" s="566" t="s">
        <v>114</v>
      </c>
      <c r="P223" s="571" t="s">
        <v>123</v>
      </c>
      <c r="Q223" s="566" t="s">
        <v>114</v>
      </c>
      <c r="R223" s="216"/>
      <c r="S223" s="564"/>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3771</v>
      </c>
      <c r="O224" s="280">
        <f t="shared" ref="O224:O231" si="2">N224/$N$233</f>
        <v>0.97948051948051951</v>
      </c>
      <c r="P224" s="269">
        <f t="shared" ref="P224:P231" si="3">+P236+P248+P260</f>
        <v>448235</v>
      </c>
      <c r="Q224" s="280">
        <f t="shared" ref="Q224:Q231" si="4">P224/$P$233</f>
        <v>0.97858502676598758</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53</v>
      </c>
      <c r="O225" s="399">
        <f t="shared" si="2"/>
        <v>1.3766233766233767E-2</v>
      </c>
      <c r="P225" s="337">
        <f t="shared" si="3"/>
        <v>7835</v>
      </c>
      <c r="Q225" s="399">
        <f t="shared" si="4"/>
        <v>1.7105343591445363E-2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6</v>
      </c>
      <c r="O226" s="399">
        <f t="shared" si="2"/>
        <v>1.5584415584415584E-3</v>
      </c>
      <c r="P226" s="337">
        <f t="shared" si="3"/>
        <v>275</v>
      </c>
      <c r="Q226" s="399">
        <f t="shared" si="4"/>
        <v>6.0037900289055201E-4</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3</v>
      </c>
      <c r="O227" s="399">
        <f t="shared" si="2"/>
        <v>7.7922077922077922E-4</v>
      </c>
      <c r="P227" s="337">
        <f t="shared" si="3"/>
        <v>87</v>
      </c>
      <c r="Q227" s="399">
        <f t="shared" si="4"/>
        <v>1.8993808455082918E-4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0</v>
      </c>
      <c r="O228" s="399">
        <f t="shared" si="2"/>
        <v>0</v>
      </c>
      <c r="P228" s="337">
        <f t="shared" si="3"/>
        <v>0</v>
      </c>
      <c r="Q228" s="399">
        <f t="shared" si="4"/>
        <v>0</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1</v>
      </c>
      <c r="O229" s="399">
        <f t="shared" si="2"/>
        <v>2.5974025974025974E-4</v>
      </c>
      <c r="P229" s="337">
        <f t="shared" si="3"/>
        <v>32</v>
      </c>
      <c r="Q229" s="399">
        <f t="shared" si="4"/>
        <v>6.9862283972718783E-5</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5</v>
      </c>
      <c r="O230" s="399">
        <f t="shared" si="2"/>
        <v>1.2987012987012987E-3</v>
      </c>
      <c r="P230" s="337">
        <f t="shared" si="3"/>
        <v>456</v>
      </c>
      <c r="Q230" s="399">
        <f t="shared" si="4"/>
        <v>9.9553754661124249E-4</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11</v>
      </c>
      <c r="O231" s="561">
        <f t="shared" si="2"/>
        <v>2.8571428571428571E-3</v>
      </c>
      <c r="P231" s="562">
        <f t="shared" si="3"/>
        <v>1124</v>
      </c>
      <c r="Q231" s="561">
        <f t="shared" si="4"/>
        <v>2.4539127245417473E-3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3850</v>
      </c>
      <c r="O233" s="399">
        <f>SUM(O224:O232)</f>
        <v>1</v>
      </c>
      <c r="P233" s="337">
        <f>SUM(P224:P232)</f>
        <v>458044</v>
      </c>
      <c r="Q233" s="399">
        <f>SUM(Q224:Q232)</f>
        <v>1</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564" t="s">
        <v>236</v>
      </c>
      <c r="C235" s="566"/>
      <c r="D235" s="566"/>
      <c r="E235" s="566"/>
      <c r="F235" s="571"/>
      <c r="G235" s="566"/>
      <c r="H235" s="566"/>
      <c r="I235" s="566"/>
      <c r="J235" s="566"/>
      <c r="K235" s="566"/>
      <c r="L235" s="566"/>
      <c r="M235" s="566"/>
      <c r="N235" s="571" t="s">
        <v>113</v>
      </c>
      <c r="O235" s="566" t="s">
        <v>114</v>
      </c>
      <c r="P235" s="571" t="s">
        <v>123</v>
      </c>
      <c r="Q235" s="566" t="s">
        <v>114</v>
      </c>
      <c r="R235" s="216"/>
      <c r="S235" s="564"/>
      <c r="T235" s="5"/>
    </row>
    <row r="236" spans="1:21" s="256" customFormat="1" ht="15.6" x14ac:dyDescent="0.3">
      <c r="A236" s="251"/>
      <c r="B236" s="259" t="s">
        <v>99</v>
      </c>
      <c r="C236" s="279"/>
      <c r="D236" s="279"/>
      <c r="E236" s="279"/>
      <c r="F236" s="252"/>
      <c r="G236" s="279"/>
      <c r="H236" s="279"/>
      <c r="I236" s="279"/>
      <c r="J236" s="279"/>
      <c r="K236" s="279"/>
      <c r="L236" s="279"/>
      <c r="M236" s="279"/>
      <c r="N236" s="259">
        <v>3696</v>
      </c>
      <c r="O236" s="280">
        <f t="shared" ref="O236:O243" si="5">N236/$N$245</f>
        <v>0.98533724340175954</v>
      </c>
      <c r="P236" s="269">
        <v>437140</v>
      </c>
      <c r="Q236" s="280">
        <f t="shared" ref="Q236:Q243" si="6">P236/$P$245</f>
        <v>0.98490225103133777</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41</v>
      </c>
      <c r="O237" s="399">
        <f t="shared" si="5"/>
        <v>1.0930418555051986E-2</v>
      </c>
      <c r="P237" s="337">
        <v>6031</v>
      </c>
      <c r="Q237" s="399">
        <f t="shared" si="6"/>
        <v>1.3588199377705079E-2</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5</v>
      </c>
      <c r="O238" s="399">
        <f t="shared" si="5"/>
        <v>1.3329778725673154E-3</v>
      </c>
      <c r="P238" s="337">
        <v>121</v>
      </c>
      <c r="Q238" s="399">
        <f t="shared" si="6"/>
        <v>2.7262015000867427E-4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3</v>
      </c>
      <c r="O239" s="399">
        <f t="shared" si="5"/>
        <v>7.997867235403892E-4</v>
      </c>
      <c r="P239" s="337">
        <v>87</v>
      </c>
      <c r="Q239" s="399">
        <f t="shared" si="6"/>
        <v>1.9601614091532778E-4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1</v>
      </c>
      <c r="O241" s="399">
        <f t="shared" si="5"/>
        <v>2.6659557451346307E-4</v>
      </c>
      <c r="P241" s="337">
        <v>32</v>
      </c>
      <c r="Q241" s="399">
        <f t="shared" si="6"/>
        <v>7.2097890911384933E-5</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2</v>
      </c>
      <c r="O242" s="399">
        <f t="shared" si="5"/>
        <v>5.3319114902692613E-4</v>
      </c>
      <c r="P242" s="337">
        <v>76</v>
      </c>
      <c r="Q242" s="399">
        <f t="shared" si="6"/>
        <v>1.7123249091453922E-4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3</v>
      </c>
      <c r="O243" s="399">
        <f t="shared" si="5"/>
        <v>7.997867235403892E-4</v>
      </c>
      <c r="P243" s="337">
        <v>354</v>
      </c>
      <c r="Q243" s="399">
        <f t="shared" si="6"/>
        <v>7.9758291820719585E-4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3751</v>
      </c>
      <c r="O245" s="399">
        <f>SUM(O236:O244)</f>
        <v>1</v>
      </c>
      <c r="P245" s="337">
        <f>SUM(P236:P244)</f>
        <v>443841</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564" t="s">
        <v>241</v>
      </c>
      <c r="C247" s="566"/>
      <c r="D247" s="566"/>
      <c r="E247" s="566"/>
      <c r="F247" s="571"/>
      <c r="G247" s="566"/>
      <c r="H247" s="566"/>
      <c r="I247" s="566"/>
      <c r="J247" s="566"/>
      <c r="K247" s="566"/>
      <c r="L247" s="566"/>
      <c r="M247" s="566"/>
      <c r="N247" s="571" t="s">
        <v>113</v>
      </c>
      <c r="O247" s="566" t="s">
        <v>114</v>
      </c>
      <c r="P247" s="571" t="s">
        <v>123</v>
      </c>
      <c r="Q247" s="566"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75</v>
      </c>
      <c r="O248" s="280">
        <f t="shared" ref="O248:O255" si="7">N248/$N$257</f>
        <v>0.77319587628865982</v>
      </c>
      <c r="P248" s="269">
        <v>11095</v>
      </c>
      <c r="Q248" s="280">
        <f t="shared" ref="Q248:Q255" si="8">P248/$P$257</f>
        <v>0.78587618642867263</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12</v>
      </c>
      <c r="O249" s="399">
        <f t="shared" si="7"/>
        <v>0.12371134020618557</v>
      </c>
      <c r="P249" s="337">
        <v>1804</v>
      </c>
      <c r="Q249" s="399">
        <f t="shared" si="8"/>
        <v>0.12778013882986258</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1</v>
      </c>
      <c r="O250" s="399">
        <f t="shared" si="7"/>
        <v>1.0309278350515464E-2</v>
      </c>
      <c r="P250" s="337">
        <v>154</v>
      </c>
      <c r="Q250" s="399">
        <f t="shared" si="8"/>
        <v>1.0908060631817538E-2</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0</v>
      </c>
      <c r="O251" s="399">
        <f t="shared" si="7"/>
        <v>0</v>
      </c>
      <c r="P251" s="337">
        <v>0</v>
      </c>
      <c r="Q251" s="399">
        <f t="shared" si="8"/>
        <v>0</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3</v>
      </c>
      <c r="O254" s="399">
        <f t="shared" si="7"/>
        <v>3.0927835051546393E-2</v>
      </c>
      <c r="P254" s="337">
        <v>380</v>
      </c>
      <c r="Q254" s="399">
        <f t="shared" si="8"/>
        <v>2.6915993766822497E-2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6</v>
      </c>
      <c r="O255" s="399">
        <f t="shared" si="7"/>
        <v>6.1855670103092786E-2</v>
      </c>
      <c r="P255" s="337">
        <v>685</v>
      </c>
      <c r="Q255" s="399">
        <f t="shared" si="8"/>
        <v>4.8519620342824761E-2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97</v>
      </c>
      <c r="O257" s="399">
        <f>SUM(O248:O256)</f>
        <v>1</v>
      </c>
      <c r="P257" s="337">
        <f>SUM(P248:P256)</f>
        <v>14118</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564" t="s">
        <v>239</v>
      </c>
      <c r="C259" s="236"/>
      <c r="D259" s="236"/>
      <c r="E259" s="236"/>
      <c r="F259" s="236"/>
      <c r="G259" s="236"/>
      <c r="H259" s="237"/>
      <c r="I259" s="237"/>
      <c r="J259" s="237"/>
      <c r="K259" s="237"/>
      <c r="L259" s="237"/>
      <c r="M259" s="237"/>
      <c r="N259" s="571" t="s">
        <v>113</v>
      </c>
      <c r="O259" s="566" t="s">
        <v>114</v>
      </c>
      <c r="P259" s="571" t="s">
        <v>123</v>
      </c>
      <c r="Q259" s="566"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2</v>
      </c>
      <c r="O267" s="399">
        <f t="shared" si="9"/>
        <v>1</v>
      </c>
      <c r="P267" s="337">
        <v>85</v>
      </c>
      <c r="Q267" s="399">
        <f t="shared" si="10"/>
        <v>1</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2</v>
      </c>
      <c r="O269" s="399">
        <f>SUM(O260:O267)</f>
        <v>1</v>
      </c>
      <c r="P269" s="337">
        <f>SUM(P260:P267)</f>
        <v>85</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572" t="s">
        <v>240</v>
      </c>
      <c r="C271" s="335"/>
      <c r="D271" s="335"/>
      <c r="E271" s="335"/>
      <c r="F271" s="335"/>
      <c r="G271" s="335"/>
      <c r="H271" s="400"/>
      <c r="I271" s="400"/>
      <c r="J271" s="400"/>
      <c r="K271" s="400"/>
      <c r="L271" s="400"/>
      <c r="M271" s="400"/>
      <c r="N271" s="573">
        <f>+N245+N257+N269</f>
        <v>3850</v>
      </c>
      <c r="O271" s="399"/>
      <c r="P271" s="407">
        <f>+P269+P257+P245</f>
        <v>458044</v>
      </c>
      <c r="Q271" s="399"/>
      <c r="R271" s="335"/>
      <c r="S271" s="338"/>
      <c r="T271" s="255"/>
    </row>
    <row r="272" spans="1:20" s="256" customFormat="1" ht="15.6" x14ac:dyDescent="0.3">
      <c r="A272" s="261"/>
      <c r="B272" s="57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DECEMBER 2011</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9" man="1"/>
    <brk id="131" max="14" man="1"/>
    <brk id="188"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0.88149999999999995</v>
      </c>
      <c r="P16" s="247" t="s">
        <v>161</v>
      </c>
      <c r="Q16" s="246">
        <v>0.11849999999999999</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41019</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165</v>
      </c>
      <c r="M27" s="563"/>
      <c r="N27" s="563" t="s">
        <v>165</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180262.625</v>
      </c>
      <c r="I31" s="301"/>
      <c r="J31" s="302">
        <f>J30*J37</f>
        <v>267734.32500000001</v>
      </c>
      <c r="K31" s="301"/>
      <c r="L31" s="303">
        <f>L30*L37</f>
        <v>59545.733</v>
      </c>
      <c r="M31" s="301"/>
      <c r="N31" s="302">
        <f>N30*N37</f>
        <v>45804.41</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179063.36499999999</v>
      </c>
      <c r="I32" s="306"/>
      <c r="J32" s="308">
        <f>J36*J30</f>
        <v>265953.12900000002</v>
      </c>
      <c r="K32" s="307"/>
      <c r="L32" s="307">
        <f>L36*L30</f>
        <v>59149.570999999996</v>
      </c>
      <c r="M32" s="307"/>
      <c r="N32" s="308">
        <f>N36*N30</f>
        <v>45499.67</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180262.625</v>
      </c>
      <c r="I34" s="301"/>
      <c r="J34" s="301">
        <f>J33*J37</f>
        <v>186172.875</v>
      </c>
      <c r="K34" s="301"/>
      <c r="L34" s="301">
        <f>L33*L37</f>
        <v>59545.733</v>
      </c>
      <c r="M34" s="301"/>
      <c r="N34" s="301">
        <f>N33*N37</f>
        <v>32063.087</v>
      </c>
      <c r="O34" s="301"/>
      <c r="P34" s="301"/>
      <c r="Q34" s="304"/>
      <c r="R34" s="301">
        <f>SUM(C34:N34)</f>
        <v>458044.32</v>
      </c>
      <c r="S34" s="305"/>
      <c r="T34" s="255"/>
    </row>
    <row r="35" spans="1:20" s="256" customFormat="1" ht="15.6" x14ac:dyDescent="0.3">
      <c r="A35" s="296"/>
      <c r="B35" s="297" t="s">
        <v>287</v>
      </c>
      <c r="C35" s="306"/>
      <c r="D35" s="307">
        <f>D36*D33</f>
        <v>0</v>
      </c>
      <c r="E35" s="306"/>
      <c r="F35" s="307">
        <f>F36*F33</f>
        <v>0</v>
      </c>
      <c r="G35" s="307"/>
      <c r="H35" s="307">
        <f>H36*H33</f>
        <v>179063.36499999999</v>
      </c>
      <c r="I35" s="306"/>
      <c r="J35" s="307">
        <f>J36*J33</f>
        <v>184934.29499999998</v>
      </c>
      <c r="K35" s="307"/>
      <c r="L35" s="307">
        <f>L36*L33</f>
        <v>59149.570999999996</v>
      </c>
      <c r="M35" s="307"/>
      <c r="N35" s="307">
        <f>N36*N33</f>
        <v>31849.768999999997</v>
      </c>
      <c r="O35" s="307"/>
      <c r="P35" s="307"/>
      <c r="Q35" s="309"/>
      <c r="R35" s="307">
        <f>SUM(C35:N35)</f>
        <v>454996.99999999994</v>
      </c>
      <c r="S35" s="305"/>
      <c r="T35" s="255"/>
    </row>
    <row r="36" spans="1:20" ht="15.6" x14ac:dyDescent="0.3">
      <c r="A36" s="310"/>
      <c r="B36" s="311" t="s">
        <v>149</v>
      </c>
      <c r="C36" s="312"/>
      <c r="D36" s="313">
        <v>0</v>
      </c>
      <c r="E36" s="314"/>
      <c r="F36" s="313">
        <v>0</v>
      </c>
      <c r="G36" s="315"/>
      <c r="H36" s="313">
        <v>0.58709299999999998</v>
      </c>
      <c r="I36" s="315"/>
      <c r="J36" s="313">
        <v>0.58709299999999998</v>
      </c>
      <c r="K36" s="315"/>
      <c r="L36" s="313">
        <v>0.90999339999999995</v>
      </c>
      <c r="M36" s="315"/>
      <c r="N36" s="313">
        <v>0.90999339999999995</v>
      </c>
      <c r="O36" s="316"/>
      <c r="P36" s="316"/>
      <c r="Q36" s="317"/>
      <c r="R36" s="316"/>
      <c r="S36" s="318"/>
      <c r="T36" s="5"/>
    </row>
    <row r="37" spans="1:20" ht="15.6" x14ac:dyDescent="0.3">
      <c r="A37" s="310"/>
      <c r="B37" s="311" t="s">
        <v>150</v>
      </c>
      <c r="C37" s="312"/>
      <c r="D37" s="313">
        <v>0</v>
      </c>
      <c r="E37" s="314"/>
      <c r="F37" s="313">
        <v>0</v>
      </c>
      <c r="G37" s="315"/>
      <c r="H37" s="313">
        <v>0.59102500000000002</v>
      </c>
      <c r="I37" s="315"/>
      <c r="J37" s="313">
        <v>0.59102500000000002</v>
      </c>
      <c r="K37" s="315"/>
      <c r="L37" s="313">
        <v>0.91608820000000002</v>
      </c>
      <c r="M37" s="315"/>
      <c r="N37" s="313">
        <v>0.91608820000000002</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1.46956E-2</v>
      </c>
      <c r="I39" s="321"/>
      <c r="J39" s="320">
        <v>1.6049999999999998E-2</v>
      </c>
      <c r="K39" s="321"/>
      <c r="L39" s="320">
        <v>2.3895599999999999E-2</v>
      </c>
      <c r="M39" s="321"/>
      <c r="N39" s="320">
        <v>2.445E-2</v>
      </c>
      <c r="O39" s="321"/>
      <c r="P39" s="320"/>
      <c r="Q39" s="294"/>
      <c r="R39" s="321"/>
      <c r="S39" s="295"/>
      <c r="T39" s="255"/>
    </row>
    <row r="40" spans="1:20" s="256" customFormat="1" ht="15.6" x14ac:dyDescent="0.3">
      <c r="A40" s="291"/>
      <c r="B40" s="292" t="s">
        <v>14</v>
      </c>
      <c r="C40" s="292"/>
      <c r="D40" s="320">
        <v>0</v>
      </c>
      <c r="E40" s="292"/>
      <c r="F40" s="320">
        <v>0</v>
      </c>
      <c r="G40" s="321"/>
      <c r="H40" s="320">
        <v>1.34669E-2</v>
      </c>
      <c r="I40" s="321"/>
      <c r="J40" s="320">
        <v>1.932E-2</v>
      </c>
      <c r="K40" s="321"/>
      <c r="L40" s="320">
        <v>2.26669E-2</v>
      </c>
      <c r="M40" s="321"/>
      <c r="N40" s="320">
        <v>2.7720000000000002E-2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1.46956E-2</v>
      </c>
      <c r="I42" s="321"/>
      <c r="J42" s="320">
        <v>1.5491599999999999E-2</v>
      </c>
      <c r="K42" s="321"/>
      <c r="L42" s="320">
        <f>+L39</f>
        <v>2.3895599999999999E-2</v>
      </c>
      <c r="M42" s="321"/>
      <c r="N42" s="320">
        <v>2.4649600000000001E-2</v>
      </c>
      <c r="O42" s="321"/>
      <c r="P42" s="320"/>
      <c r="Q42" s="294"/>
      <c r="R42" s="321">
        <f>SUMPRODUCT(D42:N42,D34:N34)/R34</f>
        <v>1.6911914613612061E-2</v>
      </c>
      <c r="S42" s="295"/>
      <c r="T42" s="255"/>
    </row>
    <row r="43" spans="1:20" s="256" customFormat="1" ht="15.6" x14ac:dyDescent="0.3">
      <c r="A43" s="291"/>
      <c r="B43" s="292" t="s">
        <v>290</v>
      </c>
      <c r="C43" s="292"/>
      <c r="D43" s="320">
        <f>+D40</f>
        <v>0</v>
      </c>
      <c r="E43" s="292"/>
      <c r="F43" s="320">
        <v>0</v>
      </c>
      <c r="G43" s="321"/>
      <c r="H43" s="320">
        <f>+H40</f>
        <v>1.34669E-2</v>
      </c>
      <c r="I43" s="321"/>
      <c r="J43" s="320">
        <v>1.42629E-2</v>
      </c>
      <c r="K43" s="321"/>
      <c r="L43" s="320">
        <v>2.26669E-2</v>
      </c>
      <c r="M43" s="321"/>
      <c r="N43" s="320">
        <v>2.3420900000000001E-2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0.24999979395471938</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41015</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40833</v>
      </c>
      <c r="Q55" s="331"/>
      <c r="R55" s="330">
        <v>40923</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40924</v>
      </c>
      <c r="Q56" s="331"/>
      <c r="R56" s="330">
        <v>41014</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41001</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309</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458044</v>
      </c>
      <c r="K66" s="336"/>
      <c r="L66" s="336">
        <f>3047+309+2</f>
        <v>3358</v>
      </c>
      <c r="M66" s="336"/>
      <c r="N66" s="336">
        <f>309+2</f>
        <v>311</v>
      </c>
      <c r="O66" s="336"/>
      <c r="P66" s="336">
        <v>0</v>
      </c>
      <c r="Q66" s="336"/>
      <c r="R66" s="337">
        <f>+J66-L66+N66-P66</f>
        <v>454997</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458044</v>
      </c>
      <c r="K69" s="336"/>
      <c r="L69" s="336">
        <f>SUM(L66:L68)</f>
        <v>3358</v>
      </c>
      <c r="M69" s="336"/>
      <c r="N69" s="336">
        <f>SUM(N66:N68)</f>
        <v>311</v>
      </c>
      <c r="O69" s="336"/>
      <c r="P69" s="336">
        <f>SUM(P66:P68)</f>
        <v>0</v>
      </c>
      <c r="Q69" s="336"/>
      <c r="R69" s="336">
        <f>SUM(R66:R68)</f>
        <v>454997</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458044</v>
      </c>
      <c r="K82" s="336"/>
      <c r="L82" s="336"/>
      <c r="M82" s="336"/>
      <c r="N82" s="336"/>
      <c r="O82" s="336"/>
      <c r="P82" s="336"/>
      <c r="Q82" s="336"/>
      <c r="R82" s="336">
        <f>SUM(R69:R81)</f>
        <v>454997</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+P189</f>
        <v>40998</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3358-253</f>
        <v>3105</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3758+457-946-61</f>
        <v>3208</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v>170</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47</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346</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3105</v>
      </c>
      <c r="Q94" s="335"/>
      <c r="R94" s="336">
        <f>SUM(R86:R93)</f>
        <v>3771</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-2</v>
      </c>
      <c r="Q95" s="335"/>
      <c r="R95" s="336">
        <f>-P95</f>
        <v>2</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-96</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3103</v>
      </c>
      <c r="Q98" s="335"/>
      <c r="R98" s="336">
        <f>R94+R96+R95+R97</f>
        <v>3677</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-114-177-6</f>
        <v>-297</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-114</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-661</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-719</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-355</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-197</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253</v>
      </c>
      <c r="Q112" s="335"/>
      <c r="R112" s="337">
        <v>-253</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-232</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-838</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-309</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-1199</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-1239</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-396</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-213</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-3356</v>
      </c>
      <c r="Q127" s="336"/>
      <c r="R127" s="336">
        <f>SUM(R99:R126)</f>
        <v>-3677</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MARCH 2012</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56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253</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253</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-253</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f>-R97</f>
        <v>96</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454997</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454997</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+'Dec 11'!O176</f>
        <v>88324</v>
      </c>
      <c r="P174" s="337">
        <f>+'Dec 11'!P176</f>
        <v>8399</v>
      </c>
      <c r="Q174" s="335"/>
      <c r="R174" s="337">
        <f>O174+P174</f>
        <v>96723</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v>309</v>
      </c>
      <c r="P175" s="336">
        <f>-P95-P119</f>
        <v>2</v>
      </c>
      <c r="Q175" s="335"/>
      <c r="R175" s="337">
        <f>O175+P175</f>
        <v>311</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88633</v>
      </c>
      <c r="P176" s="337">
        <f>P175+P174</f>
        <v>8401</v>
      </c>
      <c r="Q176" s="335"/>
      <c r="R176" s="337">
        <f>O176+P176</f>
        <v>97034</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62966</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2.3644927536231886</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1.51</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3.4112318840579712</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2.8</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MARCH 2012</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568" t="s">
        <v>78</v>
      </c>
      <c r="C189" s="569"/>
      <c r="D189" s="569"/>
      <c r="E189" s="569"/>
      <c r="F189" s="569"/>
      <c r="G189" s="570"/>
      <c r="H189" s="570"/>
      <c r="I189" s="570"/>
      <c r="J189" s="570"/>
      <c r="K189" s="570"/>
      <c r="L189" s="570"/>
      <c r="M189" s="570"/>
      <c r="N189" s="570"/>
      <c r="O189" s="570"/>
      <c r="P189" s="570">
        <v>40998</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2.843E-2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1.6911914613612061E-2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1.151808538638794E-2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8.0276130677402174E-3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13.86</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7.3311734243871772E-3</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0.1173</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564" t="s">
        <v>87</v>
      </c>
      <c r="C205" s="566"/>
      <c r="D205" s="566"/>
      <c r="E205" s="566"/>
      <c r="F205" s="571"/>
      <c r="G205" s="566"/>
      <c r="H205" s="566"/>
      <c r="I205" s="566"/>
      <c r="J205" s="566"/>
      <c r="K205" s="566"/>
      <c r="L205" s="566"/>
      <c r="M205" s="566"/>
      <c r="N205" s="566"/>
      <c r="O205" s="566" t="s">
        <v>113</v>
      </c>
      <c r="P205" s="571"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1</v>
      </c>
      <c r="P206" s="277">
        <v>32</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97</v>
      </c>
      <c r="P207" s="371">
        <f>+P257</f>
        <v>14027</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2</v>
      </c>
      <c r="P208" s="371">
        <f>+P269</f>
        <v>164</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35" t="s">
        <v>93</v>
      </c>
      <c r="C212" s="335"/>
      <c r="D212" s="335"/>
      <c r="E212" s="335"/>
      <c r="F212" s="335"/>
      <c r="G212" s="335"/>
      <c r="H212" s="335"/>
      <c r="I212" s="335"/>
      <c r="J212" s="335"/>
      <c r="K212" s="335"/>
      <c r="L212" s="335"/>
      <c r="M212" s="335"/>
      <c r="N212" s="335"/>
      <c r="O212" s="369"/>
      <c r="P212" s="371">
        <f>R159</f>
        <v>253</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'Dec 11'!P213+P212</f>
        <v>3429</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2</v>
      </c>
      <c r="P215" s="371">
        <v>85</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30.72</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19.98</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3</v>
      </c>
      <c r="P219" s="371">
        <v>447</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0.83</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564" t="s">
        <v>298</v>
      </c>
      <c r="C223" s="566"/>
      <c r="D223" s="566"/>
      <c r="E223" s="566"/>
      <c r="F223" s="571"/>
      <c r="G223" s="566"/>
      <c r="H223" s="566"/>
      <c r="I223" s="566"/>
      <c r="J223" s="566"/>
      <c r="K223" s="566"/>
      <c r="L223" s="566"/>
      <c r="M223" s="566"/>
      <c r="N223" s="571" t="s">
        <v>113</v>
      </c>
      <c r="O223" s="566" t="s">
        <v>114</v>
      </c>
      <c r="P223" s="571" t="s">
        <v>123</v>
      </c>
      <c r="Q223" s="566" t="s">
        <v>114</v>
      </c>
      <c r="R223" s="216"/>
      <c r="S223" s="564"/>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3763</v>
      </c>
      <c r="O224" s="280">
        <f t="shared" ref="O224:O231" si="2">N224/$N$233</f>
        <v>0.98585276395074661</v>
      </c>
      <c r="P224" s="269">
        <f t="shared" ref="P224:P231" si="3">+P236+P248+P260</f>
        <v>449213</v>
      </c>
      <c r="Q224" s="280">
        <f t="shared" ref="Q224:Q231" si="4">P224/$P$233</f>
        <v>0.98728782827139516</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29</v>
      </c>
      <c r="O225" s="399">
        <f t="shared" si="2"/>
        <v>7.5975897301545714E-3</v>
      </c>
      <c r="P225" s="337">
        <f t="shared" si="3"/>
        <v>3782</v>
      </c>
      <c r="Q225" s="399">
        <f t="shared" si="4"/>
        <v>8.3121427174245102E-3</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7</v>
      </c>
      <c r="O226" s="399">
        <f t="shared" si="2"/>
        <v>1.8339009693476552E-3</v>
      </c>
      <c r="P226" s="337">
        <f t="shared" si="3"/>
        <v>472</v>
      </c>
      <c r="Q226" s="399">
        <f t="shared" si="4"/>
        <v>1.0373694771613879E-3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3</v>
      </c>
      <c r="O227" s="399">
        <f t="shared" si="2"/>
        <v>7.859575582918522E-4</v>
      </c>
      <c r="P227" s="337">
        <f t="shared" si="3"/>
        <v>79</v>
      </c>
      <c r="Q227" s="399">
        <f t="shared" si="4"/>
        <v>1.736275184231984E-4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3</v>
      </c>
      <c r="O228" s="399">
        <f t="shared" si="2"/>
        <v>7.859575582918522E-4</v>
      </c>
      <c r="P228" s="337">
        <f t="shared" si="3"/>
        <v>94</v>
      </c>
      <c r="Q228" s="399">
        <f t="shared" si="4"/>
        <v>2.0659476875671708E-4</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2</v>
      </c>
      <c r="O229" s="399">
        <f t="shared" si="2"/>
        <v>5.2397170552790154E-4</v>
      </c>
      <c r="P229" s="337">
        <f t="shared" si="3"/>
        <v>174</v>
      </c>
      <c r="Q229" s="399">
        <f t="shared" si="4"/>
        <v>3.8242010386881672E-4</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2</v>
      </c>
      <c r="O230" s="399">
        <f t="shared" si="2"/>
        <v>5.2397170552790154E-4</v>
      </c>
      <c r="P230" s="337">
        <f t="shared" si="3"/>
        <v>287</v>
      </c>
      <c r="Q230" s="399">
        <f t="shared" si="4"/>
        <v>6.3077338971465741E-4</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8</v>
      </c>
      <c r="O231" s="561">
        <f t="shared" si="2"/>
        <v>2.0958868221116062E-3</v>
      </c>
      <c r="P231" s="562">
        <f t="shared" si="3"/>
        <v>896</v>
      </c>
      <c r="Q231" s="561">
        <f t="shared" si="4"/>
        <v>1.969243753255516E-3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3817</v>
      </c>
      <c r="O233" s="399">
        <f>SUM(O224:O232)</f>
        <v>0.99999999999999978</v>
      </c>
      <c r="P233" s="337">
        <f>SUM(P224:P232)</f>
        <v>454997</v>
      </c>
      <c r="Q233" s="399">
        <f>SUM(Q224:Q232)</f>
        <v>0.99999999999999989</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564" t="s">
        <v>236</v>
      </c>
      <c r="C235" s="566"/>
      <c r="D235" s="566"/>
      <c r="E235" s="566"/>
      <c r="F235" s="571"/>
      <c r="G235" s="566"/>
      <c r="H235" s="566"/>
      <c r="I235" s="566"/>
      <c r="J235" s="566"/>
      <c r="K235" s="566"/>
      <c r="L235" s="566"/>
      <c r="M235" s="566"/>
      <c r="N235" s="571" t="s">
        <v>113</v>
      </c>
      <c r="O235" s="566" t="s">
        <v>114</v>
      </c>
      <c r="P235" s="571" t="s">
        <v>123</v>
      </c>
      <c r="Q235" s="566" t="s">
        <v>114</v>
      </c>
      <c r="R235" s="216"/>
      <c r="S235" s="564"/>
      <c r="T235" s="5"/>
    </row>
    <row r="236" spans="1:21" s="256" customFormat="1" ht="15.6" x14ac:dyDescent="0.3">
      <c r="A236" s="251"/>
      <c r="B236" s="259" t="s">
        <v>99</v>
      </c>
      <c r="C236" s="279"/>
      <c r="D236" s="279"/>
      <c r="E236" s="279"/>
      <c r="F236" s="252"/>
      <c r="G236" s="279"/>
      <c r="H236" s="279"/>
      <c r="I236" s="279"/>
      <c r="J236" s="279"/>
      <c r="K236" s="279"/>
      <c r="L236" s="279"/>
      <c r="M236" s="279"/>
      <c r="N236" s="259">
        <v>3679</v>
      </c>
      <c r="O236" s="280">
        <f t="shared" ref="O236:O243" si="5">N236/$N$245</f>
        <v>0.98951048951048948</v>
      </c>
      <c r="P236" s="269">
        <v>436796</v>
      </c>
      <c r="Q236" s="280">
        <f t="shared" ref="Q236:Q243" si="6">P236/$P$245</f>
        <v>0.99090302763574001</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27</v>
      </c>
      <c r="O237" s="399">
        <f t="shared" si="5"/>
        <v>7.2619688004303389E-3</v>
      </c>
      <c r="P237" s="337">
        <v>3483</v>
      </c>
      <c r="Q237" s="399">
        <f t="shared" si="6"/>
        <v>7.901435098433324E-3</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4</v>
      </c>
      <c r="O238" s="399">
        <f t="shared" si="5"/>
        <v>1.0758472296933835E-3</v>
      </c>
      <c r="P238" s="337">
        <v>132</v>
      </c>
      <c r="Q238" s="399">
        <f t="shared" si="6"/>
        <v>2.9945145937215013E-4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3</v>
      </c>
      <c r="O239" s="399">
        <f t="shared" si="5"/>
        <v>8.0688542227003765E-4</v>
      </c>
      <c r="P239" s="337">
        <v>79</v>
      </c>
      <c r="Q239" s="399">
        <f t="shared" si="6"/>
        <v>1.7921716129090803E-4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3</v>
      </c>
      <c r="O240" s="399">
        <f t="shared" si="5"/>
        <v>8.0688542227003765E-4</v>
      </c>
      <c r="P240" s="337">
        <v>94</v>
      </c>
      <c r="Q240" s="399">
        <f t="shared" si="6"/>
        <v>2.1324573621956145E-4</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1</v>
      </c>
      <c r="O241" s="399">
        <f t="shared" si="5"/>
        <v>2.6896180742334586E-4</v>
      </c>
      <c r="P241" s="337">
        <v>32</v>
      </c>
      <c r="Q241" s="399">
        <f t="shared" si="6"/>
        <v>7.2594293181127301E-5</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1</v>
      </c>
      <c r="O243" s="399">
        <f t="shared" si="5"/>
        <v>2.6896180742334586E-4</v>
      </c>
      <c r="P243" s="337">
        <v>190</v>
      </c>
      <c r="Q243" s="399">
        <f t="shared" si="6"/>
        <v>4.3102861576294331E-4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3718</v>
      </c>
      <c r="O245" s="399">
        <f>SUM(O236:O244)</f>
        <v>0.99999999999999978</v>
      </c>
      <c r="P245" s="337">
        <f>SUM(P236:P244)</f>
        <v>440806</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564" t="s">
        <v>241</v>
      </c>
      <c r="C247" s="566"/>
      <c r="D247" s="566"/>
      <c r="E247" s="566"/>
      <c r="F247" s="571"/>
      <c r="G247" s="566"/>
      <c r="H247" s="566"/>
      <c r="I247" s="566"/>
      <c r="J247" s="566"/>
      <c r="K247" s="566"/>
      <c r="L247" s="566"/>
      <c r="M247" s="566"/>
      <c r="N247" s="571" t="s">
        <v>113</v>
      </c>
      <c r="O247" s="566" t="s">
        <v>114</v>
      </c>
      <c r="P247" s="571" t="s">
        <v>123</v>
      </c>
      <c r="Q247" s="566"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84</v>
      </c>
      <c r="O248" s="280">
        <f t="shared" ref="O248:O255" si="7">N248/$N$257</f>
        <v>0.865979381443299</v>
      </c>
      <c r="P248" s="269">
        <v>12417</v>
      </c>
      <c r="Q248" s="280">
        <f t="shared" ref="Q248:Q255" si="8">P248/$P$257</f>
        <v>0.88522135880801311</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2</v>
      </c>
      <c r="O249" s="399">
        <f t="shared" si="7"/>
        <v>2.0618556701030927E-2</v>
      </c>
      <c r="P249" s="337">
        <v>299</v>
      </c>
      <c r="Q249" s="399">
        <f t="shared" si="8"/>
        <v>2.1316033364226137E-2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3</v>
      </c>
      <c r="O250" s="399">
        <f t="shared" si="7"/>
        <v>3.0927835051546393E-2</v>
      </c>
      <c r="P250" s="337">
        <v>340</v>
      </c>
      <c r="Q250" s="399">
        <f t="shared" si="8"/>
        <v>2.4238967705140085E-2</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0</v>
      </c>
      <c r="O251" s="399">
        <f t="shared" si="7"/>
        <v>0</v>
      </c>
      <c r="P251" s="337">
        <v>0</v>
      </c>
      <c r="Q251" s="399">
        <f t="shared" si="8"/>
        <v>0</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1</v>
      </c>
      <c r="O253" s="399">
        <f t="shared" si="7"/>
        <v>1.0309278350515464E-2</v>
      </c>
      <c r="P253" s="337">
        <v>142</v>
      </c>
      <c r="Q253" s="399">
        <f t="shared" si="8"/>
        <v>1.0123333570970271E-2</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2</v>
      </c>
      <c r="O254" s="399">
        <f t="shared" si="7"/>
        <v>2.0618556701030927E-2</v>
      </c>
      <c r="P254" s="337">
        <v>287</v>
      </c>
      <c r="Q254" s="399">
        <f t="shared" si="8"/>
        <v>2.0460540386397663E-2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5</v>
      </c>
      <c r="O255" s="399">
        <f t="shared" si="7"/>
        <v>5.1546391752577317E-2</v>
      </c>
      <c r="P255" s="337">
        <v>542</v>
      </c>
      <c r="Q255" s="399">
        <f t="shared" si="8"/>
        <v>3.8639766165252727E-2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97</v>
      </c>
      <c r="O257" s="399">
        <f>SUM(O248:O256)</f>
        <v>1</v>
      </c>
      <c r="P257" s="337">
        <f>SUM(P248:P256)</f>
        <v>14027</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564" t="s">
        <v>239</v>
      </c>
      <c r="C259" s="236"/>
      <c r="D259" s="236"/>
      <c r="E259" s="236"/>
      <c r="F259" s="236"/>
      <c r="G259" s="236"/>
      <c r="H259" s="237"/>
      <c r="I259" s="237"/>
      <c r="J259" s="237"/>
      <c r="K259" s="237"/>
      <c r="L259" s="237"/>
      <c r="M259" s="237"/>
      <c r="N259" s="571" t="s">
        <v>113</v>
      </c>
      <c r="O259" s="566" t="s">
        <v>114</v>
      </c>
      <c r="P259" s="571" t="s">
        <v>123</v>
      </c>
      <c r="Q259" s="566"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2</v>
      </c>
      <c r="O267" s="399">
        <f t="shared" si="9"/>
        <v>1</v>
      </c>
      <c r="P267" s="337">
        <v>164</v>
      </c>
      <c r="Q267" s="399">
        <f t="shared" si="10"/>
        <v>1</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2</v>
      </c>
      <c r="O269" s="399">
        <f>SUM(O260:O267)</f>
        <v>1</v>
      </c>
      <c r="P269" s="337">
        <f>SUM(P260:P267)</f>
        <v>164</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572" t="s">
        <v>240</v>
      </c>
      <c r="C271" s="335"/>
      <c r="D271" s="335"/>
      <c r="E271" s="335"/>
      <c r="F271" s="335"/>
      <c r="G271" s="335"/>
      <c r="H271" s="400"/>
      <c r="I271" s="400"/>
      <c r="J271" s="400"/>
      <c r="K271" s="400"/>
      <c r="L271" s="400"/>
      <c r="M271" s="400"/>
      <c r="N271" s="573">
        <f>+N245+N257+N269</f>
        <v>3817</v>
      </c>
      <c r="O271" s="399"/>
      <c r="P271" s="407">
        <f>+P269+P257+P245</f>
        <v>454997</v>
      </c>
      <c r="Q271" s="399"/>
      <c r="R271" s="335"/>
      <c r="S271" s="338"/>
      <c r="T271" s="255"/>
    </row>
    <row r="272" spans="1:20" s="256" customFormat="1" ht="15.6" x14ac:dyDescent="0.3">
      <c r="A272" s="261"/>
      <c r="B272" s="57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MARCH 2012</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9" man="1"/>
    <brk id="131" max="14" man="1"/>
    <brk id="188"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3"/>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9.36328125" style="1" customWidth="1"/>
    <col min="5" max="5" width="2.08984375" style="1" customWidth="1"/>
    <col min="6" max="6" width="35.54296875" style="1" customWidth="1"/>
    <col min="7" max="7" width="5.08984375" style="1" customWidth="1"/>
    <col min="8" max="8" width="27.63281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t="s">
        <v>246</v>
      </c>
      <c r="I9" s="8"/>
      <c r="J9" s="8"/>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0.82740000000000002</v>
      </c>
      <c r="P16" s="17" t="s">
        <v>161</v>
      </c>
      <c r="Q16" s="140">
        <v>0.17660000000000001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38651</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39908.450000000004</v>
      </c>
      <c r="E31" s="32"/>
      <c r="F31" s="125">
        <f>F37*F30</f>
        <v>263408.96999999997</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35383.9</v>
      </c>
      <c r="E32" s="36"/>
      <c r="F32" s="126">
        <f>F36*F30</f>
        <v>233552.55</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39908.450000000004</v>
      </c>
      <c r="E34" s="32"/>
      <c r="F34" s="31">
        <f>+F31*0.696969697</f>
        <v>183588.07000798208</v>
      </c>
      <c r="G34" s="31"/>
      <c r="H34" s="31">
        <v>305000</v>
      </c>
      <c r="I34" s="31"/>
      <c r="J34" s="31">
        <v>315000</v>
      </c>
      <c r="K34" s="31"/>
      <c r="L34" s="31">
        <v>65000</v>
      </c>
      <c r="M34" s="31"/>
      <c r="N34" s="31">
        <v>35000</v>
      </c>
      <c r="O34" s="31"/>
      <c r="P34" s="31"/>
      <c r="Q34" s="147"/>
      <c r="R34" s="31">
        <f>SUM(C34:N34)</f>
        <v>943496.52000798215</v>
      </c>
      <c r="S34" s="34"/>
      <c r="T34" s="5"/>
    </row>
    <row r="35" spans="1:20" ht="15.6" x14ac:dyDescent="0.3">
      <c r="A35" s="28"/>
      <c r="B35" s="29" t="s">
        <v>287</v>
      </c>
      <c r="C35" s="36"/>
      <c r="D35" s="35">
        <f>D36*D33</f>
        <v>35383.9</v>
      </c>
      <c r="E35" s="36"/>
      <c r="F35" s="35">
        <f>F36*F33</f>
        <v>162779.04999999999</v>
      </c>
      <c r="G35" s="35"/>
      <c r="H35" s="35">
        <v>305000</v>
      </c>
      <c r="I35" s="35"/>
      <c r="J35" s="35">
        <v>315000</v>
      </c>
      <c r="K35" s="35"/>
      <c r="L35" s="35">
        <v>65000</v>
      </c>
      <c r="M35" s="35"/>
      <c r="N35" s="35">
        <v>35000</v>
      </c>
      <c r="O35" s="35"/>
      <c r="P35" s="35"/>
      <c r="Q35" s="37"/>
      <c r="R35" s="35">
        <f>SUM(C35:N35)</f>
        <v>918162.95</v>
      </c>
      <c r="S35" s="34"/>
      <c r="T35" s="5"/>
    </row>
    <row r="36" spans="1:20" ht="15.6" x14ac:dyDescent="0.3">
      <c r="A36" s="28"/>
      <c r="B36" s="123" t="s">
        <v>149</v>
      </c>
      <c r="C36" s="127"/>
      <c r="D36" s="138">
        <v>0.70767800000000003</v>
      </c>
      <c r="E36" s="139"/>
      <c r="F36" s="138">
        <v>0.707735</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0.79816900000000002</v>
      </c>
      <c r="E37" s="139"/>
      <c r="F37" s="138">
        <v>0.79820899999999995</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4.7699999999999999E-2</v>
      </c>
      <c r="E39" s="25"/>
      <c r="F39" s="38">
        <v>2.2290000000000001E-2</v>
      </c>
      <c r="G39" s="39"/>
      <c r="H39" s="38">
        <v>4.8500000000000001E-2</v>
      </c>
      <c r="I39" s="39"/>
      <c r="J39" s="38">
        <v>2.299E-2</v>
      </c>
      <c r="K39" s="39"/>
      <c r="L39" s="38">
        <v>5.3100000000000001E-2</v>
      </c>
      <c r="M39" s="39"/>
      <c r="N39" s="38">
        <v>2.7189999999999999E-2</v>
      </c>
      <c r="O39" s="39"/>
      <c r="P39" s="38"/>
      <c r="Q39" s="146"/>
      <c r="R39" s="39"/>
      <c r="S39" s="25"/>
      <c r="T39" s="5"/>
    </row>
    <row r="40" spans="1:20" ht="15.6" x14ac:dyDescent="0.3">
      <c r="A40" s="24"/>
      <c r="B40" s="25" t="s">
        <v>14</v>
      </c>
      <c r="C40" s="25"/>
      <c r="D40" s="38">
        <v>5.0406300000000001E-2</v>
      </c>
      <c r="E40" s="25"/>
      <c r="F40" s="38">
        <v>2.248E-2</v>
      </c>
      <c r="G40" s="39"/>
      <c r="H40" s="38">
        <v>5.1206300000000003E-2</v>
      </c>
      <c r="I40" s="39"/>
      <c r="J40" s="38">
        <v>2.3179999999999999E-2</v>
      </c>
      <c r="K40" s="39"/>
      <c r="L40" s="38">
        <v>5.5806300000000003E-2</v>
      </c>
      <c r="M40" s="39"/>
      <c r="N40" s="38">
        <v>2.7380000000000002E-2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4.7699999999999999E-2</v>
      </c>
      <c r="E42" s="25"/>
      <c r="F42" s="38">
        <v>4.7912999999999997E-2</v>
      </c>
      <c r="G42" s="39"/>
      <c r="H42" s="38">
        <f>+H39</f>
        <v>4.8500000000000001E-2</v>
      </c>
      <c r="I42" s="39"/>
      <c r="J42" s="38">
        <v>4.8897999999999997E-2</v>
      </c>
      <c r="K42" s="39"/>
      <c r="L42" s="38">
        <f>+L39</f>
        <v>5.3100000000000001E-2</v>
      </c>
      <c r="M42" s="39"/>
      <c r="N42" s="38">
        <v>5.3476999999999997E-2</v>
      </c>
      <c r="O42" s="39"/>
      <c r="P42" s="38"/>
      <c r="Q42" s="146"/>
      <c r="R42" s="39">
        <f>SUMPRODUCT(D42:N42,D34:N34)/R34</f>
        <v>4.8986352660740529E-2</v>
      </c>
      <c r="S42" s="25"/>
      <c r="T42" s="5"/>
    </row>
    <row r="43" spans="1:20" ht="15.6" x14ac:dyDescent="0.3">
      <c r="A43" s="24"/>
      <c r="B43" s="25" t="s">
        <v>290</v>
      </c>
      <c r="C43" s="25"/>
      <c r="D43" s="38">
        <f>+D40</f>
        <v>5.0406300000000001E-2</v>
      </c>
      <c r="E43" s="25"/>
      <c r="F43" s="38">
        <v>5.0619299999999999E-2</v>
      </c>
      <c r="G43" s="39"/>
      <c r="H43" s="38">
        <f>+H40</f>
        <v>5.1206300000000003E-2</v>
      </c>
      <c r="I43" s="39"/>
      <c r="J43" s="38">
        <v>5.1604299999999999E-2</v>
      </c>
      <c r="K43" s="39"/>
      <c r="L43" s="38">
        <f>+L40</f>
        <v>5.5806300000000003E-2</v>
      </c>
      <c r="M43" s="39"/>
      <c r="N43" s="38">
        <v>5.6183299999999999E-2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0.12222504086747023</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38642</v>
      </c>
      <c r="S54" s="25"/>
      <c r="T54" s="5"/>
    </row>
    <row r="55" spans="1:21" ht="15.6" x14ac:dyDescent="0.3">
      <c r="A55" s="24"/>
      <c r="B55" s="25" t="s">
        <v>140</v>
      </c>
      <c r="C55" s="25"/>
      <c r="D55" s="25"/>
      <c r="E55" s="25"/>
      <c r="F55" s="25"/>
      <c r="G55" s="25"/>
      <c r="H55" s="58"/>
      <c r="I55" s="58"/>
      <c r="J55" s="58"/>
      <c r="K55" s="58"/>
      <c r="L55" s="58"/>
      <c r="M55" s="58"/>
      <c r="N55" s="25">
        <f>+R55-P55+1</f>
        <v>91</v>
      </c>
      <c r="O55" s="58"/>
      <c r="P55" s="45">
        <v>38457</v>
      </c>
      <c r="Q55" s="46"/>
      <c r="R55" s="45">
        <v>38547</v>
      </c>
      <c r="S55" s="25"/>
      <c r="T55" s="5"/>
    </row>
    <row r="56" spans="1:21" ht="15.6" x14ac:dyDescent="0.3">
      <c r="A56" s="24"/>
      <c r="B56" s="25" t="s">
        <v>141</v>
      </c>
      <c r="C56" s="25"/>
      <c r="D56" s="25"/>
      <c r="E56" s="25"/>
      <c r="F56" s="25"/>
      <c r="G56" s="25"/>
      <c r="H56" s="25"/>
      <c r="I56" s="25"/>
      <c r="J56" s="25"/>
      <c r="K56" s="25"/>
      <c r="L56" s="25"/>
      <c r="M56" s="25"/>
      <c r="N56" s="25">
        <f>+R56-P56+1</f>
        <v>94</v>
      </c>
      <c r="O56" s="25"/>
      <c r="P56" s="45">
        <v>38548</v>
      </c>
      <c r="Q56" s="46"/>
      <c r="R56" s="45">
        <v>38641</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38628</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244</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943497</v>
      </c>
      <c r="K67" s="34"/>
      <c r="L67" s="34">
        <f>25333+9111+1</f>
        <v>34445</v>
      </c>
      <c r="M67" s="34"/>
      <c r="N67" s="34">
        <v>9111</v>
      </c>
      <c r="O67" s="34"/>
      <c r="P67" s="34">
        <v>0</v>
      </c>
      <c r="Q67" s="34"/>
      <c r="R67" s="53">
        <f>+J67-L67+N67-P67</f>
        <v>918163</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943497</v>
      </c>
      <c r="K70" s="34"/>
      <c r="L70" s="34">
        <f>SUM(L67:L69)</f>
        <v>34445</v>
      </c>
      <c r="M70" s="34"/>
      <c r="N70" s="34">
        <f>SUM(N67:N69)</f>
        <v>9111</v>
      </c>
      <c r="O70" s="34"/>
      <c r="P70" s="34">
        <f>SUM(P67:P69)</f>
        <v>0</v>
      </c>
      <c r="Q70" s="34"/>
      <c r="R70" s="54">
        <f>SUM(R67:R69)</f>
        <v>918163</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v>0</v>
      </c>
      <c r="O80" s="34"/>
      <c r="P80" s="34"/>
      <c r="Q80" s="34"/>
      <c r="R80" s="54">
        <f>SUM(J80:N80)</f>
        <v>0</v>
      </c>
      <c r="S80" s="25"/>
      <c r="T80" s="5"/>
    </row>
    <row r="81" spans="1:20" ht="15.6" x14ac:dyDescent="0.3">
      <c r="A81" s="24"/>
      <c r="B81" s="25" t="s">
        <v>170</v>
      </c>
      <c r="C81" s="34"/>
      <c r="D81" s="34"/>
      <c r="E81" s="34"/>
      <c r="F81" s="34"/>
      <c r="G81" s="34"/>
      <c r="H81" s="34">
        <v>0</v>
      </c>
      <c r="I81" s="34"/>
      <c r="J81" s="34"/>
      <c r="K81" s="34"/>
      <c r="L81" s="34"/>
      <c r="M81" s="34"/>
      <c r="N81" s="34"/>
      <c r="O81" s="34"/>
      <c r="P81" s="34"/>
      <c r="Q81" s="34"/>
      <c r="R81" s="54"/>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943497</v>
      </c>
      <c r="K83" s="34"/>
      <c r="L83" s="34"/>
      <c r="M83" s="34"/>
      <c r="N83" s="34"/>
      <c r="O83" s="34"/>
      <c r="P83" s="54"/>
      <c r="Q83" s="34"/>
      <c r="R83" s="54">
        <f>SUM(R70:R82)</f>
        <v>918163</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
      <c r="I86" s="17"/>
      <c r="J86" s="17"/>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106</v>
      </c>
      <c r="I88" s="57"/>
      <c r="J88" s="128">
        <f>+P185</f>
        <v>38625</v>
      </c>
      <c r="K88" s="25"/>
      <c r="L88" s="25"/>
      <c r="M88" s="25"/>
      <c r="N88" s="25"/>
      <c r="O88" s="25"/>
      <c r="P88" s="34">
        <v>34445</v>
      </c>
      <c r="Q88" s="25"/>
      <c r="R88" s="53"/>
      <c r="S88" s="25"/>
      <c r="T88" s="5"/>
    </row>
    <row r="89" spans="1:20" ht="15.6" x14ac:dyDescent="0.3">
      <c r="A89" s="24"/>
      <c r="B89" s="25" t="s">
        <v>34</v>
      </c>
      <c r="C89" s="25"/>
      <c r="D89" s="25"/>
      <c r="E89" s="25"/>
      <c r="F89" s="25"/>
      <c r="G89" s="25"/>
      <c r="H89" s="25"/>
      <c r="I89" s="25"/>
      <c r="J89" s="25"/>
      <c r="K89" s="25"/>
      <c r="L89" s="25"/>
      <c r="M89" s="25"/>
      <c r="N89" s="25"/>
      <c r="O89" s="25"/>
      <c r="P89" s="34"/>
      <c r="Q89" s="25"/>
      <c r="R89" s="53">
        <f>14881-29</f>
        <v>14852</v>
      </c>
      <c r="S89" s="25"/>
      <c r="T89" s="5"/>
    </row>
    <row r="90" spans="1:20" ht="15.6" x14ac:dyDescent="0.3">
      <c r="A90" s="24"/>
      <c r="B90" s="25" t="s">
        <v>154</v>
      </c>
      <c r="C90" s="25"/>
      <c r="D90" s="25"/>
      <c r="E90" s="25"/>
      <c r="F90" s="25"/>
      <c r="G90" s="25"/>
      <c r="H90" s="25"/>
      <c r="I90" s="25"/>
      <c r="J90" s="25"/>
      <c r="K90" s="25"/>
      <c r="L90" s="25"/>
      <c r="M90" s="25"/>
      <c r="N90" s="25"/>
      <c r="O90" s="25"/>
      <c r="P90" s="34"/>
      <c r="Q90" s="25"/>
      <c r="R90" s="53">
        <v>0</v>
      </c>
      <c r="S90" s="25"/>
      <c r="T90" s="5"/>
    </row>
    <row r="91" spans="1:20" ht="15.6" x14ac:dyDescent="0.3">
      <c r="A91" s="24"/>
      <c r="B91" s="25" t="s">
        <v>199</v>
      </c>
      <c r="C91" s="25"/>
      <c r="D91" s="25"/>
      <c r="E91" s="25"/>
      <c r="F91" s="25"/>
      <c r="G91" s="25"/>
      <c r="H91" s="25"/>
      <c r="I91" s="25"/>
      <c r="J91" s="25"/>
      <c r="K91" s="25"/>
      <c r="L91" s="25"/>
      <c r="M91" s="25"/>
      <c r="N91" s="25"/>
      <c r="O91" s="25"/>
      <c r="P91" s="34"/>
      <c r="Q91" s="25"/>
      <c r="R91" s="53">
        <v>423</v>
      </c>
      <c r="S91" s="25"/>
      <c r="T91" s="5"/>
    </row>
    <row r="92" spans="1:20" ht="15.6" x14ac:dyDescent="0.3">
      <c r="A92" s="24"/>
      <c r="B92" s="25" t="s">
        <v>35</v>
      </c>
      <c r="C92" s="25"/>
      <c r="D92" s="25"/>
      <c r="E92" s="25"/>
      <c r="F92" s="25"/>
      <c r="G92" s="25"/>
      <c r="H92" s="25"/>
      <c r="I92" s="25"/>
      <c r="J92" s="25"/>
      <c r="K92" s="25"/>
      <c r="L92" s="25"/>
      <c r="M92" s="25"/>
      <c r="N92" s="25"/>
      <c r="O92" s="25"/>
      <c r="P92" s="34">
        <f>SUM(P87:P91)</f>
        <v>34445</v>
      </c>
      <c r="Q92" s="25"/>
      <c r="R92" s="54">
        <f>SUM(R87:R91)</f>
        <v>15275</v>
      </c>
      <c r="S92" s="25"/>
      <c r="T92" s="5"/>
    </row>
    <row r="93" spans="1:20" ht="15.6" x14ac:dyDescent="0.3">
      <c r="A93" s="24"/>
      <c r="B93" s="25" t="s">
        <v>235</v>
      </c>
      <c r="C93" s="25"/>
      <c r="D93" s="25"/>
      <c r="E93" s="25"/>
      <c r="F93" s="25"/>
      <c r="G93" s="25"/>
      <c r="H93" s="25"/>
      <c r="I93" s="25"/>
      <c r="J93" s="25"/>
      <c r="K93" s="25"/>
      <c r="L93" s="25"/>
      <c r="M93" s="25"/>
      <c r="N93" s="25"/>
      <c r="O93" s="25"/>
      <c r="P93" s="34">
        <v>-29</v>
      </c>
      <c r="Q93" s="25"/>
      <c r="R93" s="54">
        <f>-P93</f>
        <v>29</v>
      </c>
      <c r="S93" s="25"/>
      <c r="T93" s="5"/>
    </row>
    <row r="94" spans="1:20" ht="15.6" x14ac:dyDescent="0.3">
      <c r="A94" s="24"/>
      <c r="B94" s="25" t="s">
        <v>36</v>
      </c>
      <c r="C94" s="25"/>
      <c r="D94" s="25"/>
      <c r="E94" s="25"/>
      <c r="F94" s="25"/>
      <c r="G94" s="25"/>
      <c r="H94" s="25"/>
      <c r="I94" s="25"/>
      <c r="J94" s="25"/>
      <c r="K94" s="25"/>
      <c r="L94" s="25"/>
      <c r="M94" s="25"/>
      <c r="N94" s="25"/>
      <c r="O94" s="25"/>
      <c r="P94" s="34">
        <f>-R94</f>
        <v>0</v>
      </c>
      <c r="Q94" s="25"/>
      <c r="R94" s="53">
        <v>0</v>
      </c>
      <c r="S94" s="25"/>
      <c r="T94" s="5"/>
    </row>
    <row r="95" spans="1:20" ht="15.6" x14ac:dyDescent="0.3">
      <c r="A95" s="24"/>
      <c r="B95" s="25" t="s">
        <v>37</v>
      </c>
      <c r="C95" s="25"/>
      <c r="D95" s="25"/>
      <c r="E95" s="25"/>
      <c r="F95" s="25"/>
      <c r="G95" s="25"/>
      <c r="H95" s="25"/>
      <c r="I95" s="25"/>
      <c r="J95" s="25"/>
      <c r="K95" s="25"/>
      <c r="L95" s="25"/>
      <c r="M95" s="25"/>
      <c r="N95" s="25"/>
      <c r="O95" s="25"/>
      <c r="P95" s="34">
        <f>P92+P94+P93</f>
        <v>34416</v>
      </c>
      <c r="Q95" s="25"/>
      <c r="R95" s="54">
        <f>R92+R94+R93</f>
        <v>15304</v>
      </c>
      <c r="S95" s="25"/>
      <c r="T95" s="5"/>
    </row>
    <row r="96" spans="1:20" ht="15.6" x14ac:dyDescent="0.3">
      <c r="A96" s="24"/>
      <c r="B96" s="119" t="s">
        <v>38</v>
      </c>
      <c r="C96" s="25"/>
      <c r="D96" s="25"/>
      <c r="E96" s="25"/>
      <c r="F96" s="25"/>
      <c r="G96" s="25"/>
      <c r="H96" s="25"/>
      <c r="I96" s="25"/>
      <c r="J96" s="25"/>
      <c r="K96" s="25"/>
      <c r="L96" s="25"/>
      <c r="M96" s="25"/>
      <c r="N96" s="25"/>
      <c r="O96" s="25"/>
      <c r="P96" s="34"/>
      <c r="Q96" s="25"/>
      <c r="R96" s="53"/>
      <c r="S96" s="25"/>
      <c r="T96" s="5"/>
    </row>
    <row r="97" spans="1:21" ht="15.6" x14ac:dyDescent="0.3">
      <c r="A97" s="24">
        <v>1</v>
      </c>
      <c r="B97" s="25" t="s">
        <v>39</v>
      </c>
      <c r="C97" s="25"/>
      <c r="D97" s="25"/>
      <c r="E97" s="25"/>
      <c r="F97" s="25"/>
      <c r="G97" s="25"/>
      <c r="H97" s="25"/>
      <c r="I97" s="25"/>
      <c r="J97" s="25"/>
      <c r="K97" s="25"/>
      <c r="L97" s="25"/>
      <c r="M97" s="25"/>
      <c r="N97" s="25"/>
      <c r="O97" s="25"/>
      <c r="P97" s="25"/>
      <c r="Q97" s="25"/>
      <c r="R97" s="53">
        <v>0</v>
      </c>
      <c r="S97" s="25"/>
      <c r="T97" s="5"/>
    </row>
    <row r="98" spans="1:21" ht="15.6" x14ac:dyDescent="0.3">
      <c r="A98" s="24">
        <f>+A97+1</f>
        <v>2</v>
      </c>
      <c r="B98" s="25" t="s">
        <v>40</v>
      </c>
      <c r="C98" s="25"/>
      <c r="D98" s="25"/>
      <c r="E98" s="25"/>
      <c r="F98" s="25"/>
      <c r="G98" s="25"/>
      <c r="H98" s="25"/>
      <c r="I98" s="25"/>
      <c r="J98" s="25"/>
      <c r="K98" s="25"/>
      <c r="L98" s="25"/>
      <c r="M98" s="25"/>
      <c r="N98" s="25"/>
      <c r="O98" s="25"/>
      <c r="P98" s="25"/>
      <c r="Q98" s="25"/>
      <c r="R98" s="53">
        <v>-2</v>
      </c>
      <c r="S98" s="25"/>
      <c r="T98" s="5"/>
    </row>
    <row r="99" spans="1:21" ht="15.6" x14ac:dyDescent="0.3">
      <c r="A99" s="24">
        <f>+A98+1</f>
        <v>3</v>
      </c>
      <c r="B99" s="25" t="s">
        <v>174</v>
      </c>
      <c r="C99" s="25"/>
      <c r="D99" s="25"/>
      <c r="E99" s="25"/>
      <c r="F99" s="25"/>
      <c r="G99" s="25"/>
      <c r="H99" s="25"/>
      <c r="I99" s="25"/>
      <c r="J99" s="25"/>
      <c r="K99" s="25"/>
      <c r="L99" s="25"/>
      <c r="M99" s="25"/>
      <c r="N99" s="25"/>
      <c r="O99" s="25"/>
      <c r="P99" s="25"/>
      <c r="Q99" s="25"/>
      <c r="R99" s="53">
        <f>-235-22-19</f>
        <v>-276</v>
      </c>
      <c r="S99" s="25"/>
      <c r="T99" s="5"/>
    </row>
    <row r="100" spans="1:21" ht="15.6" x14ac:dyDescent="0.3">
      <c r="A100" s="24" t="s">
        <v>146</v>
      </c>
      <c r="B100" s="25" t="s">
        <v>131</v>
      </c>
      <c r="C100" s="25"/>
      <c r="D100" s="25"/>
      <c r="E100" s="25"/>
      <c r="F100" s="25"/>
      <c r="G100" s="25"/>
      <c r="H100" s="25"/>
      <c r="I100" s="25"/>
      <c r="J100" s="25"/>
      <c r="K100" s="25"/>
      <c r="L100" s="25"/>
      <c r="M100" s="25"/>
      <c r="N100" s="25"/>
      <c r="O100" s="25"/>
      <c r="P100" s="25"/>
      <c r="Q100" s="25"/>
      <c r="R100" s="53">
        <v>-349</v>
      </c>
      <c r="S100" s="25"/>
      <c r="T100" s="5"/>
    </row>
    <row r="101" spans="1:21" ht="15.6" x14ac:dyDescent="0.3">
      <c r="A101" s="24" t="s">
        <v>147</v>
      </c>
      <c r="B101" s="25" t="s">
        <v>218</v>
      </c>
      <c r="C101" s="25"/>
      <c r="D101" s="25"/>
      <c r="E101" s="25"/>
      <c r="F101" s="25"/>
      <c r="G101" s="25"/>
      <c r="H101" s="25"/>
      <c r="I101" s="25"/>
      <c r="J101" s="25"/>
      <c r="K101" s="25"/>
      <c r="L101" s="25"/>
      <c r="M101" s="25"/>
      <c r="N101" s="25"/>
      <c r="O101" s="25"/>
      <c r="P101" s="25"/>
      <c r="Q101" s="25"/>
      <c r="R101" s="53">
        <v>-2</v>
      </c>
      <c r="S101" s="25"/>
      <c r="T101" s="5"/>
    </row>
    <row r="102" spans="1:21" ht="15.6" x14ac:dyDescent="0.3">
      <c r="A102" s="24" t="s">
        <v>176</v>
      </c>
      <c r="B102" s="25" t="s">
        <v>230</v>
      </c>
      <c r="C102" s="25"/>
      <c r="D102" s="25"/>
      <c r="E102" s="25"/>
      <c r="F102" s="25"/>
      <c r="G102" s="25"/>
      <c r="H102" s="25"/>
      <c r="I102" s="25"/>
      <c r="J102" s="25"/>
      <c r="K102" s="25"/>
      <c r="L102" s="25"/>
      <c r="M102" s="25"/>
      <c r="N102" s="25"/>
      <c r="O102" s="25"/>
      <c r="P102" s="25"/>
      <c r="Q102" s="25"/>
      <c r="R102" s="53">
        <v>-490</v>
      </c>
      <c r="S102" s="25"/>
      <c r="T102" s="5"/>
      <c r="U102" s="110"/>
    </row>
    <row r="103" spans="1:21" ht="15.6" x14ac:dyDescent="0.3">
      <c r="A103" s="24" t="s">
        <v>177</v>
      </c>
      <c r="B103" s="25" t="s">
        <v>231</v>
      </c>
      <c r="C103" s="25"/>
      <c r="D103" s="25"/>
      <c r="E103" s="25"/>
      <c r="F103" s="25"/>
      <c r="G103" s="25"/>
      <c r="H103" s="25"/>
      <c r="I103" s="25"/>
      <c r="J103" s="25"/>
      <c r="K103" s="25"/>
      <c r="L103" s="25"/>
      <c r="M103" s="25"/>
      <c r="N103" s="25"/>
      <c r="O103" s="25"/>
      <c r="P103" s="25"/>
      <c r="Q103" s="25"/>
      <c r="R103" s="53">
        <v>-2265</v>
      </c>
      <c r="S103" s="25"/>
      <c r="T103" s="5"/>
      <c r="U103" s="110"/>
    </row>
    <row r="104" spans="1:21" ht="15.6" x14ac:dyDescent="0.3">
      <c r="A104" s="24" t="s">
        <v>248</v>
      </c>
      <c r="B104" s="25" t="s">
        <v>232</v>
      </c>
      <c r="C104" s="25"/>
      <c r="D104" s="25"/>
      <c r="E104" s="25"/>
      <c r="F104" s="25"/>
      <c r="G104" s="25"/>
      <c r="H104" s="25"/>
      <c r="I104" s="25"/>
      <c r="J104" s="25"/>
      <c r="K104" s="25"/>
      <c r="L104" s="25"/>
      <c r="M104" s="25"/>
      <c r="N104" s="25"/>
      <c r="O104" s="25"/>
      <c r="P104" s="25"/>
      <c r="Q104" s="25"/>
      <c r="R104" s="53">
        <v>-3810</v>
      </c>
      <c r="S104" s="25"/>
      <c r="T104" s="5"/>
    </row>
    <row r="105" spans="1:21" ht="15.6" x14ac:dyDescent="0.3">
      <c r="A105" s="24" t="s">
        <v>205</v>
      </c>
      <c r="B105" s="25" t="s">
        <v>233</v>
      </c>
      <c r="C105" s="25"/>
      <c r="D105" s="25"/>
      <c r="E105" s="25"/>
      <c r="F105" s="25"/>
      <c r="G105" s="25"/>
      <c r="H105" s="25"/>
      <c r="I105" s="25"/>
      <c r="J105" s="25"/>
      <c r="K105" s="25"/>
      <c r="L105" s="25"/>
      <c r="M105" s="25"/>
      <c r="N105" s="25"/>
      <c r="O105" s="25"/>
      <c r="P105" s="25"/>
      <c r="Q105" s="25"/>
      <c r="R105" s="53">
        <v>-3966</v>
      </c>
      <c r="S105" s="25"/>
      <c r="T105" s="5"/>
      <c r="U105" s="110"/>
    </row>
    <row r="106" spans="1:21" ht="15.6" x14ac:dyDescent="0.3">
      <c r="A106" s="24" t="s">
        <v>249</v>
      </c>
      <c r="B106" s="25" t="s">
        <v>234</v>
      </c>
      <c r="C106" s="25"/>
      <c r="D106" s="25"/>
      <c r="E106" s="25"/>
      <c r="F106" s="25"/>
      <c r="G106" s="25"/>
      <c r="H106" s="25"/>
      <c r="I106" s="25"/>
      <c r="J106" s="25"/>
      <c r="K106" s="25"/>
      <c r="L106" s="25"/>
      <c r="M106" s="25"/>
      <c r="N106" s="25"/>
      <c r="O106" s="25"/>
      <c r="P106" s="25"/>
      <c r="Q106" s="25"/>
      <c r="R106" s="53">
        <v>-889</v>
      </c>
      <c r="S106" s="25"/>
      <c r="T106" s="5"/>
      <c r="U106" s="110"/>
    </row>
    <row r="107" spans="1:21" ht="15.6" x14ac:dyDescent="0.3">
      <c r="A107" s="24" t="s">
        <v>250</v>
      </c>
      <c r="B107" s="25" t="s">
        <v>168</v>
      </c>
      <c r="C107" s="25"/>
      <c r="D107" s="25"/>
      <c r="E107" s="25"/>
      <c r="F107" s="25"/>
      <c r="G107" s="25"/>
      <c r="H107" s="25"/>
      <c r="I107" s="25"/>
      <c r="J107" s="25"/>
      <c r="K107" s="25"/>
      <c r="L107" s="25"/>
      <c r="M107" s="25"/>
      <c r="N107" s="25"/>
      <c r="O107" s="25"/>
      <c r="P107" s="25"/>
      <c r="Q107" s="25"/>
      <c r="R107" s="53">
        <v>-482</v>
      </c>
      <c r="S107" s="25"/>
      <c r="T107" s="5"/>
    </row>
    <row r="108" spans="1:21" ht="15.6" x14ac:dyDescent="0.3">
      <c r="A108" s="24">
        <v>6</v>
      </c>
      <c r="B108" s="25" t="s">
        <v>41</v>
      </c>
      <c r="C108" s="25"/>
      <c r="D108" s="25"/>
      <c r="E108" s="25"/>
      <c r="F108" s="25"/>
      <c r="G108" s="25"/>
      <c r="H108" s="25"/>
      <c r="I108" s="25"/>
      <c r="J108" s="25"/>
      <c r="K108" s="25"/>
      <c r="L108" s="25"/>
      <c r="M108" s="25"/>
      <c r="N108" s="25"/>
      <c r="O108" s="25"/>
      <c r="P108" s="25"/>
      <c r="Q108" s="25"/>
      <c r="R108" s="53">
        <v>-5</v>
      </c>
      <c r="S108" s="25"/>
      <c r="T108" s="5"/>
    </row>
    <row r="109" spans="1:21" ht="15.6" x14ac:dyDescent="0.3">
      <c r="A109" s="24">
        <f t="shared" ref="A109:A114" si="0">+A108+1</f>
        <v>7</v>
      </c>
      <c r="B109" s="25" t="s">
        <v>53</v>
      </c>
      <c r="C109" s="25"/>
      <c r="D109" s="25"/>
      <c r="E109" s="25"/>
      <c r="F109" s="25"/>
      <c r="G109" s="25"/>
      <c r="H109" s="25"/>
      <c r="I109" s="25"/>
      <c r="J109" s="25"/>
      <c r="K109" s="25"/>
      <c r="L109" s="25"/>
      <c r="M109" s="25"/>
      <c r="N109" s="25"/>
      <c r="O109" s="25"/>
      <c r="P109" s="25"/>
      <c r="Q109" s="25"/>
      <c r="R109" s="53">
        <v>0</v>
      </c>
      <c r="S109" s="25"/>
      <c r="T109" s="5"/>
    </row>
    <row r="110" spans="1:21" ht="15.6" x14ac:dyDescent="0.3">
      <c r="A110" s="24">
        <f t="shared" si="0"/>
        <v>8</v>
      </c>
      <c r="B110" s="25" t="s">
        <v>144</v>
      </c>
      <c r="C110" s="25"/>
      <c r="D110" s="25"/>
      <c r="E110" s="25"/>
      <c r="F110" s="25"/>
      <c r="G110" s="25"/>
      <c r="H110" s="25"/>
      <c r="I110" s="25"/>
      <c r="J110" s="25"/>
      <c r="K110" s="25"/>
      <c r="L110" s="25"/>
      <c r="M110" s="25"/>
      <c r="N110" s="25"/>
      <c r="O110" s="25"/>
      <c r="P110" s="25"/>
      <c r="Q110" s="25"/>
      <c r="R110" s="53">
        <v>0</v>
      </c>
      <c r="S110" s="25"/>
      <c r="T110" s="5"/>
    </row>
    <row r="111" spans="1:21" ht="15.6" x14ac:dyDescent="0.3">
      <c r="A111" s="24">
        <f t="shared" si="0"/>
        <v>9</v>
      </c>
      <c r="B111" s="25" t="s">
        <v>42</v>
      </c>
      <c r="C111" s="25"/>
      <c r="D111" s="25"/>
      <c r="E111" s="25"/>
      <c r="F111" s="25"/>
      <c r="G111" s="25"/>
      <c r="H111" s="25"/>
      <c r="I111" s="25"/>
      <c r="J111" s="25"/>
      <c r="K111" s="25"/>
      <c r="L111" s="25"/>
      <c r="M111" s="25"/>
      <c r="N111" s="25"/>
      <c r="O111" s="25"/>
      <c r="P111" s="25"/>
      <c r="Q111" s="25"/>
      <c r="R111" s="53">
        <v>0</v>
      </c>
      <c r="S111" s="25"/>
      <c r="T111" s="5"/>
    </row>
    <row r="112" spans="1:21" ht="15.6" x14ac:dyDescent="0.3">
      <c r="A112" s="24">
        <f t="shared" si="0"/>
        <v>10</v>
      </c>
      <c r="B112" s="25" t="s">
        <v>43</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11</v>
      </c>
      <c r="B113" s="25" t="s">
        <v>175</v>
      </c>
      <c r="C113" s="25"/>
      <c r="D113" s="25"/>
      <c r="E113" s="25"/>
      <c r="F113" s="25"/>
      <c r="G113" s="25"/>
      <c r="H113" s="25"/>
      <c r="I113" s="25"/>
      <c r="J113" s="25"/>
      <c r="K113" s="25"/>
      <c r="L113" s="25"/>
      <c r="M113" s="25"/>
      <c r="N113" s="25"/>
      <c r="O113" s="25"/>
      <c r="P113" s="25"/>
      <c r="Q113" s="25"/>
      <c r="R113" s="53">
        <v>-478</v>
      </c>
      <c r="S113" s="25"/>
      <c r="T113" s="5"/>
    </row>
    <row r="114" spans="1:20" ht="15.6" x14ac:dyDescent="0.3">
      <c r="A114" s="24">
        <f t="shared" si="0"/>
        <v>12</v>
      </c>
      <c r="B114" s="25" t="s">
        <v>145</v>
      </c>
      <c r="C114" s="25"/>
      <c r="D114" s="25"/>
      <c r="E114" s="25"/>
      <c r="F114" s="25"/>
      <c r="G114" s="25"/>
      <c r="H114" s="25"/>
      <c r="I114" s="25"/>
      <c r="J114" s="25"/>
      <c r="K114" s="25"/>
      <c r="L114" s="25"/>
      <c r="M114" s="25"/>
      <c r="N114" s="25"/>
      <c r="O114" s="25"/>
      <c r="P114" s="25"/>
      <c r="Q114" s="25"/>
      <c r="R114" s="53">
        <f>-R95-SUM(R97:R113)</f>
        <v>-2290</v>
      </c>
      <c r="S114" s="25"/>
      <c r="T114" s="5"/>
    </row>
    <row r="115" spans="1:20" ht="15.6" x14ac:dyDescent="0.3">
      <c r="A115" s="24"/>
      <c r="B115" s="119" t="s">
        <v>44</v>
      </c>
      <c r="C115" s="25"/>
      <c r="D115" s="25"/>
      <c r="E115" s="25"/>
      <c r="F115" s="25"/>
      <c r="G115" s="25"/>
      <c r="H115" s="25"/>
      <c r="I115" s="25"/>
      <c r="J115" s="25"/>
      <c r="K115" s="25"/>
      <c r="L115" s="25"/>
      <c r="M115" s="25"/>
      <c r="N115" s="25"/>
      <c r="O115" s="25"/>
      <c r="P115" s="25"/>
      <c r="Q115" s="25"/>
      <c r="R115" s="59"/>
      <c r="S115" s="25"/>
      <c r="T115" s="5"/>
    </row>
    <row r="116" spans="1:20" ht="15.6" x14ac:dyDescent="0.3">
      <c r="A116" s="24"/>
      <c r="B116" s="25" t="s">
        <v>45</v>
      </c>
      <c r="C116" s="25"/>
      <c r="D116" s="25"/>
      <c r="E116" s="25"/>
      <c r="F116" s="25"/>
      <c r="G116" s="25"/>
      <c r="H116" s="25"/>
      <c r="I116" s="25"/>
      <c r="J116" s="25"/>
      <c r="K116" s="25"/>
      <c r="L116" s="25"/>
      <c r="M116" s="25"/>
      <c r="N116" s="25"/>
      <c r="O116" s="25"/>
      <c r="P116" s="34">
        <v>-1284</v>
      </c>
      <c r="Q116" s="34"/>
      <c r="R116" s="53"/>
      <c r="S116" s="25"/>
      <c r="T116" s="5"/>
    </row>
    <row r="117" spans="1:20" ht="15.6" x14ac:dyDescent="0.3">
      <c r="A117" s="24"/>
      <c r="B117" s="25" t="s">
        <v>46</v>
      </c>
      <c r="C117" s="25"/>
      <c r="D117" s="25"/>
      <c r="E117" s="25"/>
      <c r="F117" s="25"/>
      <c r="G117" s="25"/>
      <c r="H117" s="25"/>
      <c r="I117" s="25"/>
      <c r="J117" s="25"/>
      <c r="K117" s="25"/>
      <c r="L117" s="25"/>
      <c r="M117" s="25"/>
      <c r="N117" s="25"/>
      <c r="O117" s="25"/>
      <c r="P117" s="34">
        <f>-O171</f>
        <v>-7798</v>
      </c>
      <c r="Q117" s="34"/>
      <c r="R117" s="53"/>
      <c r="S117" s="25"/>
      <c r="T117" s="5"/>
    </row>
    <row r="118" spans="1:20" ht="15.6" x14ac:dyDescent="0.3">
      <c r="A118" s="24"/>
      <c r="B118" s="25" t="s">
        <v>219</v>
      </c>
      <c r="C118" s="25"/>
      <c r="D118" s="25"/>
      <c r="E118" s="25"/>
      <c r="F118" s="25"/>
      <c r="G118" s="25"/>
      <c r="H118" s="25"/>
      <c r="I118" s="25"/>
      <c r="J118" s="25"/>
      <c r="K118" s="25"/>
      <c r="L118" s="25"/>
      <c r="M118" s="25"/>
      <c r="N118" s="25"/>
      <c r="O118" s="25"/>
      <c r="P118" s="34">
        <v>-4525</v>
      </c>
      <c r="Q118" s="34"/>
      <c r="R118" s="53"/>
      <c r="S118" s="25"/>
      <c r="T118" s="5"/>
    </row>
    <row r="119" spans="1:20" ht="15.6" x14ac:dyDescent="0.3">
      <c r="A119" s="24"/>
      <c r="B119" s="25" t="s">
        <v>220</v>
      </c>
      <c r="C119" s="25"/>
      <c r="D119" s="25"/>
      <c r="E119" s="25"/>
      <c r="F119" s="25"/>
      <c r="G119" s="25"/>
      <c r="H119" s="25"/>
      <c r="I119" s="25"/>
      <c r="J119" s="25"/>
      <c r="K119" s="25"/>
      <c r="L119" s="25"/>
      <c r="M119" s="25"/>
      <c r="N119" s="25"/>
      <c r="O119" s="25"/>
      <c r="P119" s="34">
        <v>-20809</v>
      </c>
      <c r="Q119" s="34"/>
      <c r="R119" s="53"/>
      <c r="S119" s="25"/>
      <c r="T119" s="5"/>
    </row>
    <row r="120" spans="1:20" ht="15.6" x14ac:dyDescent="0.3">
      <c r="A120" s="24"/>
      <c r="B120" s="25" t="s">
        <v>221</v>
      </c>
      <c r="C120" s="25"/>
      <c r="D120" s="25"/>
      <c r="E120" s="25"/>
      <c r="F120" s="25"/>
      <c r="G120" s="25"/>
      <c r="H120" s="25"/>
      <c r="I120" s="25"/>
      <c r="J120" s="25"/>
      <c r="K120" s="25"/>
      <c r="L120" s="25"/>
      <c r="M120" s="25"/>
      <c r="N120" s="25"/>
      <c r="O120" s="25"/>
      <c r="P120" s="34">
        <v>0</v>
      </c>
      <c r="Q120" s="34"/>
      <c r="R120" s="53"/>
      <c r="S120" s="25"/>
      <c r="T120" s="5"/>
    </row>
    <row r="121" spans="1:20" ht="15.6" x14ac:dyDescent="0.3">
      <c r="A121" s="24"/>
      <c r="B121" s="25" t="s">
        <v>222</v>
      </c>
      <c r="C121" s="25"/>
      <c r="D121" s="25"/>
      <c r="E121" s="25"/>
      <c r="F121" s="25"/>
      <c r="G121" s="25"/>
      <c r="H121" s="25"/>
      <c r="I121" s="25"/>
      <c r="J121" s="25"/>
      <c r="K121" s="25"/>
      <c r="L121" s="25"/>
      <c r="M121" s="25"/>
      <c r="N121" s="25"/>
      <c r="O121" s="25"/>
      <c r="P121" s="34">
        <v>0</v>
      </c>
      <c r="Q121" s="34"/>
      <c r="R121" s="53"/>
      <c r="S121" s="25"/>
      <c r="T121" s="5"/>
    </row>
    <row r="122" spans="1:20" ht="15.6" x14ac:dyDescent="0.3">
      <c r="A122" s="24"/>
      <c r="B122" s="25" t="s">
        <v>223</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173</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47</v>
      </c>
      <c r="C124" s="25"/>
      <c r="D124" s="25"/>
      <c r="E124" s="25"/>
      <c r="F124" s="25"/>
      <c r="G124" s="25"/>
      <c r="H124" s="25"/>
      <c r="I124" s="25"/>
      <c r="J124" s="25"/>
      <c r="K124" s="25"/>
      <c r="L124" s="25"/>
      <c r="M124" s="25"/>
      <c r="N124" s="25"/>
      <c r="O124" s="25"/>
      <c r="P124" s="34">
        <f>SUM(P116:P123)</f>
        <v>-34416</v>
      </c>
      <c r="Q124" s="34"/>
      <c r="R124" s="34">
        <f>SUM(R96:R123)</f>
        <v>-15304</v>
      </c>
      <c r="S124" s="25"/>
      <c r="T124" s="5"/>
    </row>
    <row r="125" spans="1:20" ht="15.6" x14ac:dyDescent="0.3">
      <c r="A125" s="24"/>
      <c r="B125" s="25" t="s">
        <v>48</v>
      </c>
      <c r="C125" s="25"/>
      <c r="D125" s="25"/>
      <c r="E125" s="25"/>
      <c r="F125" s="25"/>
      <c r="G125" s="25"/>
      <c r="H125" s="25"/>
      <c r="I125" s="25"/>
      <c r="J125" s="25"/>
      <c r="K125" s="25"/>
      <c r="L125" s="25"/>
      <c r="M125" s="25"/>
      <c r="N125" s="25"/>
      <c r="O125" s="25"/>
      <c r="P125" s="34">
        <f>P95+P124</f>
        <v>0</v>
      </c>
      <c r="Q125" s="34"/>
      <c r="R125" s="34">
        <f>R95+R124</f>
        <v>0</v>
      </c>
      <c r="S125" s="25"/>
      <c r="T125" s="5"/>
    </row>
    <row r="126" spans="1:20" ht="15.6" x14ac:dyDescent="0.3">
      <c r="A126" s="24"/>
      <c r="B126" s="25"/>
      <c r="C126" s="25"/>
      <c r="D126" s="25"/>
      <c r="E126" s="25"/>
      <c r="F126" s="25"/>
      <c r="G126" s="25"/>
      <c r="H126" s="25"/>
      <c r="I126" s="25"/>
      <c r="J126" s="25"/>
      <c r="K126" s="25"/>
      <c r="L126" s="25"/>
      <c r="M126" s="25"/>
      <c r="N126" s="25"/>
      <c r="O126" s="25"/>
      <c r="P126" s="34"/>
      <c r="Q126" s="34"/>
      <c r="R126" s="34"/>
      <c r="S126" s="25"/>
      <c r="T126" s="5"/>
    </row>
    <row r="127" spans="1:20" ht="15.6" x14ac:dyDescent="0.3">
      <c r="A127" s="6"/>
      <c r="B127" s="8"/>
      <c r="C127" s="8"/>
      <c r="D127" s="8"/>
      <c r="E127" s="8"/>
      <c r="F127" s="8"/>
      <c r="G127" s="8"/>
      <c r="H127" s="8"/>
      <c r="I127" s="8"/>
      <c r="J127" s="8"/>
      <c r="K127" s="8"/>
      <c r="L127" s="8"/>
      <c r="M127" s="8"/>
      <c r="N127" s="8"/>
      <c r="O127" s="8"/>
      <c r="P127" s="8"/>
      <c r="Q127" s="8"/>
      <c r="R127" s="52"/>
      <c r="S127" s="8"/>
      <c r="T127" s="5"/>
    </row>
    <row r="128" spans="1:20" ht="18" thickBot="1" x14ac:dyDescent="0.35">
      <c r="A128" s="102"/>
      <c r="B128" s="103" t="str">
        <f>B62</f>
        <v>PM8 INVESTOR REPORT QUARTER ENDING SEPTEMBER 2005</v>
      </c>
      <c r="C128" s="104"/>
      <c r="D128" s="104"/>
      <c r="E128" s="104"/>
      <c r="F128" s="104"/>
      <c r="G128" s="104"/>
      <c r="H128" s="104"/>
      <c r="I128" s="104"/>
      <c r="J128" s="104"/>
      <c r="K128" s="104"/>
      <c r="L128" s="104"/>
      <c r="M128" s="104"/>
      <c r="N128" s="104"/>
      <c r="O128" s="104"/>
      <c r="P128" s="104"/>
      <c r="Q128" s="104"/>
      <c r="R128" s="107"/>
      <c r="S128" s="106"/>
      <c r="T128" s="5"/>
    </row>
    <row r="129" spans="1:21" ht="15.6" x14ac:dyDescent="0.3">
      <c r="A129" s="2"/>
      <c r="B129" s="60" t="s">
        <v>49</v>
      </c>
      <c r="C129" s="4"/>
      <c r="D129" s="4"/>
      <c r="E129" s="4"/>
      <c r="F129" s="4"/>
      <c r="G129" s="4"/>
      <c r="H129" s="4"/>
      <c r="I129" s="4"/>
      <c r="J129" s="4"/>
      <c r="K129" s="4"/>
      <c r="L129" s="4"/>
      <c r="M129" s="4"/>
      <c r="N129" s="4"/>
      <c r="O129" s="4"/>
      <c r="P129" s="4"/>
      <c r="Q129" s="4"/>
      <c r="R129" s="50"/>
      <c r="S129" s="4"/>
      <c r="T129" s="5"/>
    </row>
    <row r="130" spans="1:21" ht="15.6" x14ac:dyDescent="0.3">
      <c r="A130" s="6"/>
      <c r="B130" s="21"/>
      <c r="C130" s="8"/>
      <c r="D130" s="8"/>
      <c r="E130" s="8"/>
      <c r="F130" s="8"/>
      <c r="G130" s="8"/>
      <c r="H130" s="8"/>
      <c r="I130" s="8"/>
      <c r="J130" s="8"/>
      <c r="K130" s="8"/>
      <c r="L130" s="8"/>
      <c r="M130" s="8"/>
      <c r="N130" s="8"/>
      <c r="O130" s="8"/>
      <c r="P130" s="8"/>
      <c r="Q130" s="8"/>
      <c r="R130" s="52"/>
      <c r="S130" s="8"/>
      <c r="T130" s="5"/>
    </row>
    <row r="131" spans="1:21" ht="15.6" x14ac:dyDescent="0.3">
      <c r="A131" s="6"/>
      <c r="B131" s="120" t="s">
        <v>50</v>
      </c>
      <c r="C131" s="8"/>
      <c r="D131" s="8"/>
      <c r="E131" s="8"/>
      <c r="F131" s="8"/>
      <c r="G131" s="8"/>
      <c r="H131" s="8"/>
      <c r="I131" s="8"/>
      <c r="J131" s="8"/>
      <c r="K131" s="8"/>
      <c r="L131" s="8"/>
      <c r="M131" s="8"/>
      <c r="N131" s="8"/>
      <c r="O131" s="8"/>
      <c r="P131" s="8"/>
      <c r="Q131" s="8"/>
      <c r="R131" s="52"/>
      <c r="S131" s="8"/>
      <c r="T131" s="5"/>
    </row>
    <row r="132" spans="1:21" ht="15.6" x14ac:dyDescent="0.3">
      <c r="A132" s="24"/>
      <c r="B132" s="25" t="s">
        <v>51</v>
      </c>
      <c r="C132" s="25"/>
      <c r="D132" s="25"/>
      <c r="E132" s="25"/>
      <c r="F132" s="25"/>
      <c r="G132" s="25"/>
      <c r="H132" s="25"/>
      <c r="I132" s="25"/>
      <c r="J132" s="25"/>
      <c r="K132" s="25"/>
      <c r="L132" s="25"/>
      <c r="M132" s="25"/>
      <c r="N132" s="25"/>
      <c r="O132" s="25"/>
      <c r="P132" s="25"/>
      <c r="Q132" s="25"/>
      <c r="R132" s="53">
        <f>+R33*0.019</f>
        <v>19000</v>
      </c>
      <c r="S132" s="25"/>
      <c r="T132" s="5"/>
    </row>
    <row r="133" spans="1:21" ht="15.6" x14ac:dyDescent="0.3">
      <c r="A133" s="24"/>
      <c r="B133" s="25" t="s">
        <v>52</v>
      </c>
      <c r="C133" s="25"/>
      <c r="D133" s="25"/>
      <c r="E133" s="25"/>
      <c r="F133" s="25"/>
      <c r="G133" s="25"/>
      <c r="H133" s="25"/>
      <c r="I133" s="25"/>
      <c r="J133" s="25"/>
      <c r="K133" s="25"/>
      <c r="L133" s="25"/>
      <c r="M133" s="25"/>
      <c r="N133" s="25"/>
      <c r="O133" s="25"/>
      <c r="P133" s="25"/>
      <c r="Q133" s="25"/>
      <c r="R133" s="53">
        <v>0</v>
      </c>
      <c r="S133" s="25"/>
      <c r="T133" s="5"/>
    </row>
    <row r="134" spans="1:21" ht="15.6" x14ac:dyDescent="0.3">
      <c r="A134" s="24"/>
      <c r="B134" s="25" t="s">
        <v>155</v>
      </c>
      <c r="C134" s="25"/>
      <c r="D134" s="25"/>
      <c r="E134" s="25"/>
      <c r="F134" s="25"/>
      <c r="G134" s="25"/>
      <c r="H134" s="25"/>
      <c r="I134" s="25"/>
      <c r="J134" s="25"/>
      <c r="K134" s="25"/>
      <c r="L134" s="25"/>
      <c r="M134" s="25"/>
      <c r="N134" s="25"/>
      <c r="O134" s="25"/>
      <c r="P134" s="25"/>
      <c r="Q134" s="25"/>
      <c r="R134" s="53">
        <v>0</v>
      </c>
      <c r="S134" s="25"/>
      <c r="T134" s="5"/>
    </row>
    <row r="135" spans="1:21" ht="15.6" x14ac:dyDescent="0.3">
      <c r="A135" s="24"/>
      <c r="B135" s="25" t="s">
        <v>142</v>
      </c>
      <c r="C135" s="25"/>
      <c r="D135" s="25"/>
      <c r="E135" s="25"/>
      <c r="F135" s="25"/>
      <c r="G135" s="25"/>
      <c r="H135" s="25"/>
      <c r="I135" s="25"/>
      <c r="J135" s="25"/>
      <c r="K135" s="25"/>
      <c r="L135" s="25"/>
      <c r="M135" s="25"/>
      <c r="N135" s="25"/>
      <c r="O135" s="25"/>
      <c r="P135" s="25"/>
      <c r="Q135" s="25"/>
      <c r="R135" s="53">
        <v>0</v>
      </c>
      <c r="S135" s="25"/>
      <c r="T135" s="5"/>
    </row>
    <row r="136" spans="1:21" ht="15.6" x14ac:dyDescent="0.3">
      <c r="A136" s="24"/>
      <c r="B136" s="25" t="s">
        <v>143</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53</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148</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203</v>
      </c>
      <c r="C139" s="25"/>
      <c r="D139" s="25"/>
      <c r="E139" s="25"/>
      <c r="F139" s="25"/>
      <c r="G139" s="25"/>
      <c r="H139" s="25"/>
      <c r="I139" s="25"/>
      <c r="J139" s="25"/>
      <c r="K139" s="25"/>
      <c r="L139" s="25"/>
      <c r="M139" s="25"/>
      <c r="N139" s="25"/>
      <c r="O139" s="25"/>
      <c r="P139" s="25"/>
      <c r="Q139" s="25"/>
      <c r="R139" s="53">
        <v>0</v>
      </c>
      <c r="S139" s="25"/>
      <c r="T139" s="5"/>
      <c r="U139" s="110"/>
    </row>
    <row r="140" spans="1:21" ht="15.6" x14ac:dyDescent="0.3">
      <c r="A140" s="24"/>
      <c r="B140" s="25" t="s">
        <v>54</v>
      </c>
      <c r="C140" s="25"/>
      <c r="D140" s="25"/>
      <c r="E140" s="25"/>
      <c r="F140" s="25"/>
      <c r="G140" s="25"/>
      <c r="H140" s="25"/>
      <c r="I140" s="25"/>
      <c r="J140" s="25"/>
      <c r="K140" s="25"/>
      <c r="L140" s="25"/>
      <c r="M140" s="25"/>
      <c r="N140" s="25"/>
      <c r="O140" s="25"/>
      <c r="P140" s="25"/>
      <c r="Q140" s="25"/>
      <c r="R140" s="53">
        <f>SUM(R132:R139)</f>
        <v>19000</v>
      </c>
      <c r="S140" s="25"/>
      <c r="T140" s="5"/>
    </row>
    <row r="141" spans="1:21" ht="15.6" x14ac:dyDescent="0.3">
      <c r="A141" s="24"/>
      <c r="B141" s="25"/>
      <c r="C141" s="25"/>
      <c r="D141" s="25"/>
      <c r="E141" s="25"/>
      <c r="F141" s="25"/>
      <c r="G141" s="25"/>
      <c r="H141" s="25"/>
      <c r="I141" s="25"/>
      <c r="J141" s="25"/>
      <c r="K141" s="25"/>
      <c r="L141" s="25"/>
      <c r="M141" s="25"/>
      <c r="N141" s="25"/>
      <c r="O141" s="25"/>
      <c r="P141" s="25"/>
      <c r="Q141" s="25"/>
      <c r="R141" s="53"/>
      <c r="S141" s="25"/>
      <c r="T141" s="5"/>
    </row>
    <row r="142" spans="1:21" ht="15.6" x14ac:dyDescent="0.3">
      <c r="A142" s="24"/>
      <c r="B142" s="141" t="s">
        <v>264</v>
      </c>
      <c r="C142" s="25"/>
      <c r="D142" s="25"/>
      <c r="E142" s="25"/>
      <c r="F142" s="25"/>
      <c r="G142" s="25"/>
      <c r="H142" s="25"/>
      <c r="I142" s="25"/>
      <c r="J142" s="25"/>
      <c r="K142" s="25"/>
      <c r="L142" s="25"/>
      <c r="M142" s="25"/>
      <c r="N142" s="25"/>
      <c r="O142" s="25"/>
      <c r="P142" s="25"/>
      <c r="Q142" s="25"/>
      <c r="R142" s="53"/>
      <c r="S142" s="25"/>
      <c r="T142" s="5"/>
    </row>
    <row r="143" spans="1:21" ht="15.6" x14ac:dyDescent="0.3">
      <c r="A143" s="24"/>
      <c r="B143" s="25" t="s">
        <v>206</v>
      </c>
      <c r="C143" s="25"/>
      <c r="D143" s="25"/>
      <c r="E143" s="25"/>
      <c r="F143" s="25"/>
      <c r="G143" s="25"/>
      <c r="H143" s="25"/>
      <c r="I143" s="25"/>
      <c r="J143" s="25"/>
      <c r="K143" s="25"/>
      <c r="L143" s="25"/>
      <c r="M143" s="25"/>
      <c r="N143" s="25"/>
      <c r="O143" s="25"/>
      <c r="P143" s="25"/>
      <c r="Q143" s="25"/>
      <c r="R143" s="53">
        <f>+R33*0.005</f>
        <v>5000</v>
      </c>
      <c r="S143" s="25"/>
      <c r="T143" s="5"/>
    </row>
    <row r="144" spans="1:21" ht="15.6" x14ac:dyDescent="0.3">
      <c r="A144" s="24"/>
      <c r="B144" s="25" t="s">
        <v>260</v>
      </c>
      <c r="C144" s="25"/>
      <c r="D144" s="25"/>
      <c r="E144" s="25"/>
      <c r="F144" s="25"/>
      <c r="G144" s="25"/>
      <c r="H144" s="25"/>
      <c r="I144" s="25"/>
      <c r="J144" s="25"/>
      <c r="K144" s="25"/>
      <c r="L144" s="25"/>
      <c r="M144" s="25"/>
      <c r="N144" s="25"/>
      <c r="O144" s="25"/>
      <c r="P144" s="25"/>
      <c r="Q144" s="25"/>
      <c r="R144" s="53">
        <v>0</v>
      </c>
      <c r="S144" s="25"/>
      <c r="T144" s="5"/>
    </row>
    <row r="145" spans="1:20" ht="15.6" x14ac:dyDescent="0.3">
      <c r="A145" s="24"/>
      <c r="B145" s="25" t="s">
        <v>265</v>
      </c>
      <c r="C145" s="25"/>
      <c r="D145" s="25"/>
      <c r="E145" s="25"/>
      <c r="F145" s="25"/>
      <c r="G145" s="25"/>
      <c r="H145" s="25"/>
      <c r="I145" s="25"/>
      <c r="J145" s="25"/>
      <c r="K145" s="25"/>
      <c r="L145" s="25"/>
      <c r="M145" s="25"/>
      <c r="N145" s="25"/>
      <c r="O145" s="25"/>
      <c r="P145" s="25"/>
      <c r="Q145" s="25"/>
      <c r="R145" s="53">
        <f>SUM(R143:R144)</f>
        <v>5000</v>
      </c>
      <c r="S145" s="25"/>
      <c r="T145" s="5"/>
    </row>
    <row r="146" spans="1:20" ht="15.6" x14ac:dyDescent="0.3">
      <c r="A146" s="24"/>
      <c r="B146" s="25"/>
      <c r="C146" s="25"/>
      <c r="D146" s="25"/>
      <c r="E146" s="25"/>
      <c r="F146" s="25"/>
      <c r="G146" s="25"/>
      <c r="H146" s="25"/>
      <c r="I146" s="25"/>
      <c r="J146" s="25"/>
      <c r="K146" s="25"/>
      <c r="L146" s="25"/>
      <c r="M146" s="25"/>
      <c r="N146" s="25"/>
      <c r="O146" s="25"/>
      <c r="P146" s="25"/>
      <c r="Q146" s="25"/>
      <c r="R146" s="53"/>
      <c r="S146" s="25"/>
      <c r="T146" s="5"/>
    </row>
    <row r="147" spans="1:20" ht="15.6" x14ac:dyDescent="0.3">
      <c r="A147" s="24"/>
      <c r="B147" s="25"/>
      <c r="C147" s="25"/>
      <c r="D147" s="25"/>
      <c r="E147" s="25"/>
      <c r="F147" s="25"/>
      <c r="G147" s="25"/>
      <c r="H147" s="25"/>
      <c r="I147" s="25"/>
      <c r="J147" s="25"/>
      <c r="K147" s="25"/>
      <c r="L147" s="25"/>
      <c r="M147" s="25"/>
      <c r="N147" s="25"/>
      <c r="O147" s="25"/>
      <c r="P147" s="25"/>
      <c r="Q147" s="25"/>
      <c r="R147" s="61"/>
      <c r="S147" s="25"/>
      <c r="T147" s="5"/>
    </row>
    <row r="148" spans="1:20" ht="15.6" x14ac:dyDescent="0.3">
      <c r="A148" s="6"/>
      <c r="B148" s="120" t="s">
        <v>28</v>
      </c>
      <c r="C148" s="8"/>
      <c r="D148" s="8"/>
      <c r="E148" s="8"/>
      <c r="F148" s="8"/>
      <c r="G148" s="8"/>
      <c r="H148" s="8"/>
      <c r="I148" s="8"/>
      <c r="J148" s="8"/>
      <c r="K148" s="8"/>
      <c r="L148" s="8"/>
      <c r="M148" s="8"/>
      <c r="N148" s="8"/>
      <c r="O148" s="8"/>
      <c r="P148" s="8"/>
      <c r="Q148" s="8"/>
      <c r="R148" s="52"/>
      <c r="S148" s="8"/>
      <c r="T148" s="5"/>
    </row>
    <row r="149" spans="1:20" ht="15.6" x14ac:dyDescent="0.3">
      <c r="A149" s="24"/>
      <c r="B149" s="25" t="s">
        <v>55</v>
      </c>
      <c r="C149" s="25"/>
      <c r="D149" s="25"/>
      <c r="E149" s="25"/>
      <c r="F149" s="25"/>
      <c r="G149" s="25"/>
      <c r="H149" s="25"/>
      <c r="I149" s="25"/>
      <c r="J149" s="25"/>
      <c r="K149" s="25"/>
      <c r="L149" s="25"/>
      <c r="M149" s="25"/>
      <c r="N149" s="25"/>
      <c r="O149" s="25"/>
      <c r="P149" s="25"/>
      <c r="Q149" s="25"/>
      <c r="R149" s="59" t="s">
        <v>137</v>
      </c>
      <c r="S149" s="25"/>
      <c r="T149" s="5"/>
    </row>
    <row r="150" spans="1:20" ht="15.6" x14ac:dyDescent="0.3">
      <c r="A150" s="24"/>
      <c r="B150" s="25" t="s">
        <v>56</v>
      </c>
      <c r="C150" s="146"/>
      <c r="D150" s="146"/>
      <c r="E150" s="146"/>
      <c r="F150" s="146"/>
      <c r="G150" s="146"/>
      <c r="H150" s="146"/>
      <c r="I150" s="146"/>
      <c r="J150" s="146"/>
      <c r="K150" s="146"/>
      <c r="L150" s="146"/>
      <c r="M150" s="146"/>
      <c r="N150" s="146"/>
      <c r="O150" s="146"/>
      <c r="P150" s="146"/>
      <c r="Q150" s="146"/>
      <c r="R150" s="59" t="s">
        <v>137</v>
      </c>
      <c r="S150" s="25"/>
      <c r="T150" s="5"/>
    </row>
    <row r="151" spans="1:20" ht="15.6" x14ac:dyDescent="0.3">
      <c r="A151" s="24"/>
      <c r="B151" s="25" t="s">
        <v>57</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58</v>
      </c>
      <c r="C152" s="25"/>
      <c r="D152" s="25"/>
      <c r="E152" s="25"/>
      <c r="F152" s="25"/>
      <c r="G152" s="25"/>
      <c r="H152" s="25"/>
      <c r="I152" s="25"/>
      <c r="J152" s="25"/>
      <c r="K152" s="25"/>
      <c r="L152" s="25"/>
      <c r="M152" s="25"/>
      <c r="N152" s="25"/>
      <c r="O152" s="25"/>
      <c r="P152" s="25"/>
      <c r="Q152" s="25"/>
      <c r="R152" s="59" t="s">
        <v>137</v>
      </c>
      <c r="S152" s="25"/>
      <c r="T152" s="5"/>
    </row>
    <row r="153" spans="1:20" ht="15.6" x14ac:dyDescent="0.3">
      <c r="A153" s="24"/>
      <c r="B153" s="25"/>
      <c r="C153" s="25"/>
      <c r="D153" s="25"/>
      <c r="E153" s="25"/>
      <c r="F153" s="25"/>
      <c r="G153" s="25"/>
      <c r="H153" s="25"/>
      <c r="I153" s="25"/>
      <c r="J153" s="25"/>
      <c r="K153" s="25"/>
      <c r="L153" s="25"/>
      <c r="M153" s="25"/>
      <c r="N153" s="25"/>
      <c r="O153" s="25"/>
      <c r="P153" s="25"/>
      <c r="Q153" s="25"/>
      <c r="R153" s="61"/>
      <c r="S153" s="25"/>
      <c r="T153" s="5"/>
    </row>
    <row r="154" spans="1:20" ht="15.6" x14ac:dyDescent="0.3">
      <c r="A154" s="6"/>
      <c r="B154" s="120" t="s">
        <v>59</v>
      </c>
      <c r="C154" s="8"/>
      <c r="D154" s="8"/>
      <c r="E154" s="8"/>
      <c r="F154" s="8"/>
      <c r="G154" s="8"/>
      <c r="H154" s="8"/>
      <c r="I154" s="8"/>
      <c r="J154" s="8"/>
      <c r="K154" s="8"/>
      <c r="L154" s="8"/>
      <c r="M154" s="8"/>
      <c r="N154" s="8"/>
      <c r="O154" s="8"/>
      <c r="P154" s="8"/>
      <c r="Q154" s="8"/>
      <c r="R154" s="63"/>
      <c r="S154" s="8"/>
      <c r="T154" s="5"/>
    </row>
    <row r="155" spans="1:20" ht="15.6" x14ac:dyDescent="0.3">
      <c r="A155" s="24"/>
      <c r="B155" s="25" t="s">
        <v>60</v>
      </c>
      <c r="C155" s="25"/>
      <c r="D155" s="25"/>
      <c r="E155" s="25"/>
      <c r="F155" s="25"/>
      <c r="G155" s="25"/>
      <c r="H155" s="25"/>
      <c r="I155" s="25"/>
      <c r="J155" s="25"/>
      <c r="K155" s="25"/>
      <c r="L155" s="25"/>
      <c r="M155" s="25"/>
      <c r="N155" s="25"/>
      <c r="O155" s="25"/>
      <c r="P155" s="25"/>
      <c r="Q155" s="25"/>
      <c r="R155" s="53">
        <v>0</v>
      </c>
      <c r="S155" s="25"/>
      <c r="T155" s="5"/>
    </row>
    <row r="156" spans="1:20" ht="15.6" x14ac:dyDescent="0.3">
      <c r="A156" s="24"/>
      <c r="B156" s="25" t="s">
        <v>61</v>
      </c>
      <c r="C156" s="25"/>
      <c r="D156" s="25"/>
      <c r="E156" s="25"/>
      <c r="F156" s="25"/>
      <c r="G156" s="25"/>
      <c r="H156" s="25"/>
      <c r="I156" s="25"/>
      <c r="J156" s="25"/>
      <c r="K156" s="25"/>
      <c r="L156" s="25"/>
      <c r="M156" s="25"/>
      <c r="N156" s="25"/>
      <c r="O156" s="25"/>
      <c r="P156" s="25"/>
      <c r="Q156" s="25"/>
      <c r="R156" s="53">
        <v>0</v>
      </c>
      <c r="S156" s="25"/>
      <c r="T156" s="5"/>
    </row>
    <row r="157" spans="1:20" ht="15.6" x14ac:dyDescent="0.3">
      <c r="A157" s="24"/>
      <c r="B157" s="25" t="s">
        <v>62</v>
      </c>
      <c r="C157" s="25"/>
      <c r="D157" s="25"/>
      <c r="E157" s="25"/>
      <c r="F157" s="25"/>
      <c r="G157" s="25"/>
      <c r="H157" s="25"/>
      <c r="I157" s="25"/>
      <c r="J157" s="25"/>
      <c r="K157" s="25"/>
      <c r="L157" s="25"/>
      <c r="M157" s="25"/>
      <c r="N157" s="25"/>
      <c r="O157" s="25"/>
      <c r="P157" s="25"/>
      <c r="Q157" s="25"/>
      <c r="R157" s="53">
        <f>R156+R155</f>
        <v>0</v>
      </c>
      <c r="S157" s="25"/>
      <c r="T157" s="5"/>
    </row>
    <row r="158" spans="1:20" ht="15.6" x14ac:dyDescent="0.3">
      <c r="A158" s="24"/>
      <c r="B158" s="155" t="s">
        <v>308</v>
      </c>
      <c r="C158" s="25"/>
      <c r="D158" s="25"/>
      <c r="E158" s="25"/>
      <c r="F158" s="25"/>
      <c r="G158" s="25"/>
      <c r="H158" s="25"/>
      <c r="I158" s="25"/>
      <c r="J158" s="25"/>
      <c r="K158" s="25"/>
      <c r="L158" s="25"/>
      <c r="M158" s="25"/>
      <c r="N158" s="25"/>
      <c r="O158" s="25"/>
      <c r="P158" s="25"/>
      <c r="Q158" s="25"/>
      <c r="R158" s="53">
        <f>R110</f>
        <v>0</v>
      </c>
      <c r="S158" s="25"/>
      <c r="T158" s="5"/>
    </row>
    <row r="159" spans="1:20" ht="15.6" x14ac:dyDescent="0.3">
      <c r="A159" s="24"/>
      <c r="B159" s="25" t="s">
        <v>63</v>
      </c>
      <c r="C159" s="25"/>
      <c r="D159" s="25"/>
      <c r="E159" s="25"/>
      <c r="F159" s="25"/>
      <c r="G159" s="25"/>
      <c r="H159" s="25"/>
      <c r="I159" s="25"/>
      <c r="J159" s="25"/>
      <c r="K159" s="25"/>
      <c r="L159" s="25"/>
      <c r="M159" s="25"/>
      <c r="N159" s="25"/>
      <c r="O159" s="25"/>
      <c r="P159" s="25"/>
      <c r="Q159" s="25"/>
      <c r="R159" s="53">
        <f>R157+R158</f>
        <v>0</v>
      </c>
      <c r="S159" s="25"/>
      <c r="T159" s="5"/>
    </row>
    <row r="160" spans="1:20" ht="16.2" thickBot="1" x14ac:dyDescent="0.35">
      <c r="A160" s="24"/>
      <c r="B160" s="25"/>
      <c r="C160" s="25"/>
      <c r="D160" s="25"/>
      <c r="E160" s="25"/>
      <c r="F160" s="25"/>
      <c r="G160" s="25"/>
      <c r="H160" s="25"/>
      <c r="I160" s="25"/>
      <c r="J160" s="25"/>
      <c r="K160" s="25"/>
      <c r="L160" s="25"/>
      <c r="M160" s="25"/>
      <c r="N160" s="25"/>
      <c r="O160" s="25"/>
      <c r="P160" s="25"/>
      <c r="Q160" s="25"/>
      <c r="R160" s="61"/>
      <c r="S160" s="25"/>
      <c r="T160" s="5"/>
    </row>
    <row r="161" spans="1:20" ht="15.6" x14ac:dyDescent="0.3">
      <c r="A161" s="2"/>
      <c r="B161" s="4"/>
      <c r="C161" s="4"/>
      <c r="D161" s="4"/>
      <c r="E161" s="4"/>
      <c r="F161" s="4"/>
      <c r="G161" s="4"/>
      <c r="H161" s="4"/>
      <c r="I161" s="4"/>
      <c r="J161" s="4"/>
      <c r="K161" s="4"/>
      <c r="L161" s="4"/>
      <c r="M161" s="4"/>
      <c r="N161" s="4"/>
      <c r="O161" s="4"/>
      <c r="P161" s="4"/>
      <c r="Q161" s="4"/>
      <c r="R161" s="50"/>
      <c r="S161" s="4"/>
      <c r="T161" s="5"/>
    </row>
    <row r="162" spans="1:20" ht="15.6" x14ac:dyDescent="0.3">
      <c r="A162" s="6"/>
      <c r="B162" s="120" t="s">
        <v>64</v>
      </c>
      <c r="C162" s="8"/>
      <c r="D162" s="8"/>
      <c r="E162" s="8"/>
      <c r="F162" s="8"/>
      <c r="G162" s="8"/>
      <c r="H162" s="8"/>
      <c r="I162" s="8"/>
      <c r="J162" s="8"/>
      <c r="K162" s="8"/>
      <c r="L162" s="8"/>
      <c r="M162" s="8"/>
      <c r="N162" s="8"/>
      <c r="O162" s="8"/>
      <c r="P162" s="8"/>
      <c r="Q162" s="8"/>
      <c r="R162" s="52"/>
      <c r="S162" s="8"/>
      <c r="T162" s="5"/>
    </row>
    <row r="163" spans="1:20" ht="15.6" x14ac:dyDescent="0.3">
      <c r="A163" s="6"/>
      <c r="B163" s="21"/>
      <c r="C163" s="8"/>
      <c r="D163" s="8"/>
      <c r="E163" s="8"/>
      <c r="F163" s="8"/>
      <c r="G163" s="8"/>
      <c r="H163" s="8"/>
      <c r="I163" s="8"/>
      <c r="J163" s="8"/>
      <c r="K163" s="8"/>
      <c r="L163" s="8"/>
      <c r="M163" s="8"/>
      <c r="N163" s="8"/>
      <c r="O163" s="8"/>
      <c r="P163" s="8"/>
      <c r="Q163" s="8"/>
      <c r="R163" s="52"/>
      <c r="S163" s="8"/>
      <c r="T163" s="5"/>
    </row>
    <row r="164" spans="1:20" ht="15.6" x14ac:dyDescent="0.3">
      <c r="A164" s="24"/>
      <c r="B164" s="25" t="s">
        <v>65</v>
      </c>
      <c r="C164" s="25"/>
      <c r="D164" s="25"/>
      <c r="E164" s="25"/>
      <c r="F164" s="25"/>
      <c r="G164" s="25"/>
      <c r="H164" s="25"/>
      <c r="I164" s="25"/>
      <c r="J164" s="25"/>
      <c r="K164" s="25"/>
      <c r="L164" s="25"/>
      <c r="M164" s="25"/>
      <c r="N164" s="25"/>
      <c r="O164" s="25"/>
      <c r="P164" s="25"/>
      <c r="Q164" s="25"/>
      <c r="R164" s="53">
        <f>R70</f>
        <v>918163</v>
      </c>
      <c r="S164" s="25"/>
      <c r="T164" s="5"/>
    </row>
    <row r="165" spans="1:20" ht="15.6" x14ac:dyDescent="0.3">
      <c r="A165" s="24"/>
      <c r="B165" s="25" t="s">
        <v>66</v>
      </c>
      <c r="C165" s="25"/>
      <c r="D165" s="25"/>
      <c r="E165" s="25"/>
      <c r="F165" s="25"/>
      <c r="G165" s="25"/>
      <c r="H165" s="25"/>
      <c r="I165" s="25"/>
      <c r="J165" s="25"/>
      <c r="K165" s="25"/>
      <c r="L165" s="25"/>
      <c r="M165" s="25"/>
      <c r="N165" s="25"/>
      <c r="O165" s="25"/>
      <c r="P165" s="25"/>
      <c r="Q165" s="25"/>
      <c r="R165" s="53">
        <f>R83</f>
        <v>918163</v>
      </c>
      <c r="S165" s="25"/>
      <c r="T165" s="5"/>
    </row>
    <row r="166" spans="1:20" ht="16.2" thickBot="1" x14ac:dyDescent="0.35">
      <c r="A166" s="24"/>
      <c r="B166" s="25"/>
      <c r="C166" s="25"/>
      <c r="D166" s="25"/>
      <c r="E166" s="25"/>
      <c r="F166" s="25"/>
      <c r="G166" s="25"/>
      <c r="H166" s="25"/>
      <c r="I166" s="25"/>
      <c r="J166" s="25"/>
      <c r="K166" s="25"/>
      <c r="L166" s="25"/>
      <c r="M166" s="25"/>
      <c r="N166" s="25"/>
      <c r="O166" s="25"/>
      <c r="P166" s="25"/>
      <c r="Q166" s="25"/>
      <c r="R166" s="61"/>
      <c r="S166" s="25"/>
      <c r="T166" s="5"/>
    </row>
    <row r="167" spans="1:20" ht="15.6" x14ac:dyDescent="0.3">
      <c r="A167" s="2"/>
      <c r="B167" s="4"/>
      <c r="C167" s="4"/>
      <c r="D167" s="4"/>
      <c r="E167" s="4"/>
      <c r="F167" s="4"/>
      <c r="G167" s="4"/>
      <c r="H167" s="4"/>
      <c r="I167" s="4"/>
      <c r="J167" s="4"/>
      <c r="K167" s="4"/>
      <c r="L167" s="4"/>
      <c r="M167" s="4"/>
      <c r="N167" s="4"/>
      <c r="O167" s="4"/>
      <c r="P167" s="4"/>
      <c r="Q167" s="4"/>
      <c r="R167" s="50"/>
      <c r="S167" s="4"/>
      <c r="T167" s="5"/>
    </row>
    <row r="168" spans="1:20" ht="15.6" x14ac:dyDescent="0.3">
      <c r="A168" s="6"/>
      <c r="B168" s="120" t="s">
        <v>67</v>
      </c>
      <c r="C168" s="118"/>
      <c r="D168" s="118"/>
      <c r="E168" s="118"/>
      <c r="F168" s="118"/>
      <c r="G168" s="118"/>
      <c r="H168" s="121"/>
      <c r="I168" s="121"/>
      <c r="J168" s="121"/>
      <c r="K168" s="121"/>
      <c r="L168" s="121"/>
      <c r="M168" s="121"/>
      <c r="N168" s="121"/>
      <c r="O168" s="121" t="s">
        <v>112</v>
      </c>
      <c r="P168" s="121" t="s">
        <v>120</v>
      </c>
      <c r="Q168" s="112"/>
      <c r="R168" s="122" t="s">
        <v>129</v>
      </c>
      <c r="S168" s="10"/>
      <c r="T168" s="5"/>
    </row>
    <row r="169" spans="1:20" ht="15.6" x14ac:dyDescent="0.3">
      <c r="A169" s="24"/>
      <c r="B169" s="25" t="s">
        <v>68</v>
      </c>
      <c r="C169" s="25"/>
      <c r="D169" s="25"/>
      <c r="E169" s="25"/>
      <c r="F169" s="25"/>
      <c r="G169" s="25"/>
      <c r="H169" s="25"/>
      <c r="I169" s="25"/>
      <c r="J169" s="25"/>
      <c r="K169" s="25"/>
      <c r="L169" s="25"/>
      <c r="M169" s="25"/>
      <c r="N169" s="25"/>
      <c r="O169" s="53">
        <v>160000</v>
      </c>
      <c r="P169" s="40"/>
      <c r="Q169" s="25"/>
      <c r="R169" s="53"/>
      <c r="S169" s="25"/>
      <c r="T169" s="5"/>
    </row>
    <row r="170" spans="1:20" ht="15.6" x14ac:dyDescent="0.3">
      <c r="A170" s="24"/>
      <c r="B170" s="25" t="s">
        <v>69</v>
      </c>
      <c r="C170" s="25"/>
      <c r="D170" s="25"/>
      <c r="E170" s="25"/>
      <c r="F170" s="25"/>
      <c r="G170" s="25"/>
      <c r="H170" s="25"/>
      <c r="I170" s="25"/>
      <c r="J170" s="25"/>
      <c r="K170" s="25"/>
      <c r="L170" s="25"/>
      <c r="M170" s="25"/>
      <c r="N170" s="25"/>
      <c r="O170" s="53">
        <f>+'June 05'!O172</f>
        <v>15379</v>
      </c>
      <c r="P170" s="53">
        <f>+'June 05'!P172</f>
        <v>4576</v>
      </c>
      <c r="Q170" s="25"/>
      <c r="R170" s="53">
        <f>O170+P170</f>
        <v>19955</v>
      </c>
      <c r="S170" s="25"/>
      <c r="T170" s="5"/>
    </row>
    <row r="171" spans="1:20" ht="15.6" x14ac:dyDescent="0.3">
      <c r="A171" s="24"/>
      <c r="B171" s="25" t="s">
        <v>70</v>
      </c>
      <c r="C171" s="25"/>
      <c r="D171" s="25"/>
      <c r="E171" s="25"/>
      <c r="F171" s="25"/>
      <c r="G171" s="25"/>
      <c r="H171" s="25"/>
      <c r="I171" s="25"/>
      <c r="J171" s="25"/>
      <c r="K171" s="25"/>
      <c r="L171" s="25"/>
      <c r="M171" s="25"/>
      <c r="N171" s="25"/>
      <c r="O171" s="34">
        <v>7798</v>
      </c>
      <c r="P171" s="34">
        <f>-P93-P116</f>
        <v>1313</v>
      </c>
      <c r="Q171" s="25"/>
      <c r="R171" s="53">
        <f>O171+P171</f>
        <v>9111</v>
      </c>
      <c r="S171" s="25"/>
      <c r="T171" s="5"/>
    </row>
    <row r="172" spans="1:20" ht="15.6" x14ac:dyDescent="0.3">
      <c r="A172" s="24"/>
      <c r="B172" s="25" t="s">
        <v>71</v>
      </c>
      <c r="C172" s="25"/>
      <c r="D172" s="25"/>
      <c r="E172" s="25"/>
      <c r="F172" s="25"/>
      <c r="G172" s="25"/>
      <c r="H172" s="25"/>
      <c r="I172" s="25"/>
      <c r="J172" s="25"/>
      <c r="K172" s="25"/>
      <c r="L172" s="25"/>
      <c r="M172" s="25"/>
      <c r="N172" s="25"/>
      <c r="O172" s="53">
        <f>O170+O171</f>
        <v>23177</v>
      </c>
      <c r="P172" s="53">
        <f>P171+P170</f>
        <v>5889</v>
      </c>
      <c r="Q172" s="25"/>
      <c r="R172" s="53">
        <f>O172+P172</f>
        <v>29066</v>
      </c>
      <c r="S172" s="25"/>
      <c r="T172" s="5"/>
    </row>
    <row r="173" spans="1:20" ht="15.6" x14ac:dyDescent="0.3">
      <c r="A173" s="24"/>
      <c r="B173" s="25" t="s">
        <v>72</v>
      </c>
      <c r="C173" s="25"/>
      <c r="D173" s="25"/>
      <c r="E173" s="25"/>
      <c r="F173" s="25"/>
      <c r="G173" s="25"/>
      <c r="H173" s="25"/>
      <c r="I173" s="25"/>
      <c r="J173" s="25"/>
      <c r="K173" s="25"/>
      <c r="L173" s="25"/>
      <c r="M173" s="25"/>
      <c r="N173" s="25"/>
      <c r="O173" s="53">
        <f>O169-O172-P172</f>
        <v>130934</v>
      </c>
      <c r="P173" s="40"/>
      <c r="Q173" s="25"/>
      <c r="R173" s="53"/>
      <c r="S173" s="25"/>
      <c r="T173" s="5"/>
    </row>
    <row r="174" spans="1:20" ht="16.2" thickBot="1" x14ac:dyDescent="0.35">
      <c r="A174" s="24"/>
      <c r="B174" s="25"/>
      <c r="C174" s="25"/>
      <c r="D174" s="25"/>
      <c r="E174" s="25"/>
      <c r="F174" s="25"/>
      <c r="G174" s="25"/>
      <c r="H174" s="25"/>
      <c r="I174" s="25"/>
      <c r="J174" s="25"/>
      <c r="K174" s="25"/>
      <c r="L174" s="25"/>
      <c r="M174" s="25"/>
      <c r="N174" s="25"/>
      <c r="O174" s="25"/>
      <c r="P174" s="25"/>
      <c r="Q174" s="25"/>
      <c r="R174" s="61"/>
      <c r="S174" s="25"/>
      <c r="T174" s="5"/>
    </row>
    <row r="175" spans="1:20" ht="15.6" x14ac:dyDescent="0.3">
      <c r="A175" s="2"/>
      <c r="B175" s="4"/>
      <c r="C175" s="4"/>
      <c r="D175" s="4"/>
      <c r="E175" s="4"/>
      <c r="F175" s="4"/>
      <c r="G175" s="4"/>
      <c r="H175" s="4"/>
      <c r="I175" s="4"/>
      <c r="J175" s="4"/>
      <c r="K175" s="4"/>
      <c r="L175" s="4"/>
      <c r="M175" s="4"/>
      <c r="N175" s="4"/>
      <c r="O175" s="4"/>
      <c r="P175" s="4"/>
      <c r="Q175" s="4"/>
      <c r="R175" s="50"/>
      <c r="S175" s="4"/>
      <c r="T175" s="5"/>
    </row>
    <row r="176" spans="1:20" ht="15.6" x14ac:dyDescent="0.3">
      <c r="A176" s="6"/>
      <c r="B176" s="120" t="s">
        <v>73</v>
      </c>
      <c r="C176" s="8"/>
      <c r="D176" s="8"/>
      <c r="E176" s="8"/>
      <c r="F176" s="8"/>
      <c r="G176" s="8"/>
      <c r="H176" s="8"/>
      <c r="I176" s="8"/>
      <c r="J176" s="8"/>
      <c r="K176" s="8"/>
      <c r="L176" s="8"/>
      <c r="M176" s="8"/>
      <c r="N176" s="8"/>
      <c r="O176" s="8"/>
      <c r="P176" s="8"/>
      <c r="Q176" s="8"/>
      <c r="R176" s="65"/>
      <c r="S176" s="8"/>
      <c r="T176" s="5"/>
    </row>
    <row r="177" spans="1:20" ht="15.6" x14ac:dyDescent="0.3">
      <c r="A177" s="24"/>
      <c r="B177" s="25" t="s">
        <v>74</v>
      </c>
      <c r="C177" s="25"/>
      <c r="D177" s="25"/>
      <c r="E177" s="25"/>
      <c r="F177" s="25"/>
      <c r="G177" s="25"/>
      <c r="H177" s="25"/>
      <c r="I177" s="25"/>
      <c r="J177" s="25"/>
      <c r="K177" s="25"/>
      <c r="L177" s="25"/>
      <c r="M177" s="25"/>
      <c r="N177" s="25"/>
      <c r="O177" s="25"/>
      <c r="P177" s="25"/>
      <c r="Q177" s="25"/>
      <c r="R177" s="59">
        <f>(R95+R97+R98+R99+R100+R101)/-(R102+R103+R104+R105)</f>
        <v>1.3935048903238059</v>
      </c>
      <c r="S177" s="25" t="s">
        <v>130</v>
      </c>
      <c r="T177" s="5"/>
    </row>
    <row r="178" spans="1:20" ht="15.6" x14ac:dyDescent="0.3">
      <c r="A178" s="24"/>
      <c r="B178" s="25" t="s">
        <v>75</v>
      </c>
      <c r="C178" s="25"/>
      <c r="D178" s="25"/>
      <c r="E178" s="25"/>
      <c r="F178" s="25"/>
      <c r="G178" s="25"/>
      <c r="H178" s="25"/>
      <c r="I178" s="25"/>
      <c r="J178" s="25"/>
      <c r="K178" s="25"/>
      <c r="L178" s="25"/>
      <c r="M178" s="25"/>
      <c r="N178" s="25"/>
      <c r="O178" s="25"/>
      <c r="P178" s="25"/>
      <c r="Q178" s="25"/>
      <c r="R178" s="66">
        <v>1.28</v>
      </c>
      <c r="S178" s="25" t="s">
        <v>130</v>
      </c>
      <c r="T178" s="5"/>
    </row>
    <row r="179" spans="1:20" ht="15.6" x14ac:dyDescent="0.3">
      <c r="A179" s="24"/>
      <c r="B179" s="25" t="s">
        <v>76</v>
      </c>
      <c r="C179" s="25"/>
      <c r="D179" s="25"/>
      <c r="E179" s="25"/>
      <c r="F179" s="25"/>
      <c r="G179" s="25"/>
      <c r="H179" s="25"/>
      <c r="I179" s="25"/>
      <c r="J179" s="25"/>
      <c r="K179" s="25"/>
      <c r="L179" s="25"/>
      <c r="M179" s="25"/>
      <c r="N179" s="25"/>
      <c r="O179" s="25"/>
      <c r="P179" s="25"/>
      <c r="Q179" s="25"/>
      <c r="R179" s="59">
        <f>(R95+R97+R98+R99+R100+R101+R102+R103+R104+R105)/-(R106+R107)</f>
        <v>3.0226112326768781</v>
      </c>
      <c r="S179" s="25" t="s">
        <v>130</v>
      </c>
      <c r="T179" s="5"/>
    </row>
    <row r="180" spans="1:20" ht="15.6" x14ac:dyDescent="0.3">
      <c r="A180" s="24"/>
      <c r="B180" s="25" t="s">
        <v>77</v>
      </c>
      <c r="C180" s="25"/>
      <c r="D180" s="25"/>
      <c r="E180" s="25"/>
      <c r="F180" s="25"/>
      <c r="G180" s="25"/>
      <c r="H180" s="25"/>
      <c r="I180" s="25"/>
      <c r="J180" s="25"/>
      <c r="K180" s="25"/>
      <c r="L180" s="25"/>
      <c r="M180" s="25"/>
      <c r="N180" s="25"/>
      <c r="O180" s="25"/>
      <c r="P180" s="25"/>
      <c r="Q180" s="25"/>
      <c r="R180" s="67">
        <v>2.27</v>
      </c>
      <c r="S180" s="25" t="s">
        <v>130</v>
      </c>
      <c r="T180" s="5"/>
    </row>
    <row r="181" spans="1:20" ht="15.6" x14ac:dyDescent="0.3">
      <c r="A181" s="24"/>
      <c r="B181" s="25"/>
      <c r="C181" s="25"/>
      <c r="D181" s="25"/>
      <c r="E181" s="25"/>
      <c r="F181" s="25"/>
      <c r="G181" s="25"/>
      <c r="H181" s="25"/>
      <c r="I181" s="25"/>
      <c r="J181" s="25"/>
      <c r="K181" s="25"/>
      <c r="L181" s="25"/>
      <c r="M181" s="25"/>
      <c r="N181" s="25"/>
      <c r="O181" s="25"/>
      <c r="P181" s="25"/>
      <c r="Q181" s="25"/>
      <c r="R181" s="25"/>
      <c r="S181" s="25"/>
      <c r="T181" s="5"/>
    </row>
    <row r="182" spans="1:20" ht="15.6" x14ac:dyDescent="0.3">
      <c r="A182" s="24"/>
      <c r="B182" s="25"/>
      <c r="C182" s="25"/>
      <c r="D182" s="25"/>
      <c r="E182" s="25"/>
      <c r="F182" s="25"/>
      <c r="G182" s="25"/>
      <c r="H182" s="25"/>
      <c r="I182" s="25"/>
      <c r="J182" s="25"/>
      <c r="K182" s="25"/>
      <c r="L182" s="25"/>
      <c r="M182" s="25"/>
      <c r="N182" s="25"/>
      <c r="O182" s="25"/>
      <c r="P182" s="25"/>
      <c r="Q182" s="25"/>
      <c r="R182" s="25"/>
      <c r="S182" s="25"/>
      <c r="T182" s="5"/>
    </row>
    <row r="183" spans="1:20" ht="15.6" x14ac:dyDescent="0.3">
      <c r="A183" s="6"/>
      <c r="B183" s="8"/>
      <c r="C183" s="8"/>
      <c r="D183" s="8"/>
      <c r="E183" s="8"/>
      <c r="F183" s="8"/>
      <c r="G183" s="8"/>
      <c r="H183" s="8"/>
      <c r="I183" s="8"/>
      <c r="J183" s="8"/>
      <c r="K183" s="8"/>
      <c r="L183" s="8"/>
      <c r="M183" s="8"/>
      <c r="N183" s="8"/>
      <c r="O183" s="8"/>
      <c r="P183" s="8"/>
      <c r="Q183" s="8"/>
      <c r="R183" s="8"/>
      <c r="S183" s="8"/>
      <c r="T183" s="5"/>
    </row>
    <row r="184" spans="1:20" ht="18" thickBot="1" x14ac:dyDescent="0.35">
      <c r="A184" s="102"/>
      <c r="B184" s="103" t="str">
        <f>B128</f>
        <v>PM8 INVESTOR REPORT QUARTER ENDING SEPTEMBER 2005</v>
      </c>
      <c r="C184" s="148"/>
      <c r="D184" s="148"/>
      <c r="E184" s="148"/>
      <c r="F184" s="148"/>
      <c r="G184" s="148"/>
      <c r="H184" s="148"/>
      <c r="I184" s="148"/>
      <c r="J184" s="148"/>
      <c r="K184" s="148"/>
      <c r="L184" s="148"/>
      <c r="M184" s="148"/>
      <c r="N184" s="148"/>
      <c r="O184" s="148"/>
      <c r="P184" s="148"/>
      <c r="Q184" s="148"/>
      <c r="R184" s="148"/>
      <c r="S184" s="149"/>
      <c r="T184" s="5"/>
    </row>
    <row r="185" spans="1:20" ht="15.6" x14ac:dyDescent="0.3">
      <c r="A185" s="68"/>
      <c r="B185" s="60" t="s">
        <v>78</v>
      </c>
      <c r="C185" s="69"/>
      <c r="D185" s="69"/>
      <c r="E185" s="69"/>
      <c r="F185" s="69"/>
      <c r="G185" s="70"/>
      <c r="H185" s="70"/>
      <c r="I185" s="70"/>
      <c r="J185" s="70"/>
      <c r="K185" s="70"/>
      <c r="L185" s="70"/>
      <c r="M185" s="70"/>
      <c r="N185" s="70"/>
      <c r="O185" s="70"/>
      <c r="P185" s="71">
        <v>38625</v>
      </c>
      <c r="Q185" s="4"/>
      <c r="R185" s="4"/>
      <c r="S185" s="4"/>
      <c r="T185" s="5"/>
    </row>
    <row r="186" spans="1:20" ht="15.6" x14ac:dyDescent="0.3">
      <c r="A186" s="72"/>
      <c r="B186" s="73"/>
      <c r="C186" s="74"/>
      <c r="D186" s="74"/>
      <c r="E186" s="74"/>
      <c r="F186" s="74"/>
      <c r="G186" s="75"/>
      <c r="H186" s="75"/>
      <c r="I186" s="75"/>
      <c r="J186" s="75"/>
      <c r="K186" s="75"/>
      <c r="L186" s="75"/>
      <c r="M186" s="75"/>
      <c r="N186" s="75"/>
      <c r="O186" s="75"/>
      <c r="P186" s="75"/>
      <c r="Q186" s="8"/>
      <c r="R186" s="8"/>
      <c r="S186" s="8"/>
      <c r="T186" s="5"/>
    </row>
    <row r="187" spans="1:20" ht="15.6" x14ac:dyDescent="0.3">
      <c r="A187" s="76"/>
      <c r="B187" s="77" t="s">
        <v>79</v>
      </c>
      <c r="C187" s="78"/>
      <c r="D187" s="78"/>
      <c r="E187" s="78"/>
      <c r="F187" s="78"/>
      <c r="G187" s="64"/>
      <c r="H187" s="64"/>
      <c r="I187" s="64"/>
      <c r="J187" s="64"/>
      <c r="K187" s="64"/>
      <c r="L187" s="64"/>
      <c r="M187" s="64"/>
      <c r="N187" s="64"/>
      <c r="O187" s="64"/>
      <c r="P187" s="79">
        <v>6.2039999999999998E-2</v>
      </c>
      <c r="Q187" s="25"/>
      <c r="R187" s="25"/>
      <c r="S187" s="25"/>
      <c r="T187" s="5"/>
    </row>
    <row r="188" spans="1:20" ht="15.6" x14ac:dyDescent="0.3">
      <c r="A188" s="76"/>
      <c r="B188" s="77" t="s">
        <v>178</v>
      </c>
      <c r="C188" s="78"/>
      <c r="D188" s="78"/>
      <c r="E188" s="78"/>
      <c r="F188" s="78"/>
      <c r="G188" s="64"/>
      <c r="H188" s="64"/>
      <c r="I188" s="64"/>
      <c r="J188" s="64"/>
      <c r="K188" s="64"/>
      <c r="L188" s="64"/>
      <c r="M188" s="64"/>
      <c r="N188" s="64"/>
      <c r="O188" s="64"/>
      <c r="P188" s="39">
        <v>5.1733455000000005E-2</v>
      </c>
      <c r="Q188" s="25"/>
      <c r="R188" s="25"/>
      <c r="S188" s="25"/>
      <c r="T188" s="5"/>
    </row>
    <row r="189" spans="1:20" ht="15.6" x14ac:dyDescent="0.3">
      <c r="A189" s="76"/>
      <c r="B189" s="77" t="s">
        <v>80</v>
      </c>
      <c r="C189" s="78"/>
      <c r="D189" s="78"/>
      <c r="E189" s="78"/>
      <c r="F189" s="78"/>
      <c r="G189" s="64"/>
      <c r="H189" s="64"/>
      <c r="I189" s="64"/>
      <c r="J189" s="64"/>
      <c r="K189" s="64"/>
      <c r="L189" s="64"/>
      <c r="M189" s="64"/>
      <c r="N189" s="64"/>
      <c r="O189" s="64"/>
      <c r="P189" s="79">
        <f>P187-P188</f>
        <v>1.0306544999999993E-2</v>
      </c>
      <c r="Q189" s="25"/>
      <c r="R189" s="25"/>
      <c r="S189" s="25"/>
      <c r="T189" s="5"/>
    </row>
    <row r="190" spans="1:20" ht="15.6" x14ac:dyDescent="0.3">
      <c r="A190" s="76"/>
      <c r="B190" s="77" t="s">
        <v>81</v>
      </c>
      <c r="C190" s="78"/>
      <c r="D190" s="78"/>
      <c r="E190" s="78"/>
      <c r="F190" s="78"/>
      <c r="G190" s="64"/>
      <c r="H190" s="64"/>
      <c r="I190" s="64"/>
      <c r="J190" s="64"/>
      <c r="K190" s="64"/>
      <c r="L190" s="64"/>
      <c r="M190" s="64"/>
      <c r="N190" s="64"/>
      <c r="O190" s="64"/>
      <c r="P190" s="79">
        <v>5.9979999999999999E-2</v>
      </c>
      <c r="Q190" s="25"/>
      <c r="R190" s="25"/>
      <c r="S190" s="25"/>
      <c r="T190" s="5"/>
    </row>
    <row r="191" spans="1:20" ht="15.6" x14ac:dyDescent="0.3">
      <c r="A191" s="76"/>
      <c r="B191" s="77" t="s">
        <v>261</v>
      </c>
      <c r="C191" s="78"/>
      <c r="D191" s="78"/>
      <c r="E191" s="78"/>
      <c r="F191" s="78"/>
      <c r="G191" s="64"/>
      <c r="H191" s="64"/>
      <c r="I191" s="64"/>
      <c r="J191" s="64"/>
      <c r="K191" s="64"/>
      <c r="L191" s="64"/>
      <c r="M191" s="64"/>
      <c r="N191" s="64"/>
      <c r="O191" s="64"/>
      <c r="P191" s="79">
        <f>+R42</f>
        <v>4.8986352660740529E-2</v>
      </c>
      <c r="Q191" s="25"/>
      <c r="R191" s="25"/>
      <c r="S191" s="25"/>
      <c r="T191" s="5"/>
    </row>
    <row r="192" spans="1:20" ht="15.6" x14ac:dyDescent="0.3">
      <c r="A192" s="76"/>
      <c r="B192" s="77" t="s">
        <v>82</v>
      </c>
      <c r="C192" s="78"/>
      <c r="D192" s="78"/>
      <c r="E192" s="78"/>
      <c r="F192" s="78"/>
      <c r="G192" s="64"/>
      <c r="H192" s="64"/>
      <c r="I192" s="64"/>
      <c r="J192" s="64"/>
      <c r="K192" s="64"/>
      <c r="L192" s="64"/>
      <c r="M192" s="64"/>
      <c r="N192" s="64"/>
      <c r="O192" s="64"/>
      <c r="P192" s="79">
        <f>P190-P191</f>
        <v>1.099364733925947E-2</v>
      </c>
      <c r="Q192" s="25"/>
      <c r="R192" s="25"/>
      <c r="S192" s="25"/>
      <c r="T192" s="5"/>
    </row>
    <row r="193" spans="1:20" ht="15.6" x14ac:dyDescent="0.3">
      <c r="A193" s="76"/>
      <c r="B193" s="77" t="s">
        <v>267</v>
      </c>
      <c r="C193" s="78"/>
      <c r="D193" s="78"/>
      <c r="E193" s="78"/>
      <c r="F193" s="78"/>
      <c r="G193" s="64"/>
      <c r="H193" s="64"/>
      <c r="I193" s="64"/>
      <c r="J193" s="64"/>
      <c r="K193" s="64"/>
      <c r="L193" s="64"/>
      <c r="M193" s="64"/>
      <c r="N193" s="64"/>
      <c r="O193" s="64"/>
      <c r="P193" s="79">
        <f>(+R95+R97)/J70</f>
        <v>1.6220507325407502E-2</v>
      </c>
      <c r="Q193" s="25"/>
      <c r="R193" s="25"/>
      <c r="S193" s="25"/>
      <c r="T193" s="5"/>
    </row>
    <row r="194" spans="1:20" ht="15.6" x14ac:dyDescent="0.3">
      <c r="A194" s="76"/>
      <c r="B194" s="77" t="s">
        <v>208</v>
      </c>
      <c r="C194" s="78"/>
      <c r="D194" s="78"/>
      <c r="E194" s="78"/>
      <c r="F194" s="78"/>
      <c r="G194" s="64"/>
      <c r="H194" s="64"/>
      <c r="I194" s="64"/>
      <c r="J194" s="64"/>
      <c r="K194" s="64"/>
      <c r="L194" s="64"/>
      <c r="M194" s="64"/>
      <c r="N194" s="64"/>
      <c r="O194" s="64"/>
      <c r="P194" s="132">
        <v>12875</v>
      </c>
      <c r="Q194" s="25"/>
      <c r="R194" s="25"/>
      <c r="S194" s="25"/>
      <c r="T194" s="5"/>
    </row>
    <row r="195" spans="1:20" ht="15.6" x14ac:dyDescent="0.3">
      <c r="A195" s="76"/>
      <c r="B195" s="77" t="s">
        <v>209</v>
      </c>
      <c r="C195" s="78"/>
      <c r="D195" s="78"/>
      <c r="E195" s="78"/>
      <c r="F195" s="78"/>
      <c r="G195" s="64"/>
      <c r="H195" s="64"/>
      <c r="I195" s="64"/>
      <c r="J195" s="64"/>
      <c r="K195" s="64"/>
      <c r="L195" s="64"/>
      <c r="M195" s="64"/>
      <c r="N195" s="64"/>
      <c r="O195" s="64"/>
      <c r="P195" s="132">
        <v>16163</v>
      </c>
      <c r="Q195" s="25"/>
      <c r="R195" s="25"/>
      <c r="S195" s="25"/>
      <c r="T195" s="5"/>
    </row>
    <row r="196" spans="1:20" ht="15.6" x14ac:dyDescent="0.3">
      <c r="A196" s="76"/>
      <c r="B196" s="77" t="s">
        <v>83</v>
      </c>
      <c r="C196" s="78"/>
      <c r="D196" s="78"/>
      <c r="E196" s="78"/>
      <c r="F196" s="78"/>
      <c r="G196" s="64"/>
      <c r="H196" s="64"/>
      <c r="I196" s="64"/>
      <c r="J196" s="64"/>
      <c r="K196" s="64"/>
      <c r="L196" s="64"/>
      <c r="M196" s="64"/>
      <c r="N196" s="64"/>
      <c r="O196" s="64"/>
      <c r="P196" s="136">
        <v>19.739999999999998</v>
      </c>
      <c r="Q196" s="25" t="s">
        <v>125</v>
      </c>
      <c r="R196" s="25"/>
      <c r="S196" s="25"/>
      <c r="T196" s="5"/>
    </row>
    <row r="197" spans="1:20" ht="15.6" x14ac:dyDescent="0.3">
      <c r="A197" s="76"/>
      <c r="B197" s="77" t="s">
        <v>84</v>
      </c>
      <c r="C197" s="78"/>
      <c r="D197" s="78"/>
      <c r="E197" s="78"/>
      <c r="F197" s="78"/>
      <c r="G197" s="64"/>
      <c r="H197" s="64"/>
      <c r="I197" s="64"/>
      <c r="J197" s="64"/>
      <c r="K197" s="64"/>
      <c r="L197" s="64"/>
      <c r="M197" s="64"/>
      <c r="N197" s="64"/>
      <c r="O197" s="64"/>
      <c r="P197" s="136">
        <v>19.95</v>
      </c>
      <c r="Q197" s="25" t="s">
        <v>125</v>
      </c>
      <c r="R197" s="25"/>
      <c r="S197" s="25"/>
      <c r="T197" s="5"/>
    </row>
    <row r="198" spans="1:20" ht="15.6" x14ac:dyDescent="0.3">
      <c r="A198" s="76"/>
      <c r="B198" s="77" t="s">
        <v>85</v>
      </c>
      <c r="C198" s="78"/>
      <c r="D198" s="78"/>
      <c r="E198" s="78"/>
      <c r="F198" s="78"/>
      <c r="G198" s="64"/>
      <c r="H198" s="64"/>
      <c r="I198" s="64"/>
      <c r="J198" s="64"/>
      <c r="K198" s="64"/>
      <c r="L198" s="64"/>
      <c r="M198" s="64"/>
      <c r="N198" s="64"/>
      <c r="O198" s="64"/>
      <c r="P198" s="79">
        <f>+L67/J67</f>
        <v>3.6507800236778708E-2</v>
      </c>
      <c r="Q198" s="25"/>
      <c r="R198" s="25"/>
      <c r="S198" s="25"/>
      <c r="T198" s="5"/>
    </row>
    <row r="199" spans="1:20" ht="15.6" x14ac:dyDescent="0.3">
      <c r="A199" s="76"/>
      <c r="B199" s="77" t="s">
        <v>86</v>
      </c>
      <c r="C199" s="78"/>
      <c r="D199" s="78"/>
      <c r="E199" s="78"/>
      <c r="F199" s="78"/>
      <c r="G199" s="64"/>
      <c r="H199" s="64"/>
      <c r="I199" s="64"/>
      <c r="J199" s="64"/>
      <c r="K199" s="64"/>
      <c r="L199" s="64"/>
      <c r="M199" s="64"/>
      <c r="N199" s="64"/>
      <c r="O199" s="64"/>
      <c r="P199" s="79">
        <v>0.1283</v>
      </c>
      <c r="Q199" s="25"/>
      <c r="R199" s="25"/>
      <c r="S199" s="25"/>
      <c r="T199" s="5"/>
    </row>
    <row r="200" spans="1:20" ht="15.6" x14ac:dyDescent="0.3">
      <c r="A200" s="76"/>
      <c r="B200" s="77"/>
      <c r="C200" s="77"/>
      <c r="D200" s="77"/>
      <c r="E200" s="77"/>
      <c r="F200" s="77"/>
      <c r="G200" s="25"/>
      <c r="H200" s="25"/>
      <c r="I200" s="25"/>
      <c r="J200" s="25"/>
      <c r="K200" s="25"/>
      <c r="L200" s="25"/>
      <c r="M200" s="25"/>
      <c r="N200" s="25"/>
      <c r="O200" s="25"/>
      <c r="P200" s="61"/>
      <c r="Q200" s="25"/>
      <c r="R200" s="80"/>
      <c r="S200" s="25"/>
      <c r="T200" s="5"/>
    </row>
    <row r="201" spans="1:20" ht="15.6" x14ac:dyDescent="0.3">
      <c r="A201" s="81"/>
      <c r="B201" s="14" t="s">
        <v>87</v>
      </c>
      <c r="C201" s="82"/>
      <c r="D201" s="82"/>
      <c r="E201" s="82"/>
      <c r="F201" s="83"/>
      <c r="G201" s="82"/>
      <c r="H201" s="17"/>
      <c r="I201" s="17"/>
      <c r="J201" s="17"/>
      <c r="K201" s="17"/>
      <c r="L201" s="17"/>
      <c r="M201" s="17"/>
      <c r="N201" s="17"/>
      <c r="O201" s="17" t="s">
        <v>113</v>
      </c>
      <c r="P201" s="84" t="s">
        <v>121</v>
      </c>
      <c r="Q201" s="8"/>
      <c r="R201" s="8"/>
      <c r="S201" s="8"/>
      <c r="T201" s="5"/>
    </row>
    <row r="202" spans="1:20" ht="15.6" x14ac:dyDescent="0.3">
      <c r="A202" s="85"/>
      <c r="B202" s="77" t="s">
        <v>88</v>
      </c>
      <c r="C202" s="54"/>
      <c r="D202" s="54"/>
      <c r="E202" s="54"/>
      <c r="F202" s="25"/>
      <c r="G202" s="25"/>
      <c r="H202" s="30"/>
      <c r="I202" s="30"/>
      <c r="J202" s="30"/>
      <c r="K202" s="30"/>
      <c r="L202" s="30"/>
      <c r="M202" s="30"/>
      <c r="N202" s="30"/>
      <c r="O202" s="30">
        <v>19</v>
      </c>
      <c r="P202" s="86">
        <v>851</v>
      </c>
      <c r="Q202" s="25"/>
      <c r="R202" s="80"/>
      <c r="S202" s="87"/>
      <c r="T202" s="5"/>
    </row>
    <row r="203" spans="1:20" ht="15.6" x14ac:dyDescent="0.3">
      <c r="A203" s="85"/>
      <c r="B203" s="77" t="s">
        <v>169</v>
      </c>
      <c r="C203" s="54"/>
      <c r="D203" s="54"/>
      <c r="E203" s="54"/>
      <c r="F203" s="25"/>
      <c r="G203" s="25"/>
      <c r="H203" s="30"/>
      <c r="I203" s="30"/>
      <c r="J203" s="30"/>
      <c r="K203" s="30"/>
      <c r="L203" s="30"/>
      <c r="M203" s="30"/>
      <c r="N203" s="30"/>
      <c r="O203" s="163">
        <f>+N240</f>
        <v>17</v>
      </c>
      <c r="P203" s="86">
        <f>+P240</f>
        <v>3153</v>
      </c>
      <c r="Q203" s="25"/>
      <c r="R203" s="80"/>
      <c r="S203" s="87"/>
      <c r="T203" s="5"/>
    </row>
    <row r="204" spans="1:20" ht="15.6" x14ac:dyDescent="0.3">
      <c r="A204" s="85"/>
      <c r="B204" s="77" t="s">
        <v>89</v>
      </c>
      <c r="C204" s="54"/>
      <c r="D204" s="54"/>
      <c r="E204" s="54"/>
      <c r="F204" s="25"/>
      <c r="G204" s="25"/>
      <c r="H204" s="30"/>
      <c r="I204" s="30"/>
      <c r="J204" s="30"/>
      <c r="K204" s="30"/>
      <c r="L204" s="30"/>
      <c r="M204" s="30"/>
      <c r="N204" s="30"/>
      <c r="O204" s="163">
        <f>+N252</f>
        <v>3</v>
      </c>
      <c r="P204" s="86">
        <f>+P252</f>
        <v>135</v>
      </c>
      <c r="Q204" s="25"/>
      <c r="R204" s="80"/>
      <c r="S204" s="87"/>
      <c r="T204" s="5"/>
    </row>
    <row r="205" spans="1:20" ht="15.6" x14ac:dyDescent="0.3">
      <c r="A205" s="85"/>
      <c r="B205" s="123" t="s">
        <v>90</v>
      </c>
      <c r="C205" s="54"/>
      <c r="D205" s="54"/>
      <c r="E205" s="54"/>
      <c r="F205" s="25"/>
      <c r="G205" s="25"/>
      <c r="H205" s="25"/>
      <c r="I205" s="25"/>
      <c r="J205" s="25"/>
      <c r="K205" s="25"/>
      <c r="L205" s="25"/>
      <c r="M205" s="25"/>
      <c r="N205" s="25"/>
      <c r="O205" s="25"/>
      <c r="P205" s="86">
        <v>0</v>
      </c>
      <c r="Q205" s="25"/>
      <c r="R205" s="80"/>
      <c r="S205" s="87"/>
      <c r="T205" s="5"/>
    </row>
    <row r="206" spans="1:20" ht="15.6" x14ac:dyDescent="0.3">
      <c r="A206" s="85"/>
      <c r="B206" s="123" t="s">
        <v>91</v>
      </c>
      <c r="C206" s="54"/>
      <c r="D206" s="54"/>
      <c r="E206" s="54"/>
      <c r="F206" s="25"/>
      <c r="G206" s="25"/>
      <c r="H206" s="25"/>
      <c r="I206" s="25"/>
      <c r="J206" s="25"/>
      <c r="K206" s="25"/>
      <c r="L206" s="25"/>
      <c r="M206" s="25"/>
      <c r="N206" s="25"/>
      <c r="O206" s="25"/>
      <c r="P206" s="62" t="s">
        <v>122</v>
      </c>
      <c r="Q206" s="25"/>
      <c r="R206" s="80"/>
      <c r="S206" s="87"/>
      <c r="T206" s="5"/>
    </row>
    <row r="207" spans="1:20" ht="15.6" x14ac:dyDescent="0.3">
      <c r="A207" s="88"/>
      <c r="B207" s="123" t="s">
        <v>92</v>
      </c>
      <c r="C207" s="77"/>
      <c r="D207" s="77"/>
      <c r="E207" s="77"/>
      <c r="F207" s="77"/>
      <c r="G207" s="25"/>
      <c r="H207" s="25"/>
      <c r="I207" s="25"/>
      <c r="J207" s="25"/>
      <c r="K207" s="25"/>
      <c r="L207" s="25"/>
      <c r="M207" s="25"/>
      <c r="N207" s="25"/>
      <c r="O207" s="25"/>
      <c r="P207" s="86"/>
      <c r="Q207" s="25"/>
      <c r="R207" s="80"/>
      <c r="S207" s="89"/>
      <c r="T207" s="5"/>
    </row>
    <row r="208" spans="1:20" ht="15.6" x14ac:dyDescent="0.3">
      <c r="A208" s="88"/>
      <c r="B208" s="134" t="s">
        <v>93</v>
      </c>
      <c r="C208" s="77"/>
      <c r="D208" s="77"/>
      <c r="E208" s="77"/>
      <c r="F208" s="77"/>
      <c r="G208" s="25"/>
      <c r="H208" s="25"/>
      <c r="I208" s="25"/>
      <c r="J208" s="25"/>
      <c r="K208" s="25"/>
      <c r="L208" s="25"/>
      <c r="M208" s="25"/>
      <c r="N208" s="25"/>
      <c r="O208" s="25">
        <v>0</v>
      </c>
      <c r="P208" s="86">
        <f>R156</f>
        <v>0</v>
      </c>
      <c r="Q208" s="25"/>
      <c r="R208" s="80"/>
      <c r="S208" s="89"/>
      <c r="T208" s="5"/>
    </row>
    <row r="209" spans="1:21" ht="15.6" x14ac:dyDescent="0.3">
      <c r="A209" s="85"/>
      <c r="B209" s="77" t="s">
        <v>94</v>
      </c>
      <c r="C209" s="54"/>
      <c r="D209" s="54"/>
      <c r="E209" s="54"/>
      <c r="F209" s="54"/>
      <c r="G209" s="25"/>
      <c r="H209" s="25"/>
      <c r="I209" s="25"/>
      <c r="J209" s="25"/>
      <c r="K209" s="25"/>
      <c r="L209" s="25"/>
      <c r="M209" s="25"/>
      <c r="N209" s="25"/>
      <c r="O209" s="25">
        <v>0</v>
      </c>
      <c r="P209" s="86">
        <f>+'June 05'!P209+P208</f>
        <v>0</v>
      </c>
      <c r="Q209" s="25"/>
      <c r="R209" s="80"/>
      <c r="S209" s="89"/>
      <c r="T209" s="5"/>
    </row>
    <row r="210" spans="1:21" ht="15.6" x14ac:dyDescent="0.3">
      <c r="A210" s="85"/>
      <c r="B210" s="77" t="s">
        <v>95</v>
      </c>
      <c r="C210" s="54"/>
      <c r="D210" s="54"/>
      <c r="E210" s="54"/>
      <c r="F210" s="54"/>
      <c r="G210" s="25"/>
      <c r="H210" s="25"/>
      <c r="I210" s="25"/>
      <c r="J210" s="25"/>
      <c r="K210" s="25"/>
      <c r="L210" s="25"/>
      <c r="M210" s="25"/>
      <c r="N210" s="25"/>
      <c r="O210" s="25"/>
      <c r="P210" s="86">
        <v>0</v>
      </c>
      <c r="Q210" s="25"/>
      <c r="R210" s="80"/>
      <c r="S210" s="89"/>
      <c r="T210" s="5"/>
    </row>
    <row r="211" spans="1:21" ht="15.6" x14ac:dyDescent="0.3">
      <c r="A211" s="88"/>
      <c r="B211" s="123" t="s">
        <v>96</v>
      </c>
      <c r="C211" s="77"/>
      <c r="D211" s="77"/>
      <c r="E211" s="77"/>
      <c r="F211" s="77"/>
      <c r="G211" s="25"/>
      <c r="H211" s="25"/>
      <c r="I211" s="25"/>
      <c r="J211" s="25"/>
      <c r="K211" s="25"/>
      <c r="L211" s="25"/>
      <c r="M211" s="25"/>
      <c r="N211" s="25"/>
      <c r="O211" s="25"/>
      <c r="P211" s="86"/>
      <c r="Q211" s="25"/>
      <c r="R211" s="80"/>
      <c r="S211" s="89"/>
      <c r="T211" s="5"/>
    </row>
    <row r="212" spans="1:21" ht="15.6" x14ac:dyDescent="0.3">
      <c r="A212" s="88"/>
      <c r="B212" s="77" t="s">
        <v>283</v>
      </c>
      <c r="C212" s="77"/>
      <c r="D212" s="77"/>
      <c r="E212" s="77"/>
      <c r="F212" s="77"/>
      <c r="G212" s="25"/>
      <c r="H212" s="25"/>
      <c r="I212" s="25"/>
      <c r="J212" s="25"/>
      <c r="K212" s="25"/>
      <c r="L212" s="25"/>
      <c r="M212" s="25"/>
      <c r="N212" s="25"/>
      <c r="O212" s="25">
        <v>0</v>
      </c>
      <c r="P212" s="86">
        <v>0</v>
      </c>
      <c r="Q212" s="25"/>
      <c r="R212" s="80"/>
      <c r="S212" s="89"/>
      <c r="T212" s="5"/>
    </row>
    <row r="213" spans="1:21" ht="15.6" x14ac:dyDescent="0.3">
      <c r="A213" s="85"/>
      <c r="B213" s="77" t="s">
        <v>97</v>
      </c>
      <c r="C213" s="90"/>
      <c r="D213" s="90"/>
      <c r="E213" s="90"/>
      <c r="F213" s="91"/>
      <c r="G213" s="25"/>
      <c r="H213" s="25"/>
      <c r="I213" s="25"/>
      <c r="J213" s="25"/>
      <c r="K213" s="25"/>
      <c r="L213" s="25"/>
      <c r="M213" s="25"/>
      <c r="N213" s="25"/>
      <c r="O213" s="25"/>
      <c r="P213" s="62">
        <v>0</v>
      </c>
      <c r="Q213" s="25"/>
      <c r="R213" s="80"/>
      <c r="S213" s="89"/>
      <c r="T213" s="5"/>
    </row>
    <row r="214" spans="1:21" ht="15.6" x14ac:dyDescent="0.3">
      <c r="A214" s="85"/>
      <c r="B214" s="77" t="s">
        <v>98</v>
      </c>
      <c r="C214" s="90"/>
      <c r="D214" s="90"/>
      <c r="E214" s="90"/>
      <c r="F214" s="91"/>
      <c r="G214" s="25"/>
      <c r="H214" s="25"/>
      <c r="I214" s="25"/>
      <c r="J214" s="25"/>
      <c r="K214" s="25"/>
      <c r="L214" s="25"/>
      <c r="M214" s="25"/>
      <c r="N214" s="25"/>
      <c r="O214" s="25"/>
      <c r="P214" s="62">
        <v>0</v>
      </c>
      <c r="Q214" s="25"/>
      <c r="R214" s="80"/>
      <c r="S214" s="89"/>
      <c r="T214" s="5"/>
    </row>
    <row r="215" spans="1:21" ht="15.6" x14ac:dyDescent="0.3">
      <c r="A215" s="85"/>
      <c r="B215" s="77"/>
      <c r="C215" s="90"/>
      <c r="D215" s="90"/>
      <c r="E215" s="90"/>
      <c r="F215" s="91"/>
      <c r="G215" s="25"/>
      <c r="H215" s="25"/>
      <c r="I215" s="25"/>
      <c r="J215" s="25"/>
      <c r="K215" s="25"/>
      <c r="L215" s="25"/>
      <c r="M215" s="25"/>
      <c r="N215" s="25"/>
      <c r="O215" s="25"/>
      <c r="P215" s="92"/>
      <c r="Q215" s="25"/>
      <c r="R215" s="80"/>
      <c r="S215" s="89"/>
      <c r="T215" s="5"/>
    </row>
    <row r="216" spans="1:21" ht="17.399999999999999" x14ac:dyDescent="0.3">
      <c r="A216" s="85"/>
      <c r="B216" s="166" t="s">
        <v>247</v>
      </c>
      <c r="C216" s="90"/>
      <c r="D216" s="90"/>
      <c r="E216" s="90"/>
      <c r="F216" s="91"/>
      <c r="G216" s="25"/>
      <c r="H216" s="25"/>
      <c r="I216" s="25"/>
      <c r="J216" s="168" t="s">
        <v>246</v>
      </c>
      <c r="K216" s="25"/>
      <c r="L216" s="25"/>
      <c r="M216" s="25"/>
      <c r="N216" s="25"/>
      <c r="O216" s="25"/>
      <c r="P216" s="92"/>
      <c r="Q216" s="25"/>
      <c r="R216" s="80"/>
      <c r="S216" s="89"/>
      <c r="T216" s="5"/>
    </row>
    <row r="217" spans="1:21" ht="15.6" x14ac:dyDescent="0.3">
      <c r="A217" s="85"/>
      <c r="B217" s="77"/>
      <c r="C217" s="90"/>
      <c r="D217" s="90"/>
      <c r="E217" s="90"/>
      <c r="F217" s="91"/>
      <c r="G217" s="25"/>
      <c r="H217" s="25"/>
      <c r="I217" s="25"/>
      <c r="J217" s="25"/>
      <c r="K217" s="25"/>
      <c r="L217" s="25"/>
      <c r="M217" s="25"/>
      <c r="N217" s="25"/>
      <c r="O217" s="25"/>
      <c r="P217" s="92"/>
      <c r="Q217" s="25"/>
      <c r="R217" s="80"/>
      <c r="S217" s="89"/>
      <c r="T217" s="5"/>
    </row>
    <row r="218" spans="1:21" ht="15.6" x14ac:dyDescent="0.3">
      <c r="A218" s="6"/>
      <c r="B218" s="14" t="s">
        <v>236</v>
      </c>
      <c r="C218" s="82"/>
      <c r="D218" s="82"/>
      <c r="E218" s="82"/>
      <c r="F218" s="83"/>
      <c r="G218" s="82"/>
      <c r="H218" s="17"/>
      <c r="I218" s="17"/>
      <c r="J218" s="17"/>
      <c r="K218" s="17"/>
      <c r="L218" s="17"/>
      <c r="M218" s="17"/>
      <c r="N218" s="84" t="s">
        <v>113</v>
      </c>
      <c r="O218" s="17" t="s">
        <v>114</v>
      </c>
      <c r="P218" s="84" t="s">
        <v>123</v>
      </c>
      <c r="Q218" s="17" t="s">
        <v>114</v>
      </c>
      <c r="R218" s="8"/>
      <c r="S218" s="93"/>
      <c r="T218" s="5"/>
    </row>
    <row r="219" spans="1:21" ht="15.6" x14ac:dyDescent="0.3">
      <c r="A219" s="24"/>
      <c r="B219" s="54" t="s">
        <v>99</v>
      </c>
      <c r="C219" s="94"/>
      <c r="D219" s="94"/>
      <c r="E219" s="94"/>
      <c r="F219" s="25"/>
      <c r="G219" s="94"/>
      <c r="H219" s="94"/>
      <c r="I219" s="94"/>
      <c r="J219" s="94"/>
      <c r="K219" s="94"/>
      <c r="L219" s="94"/>
      <c r="M219" s="94"/>
      <c r="N219" s="54">
        <v>8825</v>
      </c>
      <c r="O219" s="95">
        <f t="shared" ref="O219:O226" si="1">N219/$N$228</f>
        <v>0.98592336051837781</v>
      </c>
      <c r="P219" s="53">
        <v>905774</v>
      </c>
      <c r="Q219" s="135">
        <f t="shared" ref="Q219:Q226" si="2">P219/$P$228</f>
        <v>0.990051110751621</v>
      </c>
      <c r="R219" s="80"/>
      <c r="S219" s="89"/>
      <c r="T219" s="5"/>
    </row>
    <row r="220" spans="1:21" ht="15.6" x14ac:dyDescent="0.3">
      <c r="A220" s="24"/>
      <c r="B220" s="54" t="s">
        <v>100</v>
      </c>
      <c r="C220" s="94"/>
      <c r="D220" s="94"/>
      <c r="E220" s="94"/>
      <c r="F220" s="25"/>
      <c r="G220" s="95"/>
      <c r="H220" s="94"/>
      <c r="I220" s="94"/>
      <c r="J220" s="94"/>
      <c r="K220" s="94"/>
      <c r="L220" s="94"/>
      <c r="M220" s="94"/>
      <c r="N220" s="54">
        <v>92</v>
      </c>
      <c r="O220" s="95">
        <f t="shared" si="1"/>
        <v>1.0278181208803486E-2</v>
      </c>
      <c r="P220" s="53">
        <v>6591</v>
      </c>
      <c r="Q220" s="135">
        <f t="shared" si="2"/>
        <v>7.2042550028637757E-3</v>
      </c>
      <c r="R220" s="80"/>
      <c r="S220" s="89"/>
      <c r="T220" s="5"/>
      <c r="U220" s="110"/>
    </row>
    <row r="221" spans="1:21" ht="15.6" x14ac:dyDescent="0.3">
      <c r="A221" s="24"/>
      <c r="B221" s="54" t="s">
        <v>101</v>
      </c>
      <c r="C221" s="94"/>
      <c r="D221" s="94"/>
      <c r="E221" s="94"/>
      <c r="F221" s="25"/>
      <c r="G221" s="95"/>
      <c r="H221" s="94"/>
      <c r="I221" s="94"/>
      <c r="J221" s="94"/>
      <c r="K221" s="94"/>
      <c r="L221" s="94"/>
      <c r="M221" s="94"/>
      <c r="N221" s="54">
        <v>13</v>
      </c>
      <c r="O221" s="95">
        <f t="shared" si="1"/>
        <v>1.4523516925483186E-3</v>
      </c>
      <c r="P221" s="53">
        <v>1380</v>
      </c>
      <c r="Q221" s="135">
        <f t="shared" si="2"/>
        <v>1.5084011385149462E-3</v>
      </c>
      <c r="R221" s="80"/>
      <c r="S221" s="89"/>
      <c r="T221" s="5"/>
    </row>
    <row r="222" spans="1:21" ht="15.6" x14ac:dyDescent="0.3">
      <c r="A222" s="24"/>
      <c r="B222" s="54" t="s">
        <v>210</v>
      </c>
      <c r="C222" s="94"/>
      <c r="D222" s="94"/>
      <c r="E222" s="94"/>
      <c r="F222" s="25"/>
      <c r="G222" s="95"/>
      <c r="H222" s="94"/>
      <c r="I222" s="94"/>
      <c r="J222" s="94"/>
      <c r="K222" s="94"/>
      <c r="L222" s="94"/>
      <c r="M222" s="94"/>
      <c r="N222" s="54">
        <v>4</v>
      </c>
      <c r="O222" s="95">
        <f t="shared" si="1"/>
        <v>4.4687744386102111E-4</v>
      </c>
      <c r="P222" s="53">
        <v>221</v>
      </c>
      <c r="Q222" s="135">
        <f t="shared" si="2"/>
        <v>2.4156279102304575E-4</v>
      </c>
      <c r="R222" s="80"/>
      <c r="S222" s="89"/>
      <c r="T222" s="5"/>
      <c r="U222" s="110"/>
    </row>
    <row r="223" spans="1:21" ht="15.6" x14ac:dyDescent="0.3">
      <c r="A223" s="24"/>
      <c r="B223" s="54" t="s">
        <v>211</v>
      </c>
      <c r="C223" s="94"/>
      <c r="D223" s="94"/>
      <c r="E223" s="94"/>
      <c r="F223" s="25"/>
      <c r="G223" s="95"/>
      <c r="H223" s="94"/>
      <c r="I223" s="94"/>
      <c r="J223" s="94"/>
      <c r="K223" s="94"/>
      <c r="L223" s="94"/>
      <c r="M223" s="94"/>
      <c r="N223" s="54">
        <v>3</v>
      </c>
      <c r="O223" s="95">
        <f t="shared" si="1"/>
        <v>3.3515808289576583E-4</v>
      </c>
      <c r="P223" s="53">
        <v>294</v>
      </c>
      <c r="Q223" s="135">
        <f t="shared" si="2"/>
        <v>3.2135502516187985E-4</v>
      </c>
      <c r="R223" s="80"/>
      <c r="S223" s="89"/>
      <c r="T223" s="5"/>
    </row>
    <row r="224" spans="1:21" ht="15.6" x14ac:dyDescent="0.3">
      <c r="A224" s="24"/>
      <c r="B224" s="54" t="s">
        <v>212</v>
      </c>
      <c r="C224" s="94"/>
      <c r="D224" s="94"/>
      <c r="E224" s="94"/>
      <c r="F224" s="25"/>
      <c r="G224" s="95"/>
      <c r="H224" s="94"/>
      <c r="I224" s="94"/>
      <c r="J224" s="94"/>
      <c r="K224" s="94"/>
      <c r="L224" s="94"/>
      <c r="M224" s="94"/>
      <c r="N224" s="54">
        <v>3</v>
      </c>
      <c r="O224" s="95">
        <f t="shared" si="1"/>
        <v>3.3515808289576583E-4</v>
      </c>
      <c r="P224" s="53">
        <v>99</v>
      </c>
      <c r="Q224" s="135">
        <f t="shared" si="2"/>
        <v>1.0821138602389832E-4</v>
      </c>
      <c r="R224" s="80"/>
      <c r="S224" s="89"/>
      <c r="T224" s="5"/>
      <c r="U224" s="110"/>
    </row>
    <row r="225" spans="1:21" ht="15.6" x14ac:dyDescent="0.3">
      <c r="A225" s="24"/>
      <c r="B225" s="54" t="s">
        <v>213</v>
      </c>
      <c r="C225" s="94"/>
      <c r="D225" s="94"/>
      <c r="E225" s="94"/>
      <c r="F225" s="25"/>
      <c r="G225" s="95"/>
      <c r="H225" s="94"/>
      <c r="I225" s="94"/>
      <c r="J225" s="94"/>
      <c r="K225" s="94"/>
      <c r="L225" s="94"/>
      <c r="M225" s="94"/>
      <c r="N225" s="54">
        <v>8</v>
      </c>
      <c r="O225" s="95">
        <f t="shared" si="1"/>
        <v>8.9375488772204222E-4</v>
      </c>
      <c r="P225" s="53">
        <v>382</v>
      </c>
      <c r="Q225" s="135">
        <f t="shared" si="2"/>
        <v>4.175429238497895E-4</v>
      </c>
      <c r="R225" s="80"/>
      <c r="S225" s="89"/>
      <c r="T225" s="5"/>
    </row>
    <row r="226" spans="1:21" ht="15.6" x14ac:dyDescent="0.3">
      <c r="A226" s="24"/>
      <c r="B226" s="54" t="s">
        <v>214</v>
      </c>
      <c r="C226" s="94"/>
      <c r="D226" s="94"/>
      <c r="E226" s="94"/>
      <c r="F226" s="25"/>
      <c r="G226" s="95"/>
      <c r="H226" s="94"/>
      <c r="I226" s="94"/>
      <c r="J226" s="94"/>
      <c r="K226" s="94"/>
      <c r="L226" s="94"/>
      <c r="M226" s="94"/>
      <c r="N226" s="54">
        <v>3</v>
      </c>
      <c r="O226" s="95">
        <f t="shared" si="1"/>
        <v>3.3515808289576583E-4</v>
      </c>
      <c r="P226" s="53">
        <v>135</v>
      </c>
      <c r="Q226" s="135">
        <f t="shared" si="2"/>
        <v>1.4756098094167953E-4</v>
      </c>
      <c r="R226" s="80"/>
      <c r="S226" s="89"/>
      <c r="T226" s="5"/>
      <c r="U226" s="110"/>
    </row>
    <row r="227" spans="1:21" ht="15.6" x14ac:dyDescent="0.3">
      <c r="A227" s="24"/>
      <c r="B227" s="25"/>
      <c r="C227" s="94"/>
      <c r="D227" s="94"/>
      <c r="E227" s="94"/>
      <c r="F227" s="25"/>
      <c r="G227" s="95"/>
      <c r="H227" s="94"/>
      <c r="I227" s="94"/>
      <c r="J227" s="94"/>
      <c r="K227" s="94"/>
      <c r="L227" s="94"/>
      <c r="M227" s="94"/>
      <c r="N227" s="54"/>
      <c r="O227" s="95"/>
      <c r="P227" s="53"/>
      <c r="Q227" s="135"/>
      <c r="R227" s="80"/>
      <c r="S227" s="89"/>
      <c r="T227" s="5"/>
    </row>
    <row r="228" spans="1:21" ht="15.6" x14ac:dyDescent="0.3">
      <c r="A228" s="24"/>
      <c r="B228" s="25" t="s">
        <v>129</v>
      </c>
      <c r="C228" s="25"/>
      <c r="D228" s="25"/>
      <c r="E228" s="25"/>
      <c r="F228" s="25"/>
      <c r="G228" s="25"/>
      <c r="H228" s="96"/>
      <c r="I228" s="96"/>
      <c r="J228" s="96"/>
      <c r="K228" s="96"/>
      <c r="L228" s="96"/>
      <c r="M228" s="96"/>
      <c r="N228" s="34">
        <f>SUM(N219:N227)</f>
        <v>8951</v>
      </c>
      <c r="O228" s="135">
        <f>SUM(O219:O227)</f>
        <v>1</v>
      </c>
      <c r="P228" s="53">
        <f>SUM(P219:P227)</f>
        <v>914876</v>
      </c>
      <c r="Q228" s="135">
        <f>SUM(Q219:Q227)</f>
        <v>1</v>
      </c>
      <c r="R228" s="25"/>
      <c r="S228" s="25"/>
      <c r="T228" s="5"/>
    </row>
    <row r="229" spans="1:21" ht="15.6" x14ac:dyDescent="0.3">
      <c r="A229" s="24"/>
      <c r="B229" s="25"/>
      <c r="C229" s="25"/>
      <c r="D229" s="25"/>
      <c r="E229" s="25"/>
      <c r="F229" s="25"/>
      <c r="G229" s="25"/>
      <c r="H229" s="96"/>
      <c r="I229" s="96"/>
      <c r="J229" s="96"/>
      <c r="K229" s="96"/>
      <c r="L229" s="96"/>
      <c r="M229" s="96"/>
      <c r="N229" s="34"/>
      <c r="O229" s="135"/>
      <c r="P229" s="53"/>
      <c r="Q229" s="135"/>
      <c r="R229" s="25"/>
      <c r="S229" s="25"/>
      <c r="T229" s="5"/>
    </row>
    <row r="230" spans="1:21" ht="15.6" x14ac:dyDescent="0.3">
      <c r="A230" s="144"/>
      <c r="B230" s="14" t="s">
        <v>241</v>
      </c>
      <c r="C230" s="82"/>
      <c r="D230" s="82"/>
      <c r="E230" s="82"/>
      <c r="F230" s="83"/>
      <c r="G230" s="82"/>
      <c r="H230" s="17"/>
      <c r="I230" s="17"/>
      <c r="J230" s="17"/>
      <c r="K230" s="17"/>
      <c r="L230" s="17"/>
      <c r="M230" s="17"/>
      <c r="N230" s="84" t="s">
        <v>113</v>
      </c>
      <c r="O230" s="17" t="s">
        <v>114</v>
      </c>
      <c r="P230" s="84" t="s">
        <v>123</v>
      </c>
      <c r="Q230" s="17" t="s">
        <v>114</v>
      </c>
      <c r="R230" s="142"/>
      <c r="S230" s="143"/>
      <c r="T230" s="5"/>
    </row>
    <row r="231" spans="1:21" ht="15.6" x14ac:dyDescent="0.3">
      <c r="A231" s="24"/>
      <c r="B231" s="54" t="s">
        <v>99</v>
      </c>
      <c r="C231" s="94"/>
      <c r="D231" s="94"/>
      <c r="E231" s="94"/>
      <c r="F231" s="25"/>
      <c r="G231" s="94"/>
      <c r="H231" s="94"/>
      <c r="I231" s="94"/>
      <c r="J231" s="94"/>
      <c r="K231" s="94"/>
      <c r="L231" s="94"/>
      <c r="M231" s="94"/>
      <c r="N231" s="54">
        <v>7</v>
      </c>
      <c r="O231" s="95">
        <f t="shared" ref="O231:O238" si="3">N231/$N$240</f>
        <v>0.41176470588235292</v>
      </c>
      <c r="P231" s="53">
        <v>1125</v>
      </c>
      <c r="Q231" s="135">
        <f t="shared" ref="Q231:Q238" si="4">P231/$P$240</f>
        <v>0.35680304471931495</v>
      </c>
      <c r="R231" s="25"/>
      <c r="S231" s="25"/>
      <c r="T231" s="5"/>
    </row>
    <row r="232" spans="1:21" ht="15.6" x14ac:dyDescent="0.3">
      <c r="A232" s="24"/>
      <c r="B232" s="54" t="s">
        <v>100</v>
      </c>
      <c r="C232" s="94"/>
      <c r="D232" s="94"/>
      <c r="E232" s="94"/>
      <c r="F232" s="25"/>
      <c r="G232" s="95"/>
      <c r="H232" s="94"/>
      <c r="I232" s="94"/>
      <c r="J232" s="94"/>
      <c r="K232" s="94"/>
      <c r="L232" s="94"/>
      <c r="M232" s="94"/>
      <c r="N232" s="54">
        <v>0</v>
      </c>
      <c r="O232" s="95">
        <f t="shared" si="3"/>
        <v>0</v>
      </c>
      <c r="P232" s="53">
        <v>0</v>
      </c>
      <c r="Q232" s="135">
        <f t="shared" si="4"/>
        <v>0</v>
      </c>
      <c r="R232" s="25"/>
      <c r="S232" s="25"/>
      <c r="T232" s="5"/>
    </row>
    <row r="233" spans="1:21" ht="15.6" x14ac:dyDescent="0.3">
      <c r="A233" s="24"/>
      <c r="B233" s="54" t="s">
        <v>101</v>
      </c>
      <c r="C233" s="94"/>
      <c r="D233" s="94"/>
      <c r="E233" s="94"/>
      <c r="F233" s="25"/>
      <c r="G233" s="95"/>
      <c r="H233" s="94"/>
      <c r="I233" s="94"/>
      <c r="J233" s="94"/>
      <c r="K233" s="94"/>
      <c r="L233" s="94"/>
      <c r="M233" s="94"/>
      <c r="N233" s="54">
        <v>3</v>
      </c>
      <c r="O233" s="95">
        <f t="shared" si="3"/>
        <v>0.17647058823529413</v>
      </c>
      <c r="P233" s="53">
        <v>1077</v>
      </c>
      <c r="Q233" s="135">
        <f t="shared" si="4"/>
        <v>0.34157944814462415</v>
      </c>
      <c r="R233" s="25"/>
      <c r="S233" s="25"/>
      <c r="T233" s="5"/>
    </row>
    <row r="234" spans="1:21" ht="15.6" x14ac:dyDescent="0.3">
      <c r="A234" s="24"/>
      <c r="B234" s="54" t="s">
        <v>210</v>
      </c>
      <c r="C234" s="94"/>
      <c r="D234" s="94"/>
      <c r="E234" s="94"/>
      <c r="F234" s="25"/>
      <c r="G234" s="95"/>
      <c r="H234" s="94"/>
      <c r="I234" s="94"/>
      <c r="J234" s="94"/>
      <c r="K234" s="94"/>
      <c r="L234" s="94"/>
      <c r="M234" s="94"/>
      <c r="N234" s="54">
        <v>0</v>
      </c>
      <c r="O234" s="95">
        <f t="shared" si="3"/>
        <v>0</v>
      </c>
      <c r="P234" s="53">
        <v>0</v>
      </c>
      <c r="Q234" s="135">
        <f t="shared" si="4"/>
        <v>0</v>
      </c>
      <c r="R234" s="25"/>
      <c r="S234" s="25"/>
      <c r="T234" s="5"/>
    </row>
    <row r="235" spans="1:21" ht="15.6" x14ac:dyDescent="0.3">
      <c r="A235" s="24"/>
      <c r="B235" s="54" t="s">
        <v>211</v>
      </c>
      <c r="C235" s="94"/>
      <c r="D235" s="94"/>
      <c r="E235" s="94"/>
      <c r="F235" s="25"/>
      <c r="G235" s="95"/>
      <c r="H235" s="94"/>
      <c r="I235" s="94"/>
      <c r="J235" s="94"/>
      <c r="K235" s="94"/>
      <c r="L235" s="94"/>
      <c r="M235" s="94"/>
      <c r="N235" s="54">
        <v>2</v>
      </c>
      <c r="O235" s="95">
        <f t="shared" si="3"/>
        <v>0.11764705882352941</v>
      </c>
      <c r="P235" s="53">
        <v>236</v>
      </c>
      <c r="Q235" s="135">
        <f t="shared" si="4"/>
        <v>7.4849349825562961E-2</v>
      </c>
      <c r="R235" s="25"/>
      <c r="S235" s="25"/>
      <c r="T235" s="5"/>
    </row>
    <row r="236" spans="1:21" ht="15.6" x14ac:dyDescent="0.3">
      <c r="A236" s="24"/>
      <c r="B236" s="54" t="s">
        <v>212</v>
      </c>
      <c r="C236" s="94"/>
      <c r="D236" s="94"/>
      <c r="E236" s="94"/>
      <c r="F236" s="25"/>
      <c r="G236" s="95"/>
      <c r="H236" s="94"/>
      <c r="I236" s="94"/>
      <c r="J236" s="94"/>
      <c r="K236" s="94"/>
      <c r="L236" s="94"/>
      <c r="M236" s="94"/>
      <c r="N236" s="54">
        <v>1</v>
      </c>
      <c r="O236" s="95">
        <f t="shared" si="3"/>
        <v>5.8823529411764705E-2</v>
      </c>
      <c r="P236" s="53">
        <v>190</v>
      </c>
      <c r="Q236" s="135">
        <f t="shared" si="4"/>
        <v>6.0260069774817633E-2</v>
      </c>
      <c r="R236" s="25"/>
      <c r="S236" s="25"/>
      <c r="T236" s="5"/>
    </row>
    <row r="237" spans="1:21" ht="15.6" x14ac:dyDescent="0.3">
      <c r="A237" s="24"/>
      <c r="B237" s="54" t="s">
        <v>213</v>
      </c>
      <c r="C237" s="94"/>
      <c r="D237" s="94"/>
      <c r="E237" s="94"/>
      <c r="F237" s="25"/>
      <c r="G237" s="95"/>
      <c r="H237" s="94"/>
      <c r="I237" s="94"/>
      <c r="J237" s="94"/>
      <c r="K237" s="94"/>
      <c r="L237" s="94"/>
      <c r="M237" s="94"/>
      <c r="N237" s="54">
        <v>4</v>
      </c>
      <c r="O237" s="95">
        <f t="shared" si="3"/>
        <v>0.23529411764705882</v>
      </c>
      <c r="P237" s="53">
        <v>525</v>
      </c>
      <c r="Q237" s="135">
        <f t="shared" si="4"/>
        <v>0.1665080875356803</v>
      </c>
      <c r="R237" s="25"/>
      <c r="S237" s="25"/>
      <c r="T237" s="5"/>
    </row>
    <row r="238" spans="1:21" ht="15.6" x14ac:dyDescent="0.3">
      <c r="A238" s="24"/>
      <c r="B238" s="54" t="s">
        <v>214</v>
      </c>
      <c r="C238" s="94"/>
      <c r="D238" s="94"/>
      <c r="E238" s="94"/>
      <c r="F238" s="25"/>
      <c r="G238" s="95"/>
      <c r="H238" s="94"/>
      <c r="I238" s="94"/>
      <c r="J238" s="94"/>
      <c r="K238" s="94"/>
      <c r="L238" s="94"/>
      <c r="M238" s="94"/>
      <c r="N238" s="54">
        <v>0</v>
      </c>
      <c r="O238" s="95">
        <f t="shared" si="3"/>
        <v>0</v>
      </c>
      <c r="P238" s="53">
        <v>0</v>
      </c>
      <c r="Q238" s="135">
        <f t="shared" si="4"/>
        <v>0</v>
      </c>
      <c r="R238" s="25"/>
      <c r="S238" s="25"/>
      <c r="T238" s="5"/>
    </row>
    <row r="239" spans="1:21" ht="15.6" x14ac:dyDescent="0.3">
      <c r="A239" s="24"/>
      <c r="B239" s="25"/>
      <c r="C239" s="94"/>
      <c r="D239" s="94"/>
      <c r="E239" s="94"/>
      <c r="F239" s="25"/>
      <c r="G239" s="95"/>
      <c r="H239" s="94"/>
      <c r="I239" s="94"/>
      <c r="J239" s="94"/>
      <c r="K239" s="94"/>
      <c r="L239" s="94"/>
      <c r="M239" s="94"/>
      <c r="N239" s="54"/>
      <c r="O239" s="95"/>
      <c r="P239" s="53"/>
      <c r="Q239" s="135"/>
      <c r="R239" s="25"/>
      <c r="S239" s="25"/>
      <c r="T239" s="5"/>
    </row>
    <row r="240" spans="1:21" ht="15.6" x14ac:dyDescent="0.3">
      <c r="A240" s="24"/>
      <c r="B240" s="25" t="s">
        <v>129</v>
      </c>
      <c r="C240" s="25"/>
      <c r="D240" s="25"/>
      <c r="E240" s="25"/>
      <c r="F240" s="25"/>
      <c r="G240" s="25"/>
      <c r="H240" s="96"/>
      <c r="I240" s="96"/>
      <c r="J240" s="96"/>
      <c r="K240" s="96"/>
      <c r="L240" s="96"/>
      <c r="M240" s="96"/>
      <c r="N240" s="34">
        <f>SUM(N231:N239)</f>
        <v>17</v>
      </c>
      <c r="O240" s="135">
        <f>SUM(O231:O239)</f>
        <v>1</v>
      </c>
      <c r="P240" s="53">
        <f>SUM(P231:P239)</f>
        <v>3153</v>
      </c>
      <c r="Q240" s="135">
        <f>SUM(Q231:Q239)</f>
        <v>1</v>
      </c>
      <c r="R240" s="25"/>
      <c r="S240" s="25"/>
      <c r="T240" s="5"/>
    </row>
    <row r="241" spans="1:20" ht="15.6" x14ac:dyDescent="0.3">
      <c r="A241" s="24"/>
      <c r="B241" s="25"/>
      <c r="C241" s="25"/>
      <c r="D241" s="25"/>
      <c r="E241" s="25"/>
      <c r="F241" s="25"/>
      <c r="G241" s="25"/>
      <c r="H241" s="96"/>
      <c r="I241" s="96"/>
      <c r="J241" s="96"/>
      <c r="K241" s="96"/>
      <c r="L241" s="96"/>
      <c r="M241" s="96"/>
      <c r="N241" s="34"/>
      <c r="O241" s="135"/>
      <c r="P241" s="53"/>
      <c r="Q241" s="135"/>
      <c r="R241" s="25"/>
      <c r="S241" s="25"/>
      <c r="T241" s="5"/>
    </row>
    <row r="242" spans="1:20" s="153" customFormat="1" ht="15.6" x14ac:dyDescent="0.3">
      <c r="A242" s="144"/>
      <c r="B242" s="14" t="s">
        <v>239</v>
      </c>
      <c r="C242" s="151"/>
      <c r="D242" s="151"/>
      <c r="E242" s="151"/>
      <c r="F242" s="151"/>
      <c r="G242" s="151"/>
      <c r="H242" s="152"/>
      <c r="I242" s="152"/>
      <c r="J242" s="152"/>
      <c r="K242" s="152"/>
      <c r="L242" s="152"/>
      <c r="M242" s="152"/>
      <c r="N242" s="84" t="s">
        <v>113</v>
      </c>
      <c r="O242" s="17" t="s">
        <v>114</v>
      </c>
      <c r="P242" s="84" t="s">
        <v>123</v>
      </c>
      <c r="Q242" s="17" t="s">
        <v>114</v>
      </c>
      <c r="R242" s="151"/>
      <c r="S242" s="151"/>
      <c r="T242" s="5"/>
    </row>
    <row r="243" spans="1:20" s="153" customFormat="1" ht="15.6" x14ac:dyDescent="0.3">
      <c r="A243" s="24"/>
      <c r="B243" s="54" t="s">
        <v>99</v>
      </c>
      <c r="C243" s="161"/>
      <c r="D243" s="161"/>
      <c r="E243" s="161"/>
      <c r="F243" s="161"/>
      <c r="G243" s="161"/>
      <c r="H243" s="162"/>
      <c r="I243" s="162"/>
      <c r="J243" s="162"/>
      <c r="K243" s="162"/>
      <c r="L243" s="162"/>
      <c r="M243" s="162"/>
      <c r="N243" s="54">
        <v>0</v>
      </c>
      <c r="O243" s="95">
        <f t="shared" ref="O243:O250" si="5">+N243/$N$252</f>
        <v>0</v>
      </c>
      <c r="P243" s="53">
        <v>0</v>
      </c>
      <c r="Q243" s="135">
        <f t="shared" ref="Q243:Q250" si="6">+P243/$P$252</f>
        <v>0</v>
      </c>
      <c r="R243" s="155"/>
      <c r="S243" s="160"/>
      <c r="T243" s="5"/>
    </row>
    <row r="244" spans="1:20" s="153" customFormat="1" ht="15.6" x14ac:dyDescent="0.3">
      <c r="A244" s="24"/>
      <c r="B244" s="54" t="s">
        <v>100</v>
      </c>
      <c r="C244" s="161"/>
      <c r="D244" s="161"/>
      <c r="E244" s="161"/>
      <c r="F244" s="161"/>
      <c r="G244" s="161"/>
      <c r="H244" s="162"/>
      <c r="I244" s="162"/>
      <c r="J244" s="162"/>
      <c r="K244" s="162"/>
      <c r="L244" s="162"/>
      <c r="M244" s="162"/>
      <c r="N244" s="54">
        <v>0</v>
      </c>
      <c r="O244" s="95">
        <f t="shared" si="5"/>
        <v>0</v>
      </c>
      <c r="P244" s="53">
        <v>0</v>
      </c>
      <c r="Q244" s="135">
        <f t="shared" si="6"/>
        <v>0</v>
      </c>
      <c r="R244" s="135"/>
      <c r="S244" s="160"/>
      <c r="T244" s="5"/>
    </row>
    <row r="245" spans="1:20" s="153" customFormat="1" ht="15.6" x14ac:dyDescent="0.3">
      <c r="A245" s="24"/>
      <c r="B245" s="54" t="s">
        <v>101</v>
      </c>
      <c r="C245" s="161"/>
      <c r="D245" s="161"/>
      <c r="E245" s="161"/>
      <c r="F245" s="161"/>
      <c r="G245" s="161"/>
      <c r="H245" s="162"/>
      <c r="I245" s="162"/>
      <c r="J245" s="162"/>
      <c r="K245" s="162"/>
      <c r="L245" s="162"/>
      <c r="M245" s="162"/>
      <c r="N245" s="54">
        <v>0</v>
      </c>
      <c r="O245" s="95">
        <f t="shared" si="5"/>
        <v>0</v>
      </c>
      <c r="P245" s="53">
        <v>0</v>
      </c>
      <c r="Q245" s="135">
        <f t="shared" si="6"/>
        <v>0</v>
      </c>
      <c r="R245" s="155"/>
      <c r="S245" s="160"/>
      <c r="T245" s="5"/>
    </row>
    <row r="246" spans="1:20" s="153" customFormat="1" ht="15.6" x14ac:dyDescent="0.3">
      <c r="A246" s="24"/>
      <c r="B246" s="54" t="s">
        <v>210</v>
      </c>
      <c r="C246" s="161"/>
      <c r="D246" s="161"/>
      <c r="E246" s="161"/>
      <c r="F246" s="161"/>
      <c r="G246" s="161"/>
      <c r="H246" s="162"/>
      <c r="I246" s="162"/>
      <c r="J246" s="162"/>
      <c r="K246" s="162"/>
      <c r="L246" s="162"/>
      <c r="M246" s="162"/>
      <c r="N246" s="54">
        <v>0</v>
      </c>
      <c r="O246" s="95">
        <f t="shared" si="5"/>
        <v>0</v>
      </c>
      <c r="P246" s="53">
        <v>0</v>
      </c>
      <c r="Q246" s="135">
        <f t="shared" si="6"/>
        <v>0</v>
      </c>
      <c r="R246" s="155"/>
      <c r="S246" s="160"/>
      <c r="T246" s="5"/>
    </row>
    <row r="247" spans="1:20" s="153" customFormat="1" ht="15.6" x14ac:dyDescent="0.3">
      <c r="A247" s="24"/>
      <c r="B247" s="54" t="s">
        <v>211</v>
      </c>
      <c r="C247" s="161"/>
      <c r="D247" s="161"/>
      <c r="E247" s="161"/>
      <c r="F247" s="161"/>
      <c r="G247" s="161"/>
      <c r="H247" s="162"/>
      <c r="I247" s="162"/>
      <c r="J247" s="162"/>
      <c r="K247" s="162"/>
      <c r="L247" s="162"/>
      <c r="M247" s="162"/>
      <c r="N247" s="54">
        <v>0</v>
      </c>
      <c r="O247" s="95">
        <f t="shared" si="5"/>
        <v>0</v>
      </c>
      <c r="P247" s="53">
        <v>0</v>
      </c>
      <c r="Q247" s="135">
        <f t="shared" si="6"/>
        <v>0</v>
      </c>
      <c r="R247" s="155"/>
      <c r="S247" s="160"/>
      <c r="T247" s="5"/>
    </row>
    <row r="248" spans="1:20" s="153" customFormat="1" ht="15.6" x14ac:dyDescent="0.3">
      <c r="A248" s="24"/>
      <c r="B248" s="54" t="s">
        <v>212</v>
      </c>
      <c r="C248" s="161"/>
      <c r="D248" s="161"/>
      <c r="E248" s="161"/>
      <c r="F248" s="161"/>
      <c r="G248" s="161"/>
      <c r="H248" s="162"/>
      <c r="I248" s="162"/>
      <c r="J248" s="162"/>
      <c r="K248" s="162"/>
      <c r="L248" s="162"/>
      <c r="M248" s="162"/>
      <c r="N248" s="54">
        <v>0</v>
      </c>
      <c r="O248" s="95">
        <f t="shared" si="5"/>
        <v>0</v>
      </c>
      <c r="P248" s="53">
        <v>0</v>
      </c>
      <c r="Q248" s="135">
        <f t="shared" si="6"/>
        <v>0</v>
      </c>
      <c r="R248" s="155"/>
      <c r="S248" s="160"/>
      <c r="T248" s="5"/>
    </row>
    <row r="249" spans="1:20" s="153" customFormat="1" ht="15.6" x14ac:dyDescent="0.3">
      <c r="A249" s="24"/>
      <c r="B249" s="54" t="s">
        <v>213</v>
      </c>
      <c r="C249" s="161"/>
      <c r="D249" s="161"/>
      <c r="E249" s="161"/>
      <c r="F249" s="161"/>
      <c r="G249" s="161"/>
      <c r="H249" s="162"/>
      <c r="I249" s="162"/>
      <c r="J249" s="162"/>
      <c r="K249" s="162"/>
      <c r="L249" s="162"/>
      <c r="M249" s="162"/>
      <c r="N249" s="54">
        <v>1</v>
      </c>
      <c r="O249" s="95">
        <f t="shared" si="5"/>
        <v>0.33333333333333331</v>
      </c>
      <c r="P249" s="53">
        <v>40</v>
      </c>
      <c r="Q249" s="135">
        <f t="shared" si="6"/>
        <v>0.29629629629629628</v>
      </c>
      <c r="R249" s="155"/>
      <c r="S249" s="160"/>
      <c r="T249" s="5"/>
    </row>
    <row r="250" spans="1:20" s="153" customFormat="1" ht="15.6" x14ac:dyDescent="0.3">
      <c r="A250" s="24"/>
      <c r="B250" s="54" t="s">
        <v>214</v>
      </c>
      <c r="C250" s="161"/>
      <c r="D250" s="161"/>
      <c r="E250" s="161"/>
      <c r="F250" s="161"/>
      <c r="G250" s="161"/>
      <c r="H250" s="162"/>
      <c r="I250" s="162"/>
      <c r="J250" s="162"/>
      <c r="K250" s="162"/>
      <c r="L250" s="162"/>
      <c r="M250" s="162"/>
      <c r="N250" s="54">
        <v>2</v>
      </c>
      <c r="O250" s="95">
        <f t="shared" si="5"/>
        <v>0.66666666666666663</v>
      </c>
      <c r="P250" s="53">
        <v>95</v>
      </c>
      <c r="Q250" s="135">
        <f t="shared" si="6"/>
        <v>0.70370370370370372</v>
      </c>
      <c r="R250" s="155"/>
      <c r="S250" s="160"/>
      <c r="T250" s="5"/>
    </row>
    <row r="251" spans="1:20" s="153" customFormat="1" ht="15.6" x14ac:dyDescent="0.3">
      <c r="A251" s="24"/>
      <c r="B251" s="54"/>
      <c r="C251" s="161"/>
      <c r="D251" s="161"/>
      <c r="E251" s="161"/>
      <c r="F251" s="161"/>
      <c r="G251" s="161"/>
      <c r="H251" s="162"/>
      <c r="I251" s="162"/>
      <c r="J251" s="162"/>
      <c r="K251" s="162"/>
      <c r="L251" s="162"/>
      <c r="M251" s="162"/>
      <c r="N251" s="54"/>
      <c r="O251" s="95"/>
      <c r="P251" s="53"/>
      <c r="Q251" s="135"/>
      <c r="R251" s="155"/>
      <c r="S251" s="160"/>
      <c r="T251" s="5"/>
    </row>
    <row r="252" spans="1:20" ht="15.6" x14ac:dyDescent="0.3">
      <c r="A252" s="24"/>
      <c r="B252" s="25" t="s">
        <v>129</v>
      </c>
      <c r="C252" s="161"/>
      <c r="D252" s="161"/>
      <c r="E252" s="161"/>
      <c r="F252" s="161"/>
      <c r="G252" s="161"/>
      <c r="H252" s="162"/>
      <c r="I252" s="162"/>
      <c r="J252" s="162"/>
      <c r="K252" s="162"/>
      <c r="L252" s="162"/>
      <c r="M252" s="162"/>
      <c r="N252" s="34">
        <f>SUM(N243:N250)</f>
        <v>3</v>
      </c>
      <c r="O252" s="95">
        <f>SUM(O243:O250)</f>
        <v>1</v>
      </c>
      <c r="P252" s="53">
        <f>SUM(P243:P250)</f>
        <v>135</v>
      </c>
      <c r="Q252" s="135">
        <f>SUM(Q243:Q250)</f>
        <v>1</v>
      </c>
      <c r="R252" s="155"/>
      <c r="S252" s="160"/>
      <c r="T252" s="5"/>
    </row>
    <row r="253" spans="1:20" ht="15.6" x14ac:dyDescent="0.3">
      <c r="A253" s="24"/>
      <c r="B253" s="25"/>
      <c r="C253" s="151"/>
      <c r="D253" s="151"/>
      <c r="E253" s="151"/>
      <c r="F253" s="151"/>
      <c r="G253" s="151"/>
      <c r="H253" s="152"/>
      <c r="I253" s="152"/>
      <c r="J253" s="152"/>
      <c r="K253" s="152"/>
      <c r="L253" s="152"/>
      <c r="M253" s="152"/>
      <c r="N253" s="34"/>
      <c r="O253" s="135"/>
      <c r="P253" s="53"/>
      <c r="Q253" s="135"/>
      <c r="R253" s="151"/>
      <c r="S253" s="151"/>
      <c r="T253" s="5"/>
    </row>
    <row r="254" spans="1:20" ht="15.6" x14ac:dyDescent="0.3">
      <c r="A254" s="24"/>
      <c r="B254" s="154" t="s">
        <v>240</v>
      </c>
      <c r="C254" s="155"/>
      <c r="D254" s="155"/>
      <c r="E254" s="155"/>
      <c r="F254" s="155"/>
      <c r="G254" s="155"/>
      <c r="H254" s="156"/>
      <c r="I254" s="156"/>
      <c r="J254" s="156"/>
      <c r="K254" s="156"/>
      <c r="L254" s="156"/>
      <c r="M254" s="156"/>
      <c r="N254" s="157"/>
      <c r="O254" s="158"/>
      <c r="P254" s="159">
        <f>+P252+P240+P228</f>
        <v>918164</v>
      </c>
      <c r="Q254" s="158"/>
      <c r="R254" s="155"/>
      <c r="S254" s="160"/>
      <c r="T254" s="5"/>
    </row>
    <row r="255" spans="1:20" ht="15.6" x14ac:dyDescent="0.3">
      <c r="A255" s="24"/>
      <c r="B255" s="154"/>
      <c r="C255" s="8"/>
      <c r="D255" s="8"/>
      <c r="E255" s="8"/>
      <c r="F255" s="8"/>
      <c r="G255" s="8"/>
      <c r="H255" s="97"/>
      <c r="I255" s="97"/>
      <c r="J255" s="97"/>
      <c r="K255" s="97"/>
      <c r="L255" s="97"/>
      <c r="M255" s="97"/>
      <c r="N255" s="97"/>
      <c r="O255" s="97"/>
      <c r="P255" s="98"/>
      <c r="Q255" s="97"/>
      <c r="R255" s="8"/>
      <c r="S255" s="8"/>
      <c r="T255" s="5"/>
    </row>
    <row r="256" spans="1:20" ht="15.6" x14ac:dyDescent="0.3">
      <c r="A256" s="150"/>
      <c r="B256" s="14" t="s">
        <v>102</v>
      </c>
      <c r="C256" s="15"/>
      <c r="D256" s="15"/>
      <c r="E256" s="15"/>
      <c r="F256" s="17" t="s">
        <v>108</v>
      </c>
      <c r="G256" s="15"/>
      <c r="H256" s="14" t="s">
        <v>110</v>
      </c>
      <c r="I256" s="145"/>
      <c r="J256" s="145"/>
      <c r="K256" s="145"/>
      <c r="L256" s="145"/>
      <c r="M256" s="145"/>
      <c r="N256" s="145"/>
      <c r="O256" s="145"/>
      <c r="P256" s="145"/>
      <c r="Q256" s="145"/>
      <c r="R256" s="145"/>
      <c r="S256" s="145"/>
      <c r="T256" s="5"/>
    </row>
    <row r="257" spans="1:20" ht="15.6" x14ac:dyDescent="0.3">
      <c r="A257" s="150"/>
      <c r="B257" s="145"/>
      <c r="C257" s="8"/>
      <c r="D257" s="8"/>
      <c r="E257" s="8"/>
      <c r="F257" s="8"/>
      <c r="G257" s="8"/>
      <c r="H257" s="8"/>
      <c r="I257" s="145"/>
      <c r="J257" s="145"/>
      <c r="K257" s="145"/>
      <c r="L257" s="145"/>
      <c r="M257" s="145"/>
      <c r="N257" s="145"/>
      <c r="O257" s="145"/>
      <c r="P257" s="145"/>
      <c r="Q257" s="145"/>
      <c r="R257" s="145"/>
      <c r="S257" s="145"/>
      <c r="T257" s="5"/>
    </row>
    <row r="258" spans="1:20" ht="15.6" x14ac:dyDescent="0.3">
      <c r="A258" s="150"/>
      <c r="B258" s="13" t="s">
        <v>103</v>
      </c>
      <c r="C258" s="13"/>
      <c r="D258" s="13"/>
      <c r="E258" s="13"/>
      <c r="F258" s="133" t="s">
        <v>172</v>
      </c>
      <c r="G258" s="13"/>
      <c r="H258" s="13" t="s">
        <v>200</v>
      </c>
      <c r="I258" s="145"/>
      <c r="J258" s="145"/>
      <c r="K258" s="145"/>
      <c r="L258" s="145"/>
      <c r="M258" s="145"/>
      <c r="N258" s="145"/>
      <c r="O258" s="145"/>
      <c r="P258" s="145"/>
      <c r="Q258" s="145"/>
      <c r="R258" s="145"/>
      <c r="S258" s="145"/>
      <c r="T258" s="5"/>
    </row>
    <row r="259" spans="1:20" ht="15.6" x14ac:dyDescent="0.3">
      <c r="A259" s="150"/>
      <c r="B259" s="13" t="s">
        <v>271</v>
      </c>
      <c r="C259" s="13"/>
      <c r="D259" s="13"/>
      <c r="E259" s="13"/>
      <c r="F259" s="133" t="s">
        <v>272</v>
      </c>
      <c r="G259" s="13"/>
      <c r="H259" s="13" t="s">
        <v>273</v>
      </c>
      <c r="I259" s="145"/>
      <c r="J259" s="145"/>
      <c r="K259" s="145"/>
      <c r="L259" s="145"/>
      <c r="M259" s="145"/>
      <c r="N259" s="145"/>
      <c r="O259" s="145"/>
      <c r="P259" s="145"/>
      <c r="Q259" s="145"/>
      <c r="R259" s="145"/>
      <c r="S259" s="145"/>
      <c r="T259" s="5"/>
    </row>
    <row r="260" spans="1:20" ht="15.6" x14ac:dyDescent="0.3">
      <c r="A260" s="150"/>
      <c r="B260" s="13" t="s">
        <v>104</v>
      </c>
      <c r="C260" s="13"/>
      <c r="D260" s="13"/>
      <c r="E260" s="13"/>
      <c r="F260" s="133" t="s">
        <v>171</v>
      </c>
      <c r="G260" s="13"/>
      <c r="H260" s="13" t="s">
        <v>201</v>
      </c>
      <c r="I260" s="145"/>
      <c r="J260" s="145"/>
      <c r="K260" s="145"/>
      <c r="L260" s="145"/>
      <c r="M260" s="145"/>
      <c r="N260" s="145"/>
      <c r="O260" s="145"/>
      <c r="P260" s="145"/>
      <c r="Q260" s="145"/>
      <c r="R260" s="145"/>
      <c r="S260" s="145"/>
      <c r="T260" s="5"/>
    </row>
    <row r="261" spans="1:20" ht="15.6" x14ac:dyDescent="0.3">
      <c r="A261" s="150"/>
      <c r="B261" s="13"/>
      <c r="C261" s="13"/>
      <c r="D261" s="13"/>
      <c r="E261" s="13"/>
      <c r="F261" s="13"/>
      <c r="G261" s="100"/>
      <c r="H261" s="145"/>
      <c r="I261" s="145"/>
      <c r="J261" s="145"/>
      <c r="K261" s="145"/>
      <c r="L261" s="145"/>
      <c r="M261" s="145"/>
      <c r="N261" s="145"/>
      <c r="O261" s="145"/>
      <c r="P261" s="145"/>
      <c r="Q261" s="145"/>
      <c r="R261" s="145"/>
      <c r="S261" s="145"/>
      <c r="T261" s="5"/>
    </row>
    <row r="262" spans="1:20" ht="18" thickBot="1" x14ac:dyDescent="0.35">
      <c r="A262" s="150"/>
      <c r="B262" s="49" t="str">
        <f>B184</f>
        <v>PM8 INVESTOR REPORT QUARTER ENDING SEPTEMBER 2005</v>
      </c>
      <c r="C262" s="13"/>
      <c r="D262" s="13"/>
      <c r="E262" s="13"/>
      <c r="F262" s="13"/>
      <c r="G262" s="100"/>
      <c r="H262" s="145"/>
      <c r="I262" s="145"/>
      <c r="J262" s="145"/>
      <c r="K262" s="145"/>
      <c r="L262" s="145"/>
      <c r="M262" s="145"/>
      <c r="N262" s="145"/>
      <c r="O262" s="145"/>
      <c r="P262" s="145"/>
      <c r="Q262" s="145"/>
      <c r="R262" s="145"/>
      <c r="S262" s="145"/>
      <c r="T262" s="5"/>
    </row>
    <row r="263" spans="1:20" x14ac:dyDescent="0.25">
      <c r="A263" s="101"/>
      <c r="B263" s="101"/>
      <c r="C263" s="101"/>
      <c r="D263" s="101"/>
      <c r="E263" s="101"/>
      <c r="F263" s="101"/>
      <c r="G263" s="101"/>
      <c r="H263" s="101"/>
      <c r="I263" s="101"/>
      <c r="J263" s="101"/>
      <c r="K263" s="101"/>
      <c r="L263" s="101"/>
      <c r="M263" s="101"/>
      <c r="N263" s="101"/>
      <c r="O263" s="101"/>
      <c r="P263" s="101"/>
      <c r="Q263" s="101"/>
      <c r="R263" s="101"/>
      <c r="S263" s="101"/>
    </row>
  </sheetData>
  <phoneticPr fontId="0" type="noConversion"/>
  <hyperlinks>
    <hyperlink ref="H9" r:id="rId1"/>
    <hyperlink ref="J216"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28" max="14" man="1"/>
    <brk id="184"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0.87860000000000005</v>
      </c>
      <c r="P16" s="247" t="s">
        <v>161</v>
      </c>
      <c r="Q16" s="246">
        <v>0.12139999999999999</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41108</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179063.36499999999</v>
      </c>
      <c r="I31" s="301"/>
      <c r="J31" s="302">
        <f>J30*J37</f>
        <v>265953.12900000002</v>
      </c>
      <c r="K31" s="301"/>
      <c r="L31" s="303">
        <f>L30*L37</f>
        <v>59149.570999999996</v>
      </c>
      <c r="M31" s="301"/>
      <c r="N31" s="302">
        <f>N30*N37</f>
        <v>45499.67</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174928.236</v>
      </c>
      <c r="I32" s="306"/>
      <c r="J32" s="308">
        <f>J36*J30</f>
        <v>259811.44560000001</v>
      </c>
      <c r="K32" s="307"/>
      <c r="L32" s="307">
        <f>L36*L30</f>
        <v>57783.608999999997</v>
      </c>
      <c r="M32" s="307"/>
      <c r="N32" s="308">
        <f>N36*N30</f>
        <v>44448.93</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179063.36499999999</v>
      </c>
      <c r="I34" s="301"/>
      <c r="J34" s="301">
        <f>J33*J37</f>
        <v>184934.29499999998</v>
      </c>
      <c r="K34" s="301"/>
      <c r="L34" s="301">
        <f>L33*L37</f>
        <v>59149.570999999996</v>
      </c>
      <c r="M34" s="301"/>
      <c r="N34" s="301">
        <f>N33*N37</f>
        <v>31849.768999999997</v>
      </c>
      <c r="O34" s="301"/>
      <c r="P34" s="301"/>
      <c r="Q34" s="304"/>
      <c r="R34" s="301">
        <f>SUM(C34:N34)</f>
        <v>454996.99999999994</v>
      </c>
      <c r="S34" s="305"/>
      <c r="T34" s="255"/>
    </row>
    <row r="35" spans="1:20" s="256" customFormat="1" ht="15.6" x14ac:dyDescent="0.3">
      <c r="A35" s="296"/>
      <c r="B35" s="297" t="s">
        <v>287</v>
      </c>
      <c r="C35" s="306"/>
      <c r="D35" s="307">
        <f>D36*D33</f>
        <v>0</v>
      </c>
      <c r="E35" s="306"/>
      <c r="F35" s="307">
        <f>F36*F33</f>
        <v>0</v>
      </c>
      <c r="G35" s="307"/>
      <c r="H35" s="307">
        <f>H36*H33</f>
        <v>174928.236</v>
      </c>
      <c r="I35" s="306"/>
      <c r="J35" s="307">
        <f>J36*J33</f>
        <v>180663.58800000002</v>
      </c>
      <c r="K35" s="307"/>
      <c r="L35" s="307">
        <f>L36*L33</f>
        <v>57783.608999999997</v>
      </c>
      <c r="M35" s="307"/>
      <c r="N35" s="307">
        <f>N36*N33</f>
        <v>31114.250999999997</v>
      </c>
      <c r="O35" s="307"/>
      <c r="P35" s="307"/>
      <c r="Q35" s="309"/>
      <c r="R35" s="307">
        <f>SUM(C35:N35)</f>
        <v>444489.68400000001</v>
      </c>
      <c r="S35" s="305"/>
      <c r="T35" s="255"/>
    </row>
    <row r="36" spans="1:20" ht="15.6" x14ac:dyDescent="0.3">
      <c r="A36" s="310"/>
      <c r="B36" s="311" t="s">
        <v>149</v>
      </c>
      <c r="C36" s="312"/>
      <c r="D36" s="313">
        <v>0</v>
      </c>
      <c r="E36" s="314"/>
      <c r="F36" s="313">
        <v>0</v>
      </c>
      <c r="G36" s="315"/>
      <c r="H36" s="313">
        <v>0.57353520000000002</v>
      </c>
      <c r="I36" s="315"/>
      <c r="J36" s="313">
        <v>0.57353520000000002</v>
      </c>
      <c r="K36" s="315"/>
      <c r="L36" s="313">
        <v>0.88897859999999995</v>
      </c>
      <c r="M36" s="315"/>
      <c r="N36" s="313">
        <v>0.88897859999999995</v>
      </c>
      <c r="O36" s="316"/>
      <c r="P36" s="316"/>
      <c r="Q36" s="317"/>
      <c r="R36" s="316"/>
      <c r="S36" s="318"/>
      <c r="T36" s="5"/>
    </row>
    <row r="37" spans="1:20" ht="15.6" x14ac:dyDescent="0.3">
      <c r="A37" s="310"/>
      <c r="B37" s="311" t="s">
        <v>150</v>
      </c>
      <c r="C37" s="312"/>
      <c r="D37" s="313">
        <v>0</v>
      </c>
      <c r="E37" s="314"/>
      <c r="F37" s="313">
        <v>0</v>
      </c>
      <c r="G37" s="315"/>
      <c r="H37" s="313">
        <v>0.58709299999999998</v>
      </c>
      <c r="I37" s="315"/>
      <c r="J37" s="313">
        <v>0.58709299999999998</v>
      </c>
      <c r="K37" s="315"/>
      <c r="L37" s="313">
        <v>0.90999339999999995</v>
      </c>
      <c r="M37" s="315"/>
      <c r="N37" s="313">
        <v>0.90999339999999995</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1.3975E-2</v>
      </c>
      <c r="I39" s="321"/>
      <c r="J39" s="320">
        <v>1.1169999999999999E-2</v>
      </c>
      <c r="K39" s="321"/>
      <c r="L39" s="320">
        <v>2.3175000000000001E-2</v>
      </c>
      <c r="M39" s="321"/>
      <c r="N39" s="320">
        <v>1.9570000000000001E-2</v>
      </c>
      <c r="O39" s="321"/>
      <c r="P39" s="320"/>
      <c r="Q39" s="294"/>
      <c r="R39" s="321"/>
      <c r="S39" s="295"/>
      <c r="T39" s="255"/>
    </row>
    <row r="40" spans="1:20" s="256" customFormat="1" ht="15.6" x14ac:dyDescent="0.3">
      <c r="A40" s="291"/>
      <c r="B40" s="292" t="s">
        <v>14</v>
      </c>
      <c r="C40" s="292"/>
      <c r="D40" s="320">
        <v>0</v>
      </c>
      <c r="E40" s="292"/>
      <c r="F40" s="320">
        <v>0</v>
      </c>
      <c r="G40" s="321"/>
      <c r="H40" s="320">
        <v>1.46956E-2</v>
      </c>
      <c r="I40" s="321"/>
      <c r="J40" s="320">
        <v>1.6049999999999998E-2</v>
      </c>
      <c r="K40" s="321"/>
      <c r="L40" s="320">
        <v>2.3895599999999999E-2</v>
      </c>
      <c r="M40" s="321"/>
      <c r="N40" s="320">
        <v>2.445E-2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1.3975E-2</v>
      </c>
      <c r="I42" s="321"/>
      <c r="J42" s="320">
        <v>1.4770999999999999E-2</v>
      </c>
      <c r="K42" s="321"/>
      <c r="L42" s="320">
        <f>+L39</f>
        <v>2.3175000000000001E-2</v>
      </c>
      <c r="M42" s="321"/>
      <c r="N42" s="320">
        <v>2.3928999999999999E-2</v>
      </c>
      <c r="O42" s="321"/>
      <c r="P42" s="320"/>
      <c r="Q42" s="294"/>
      <c r="R42" s="321">
        <f>SUMPRODUCT(D42:N42,D34:N34)/R34</f>
        <v>1.6191314289206303E-2</v>
      </c>
      <c r="S42" s="295"/>
      <c r="T42" s="255"/>
    </row>
    <row r="43" spans="1:20" s="256" customFormat="1" ht="15.6" x14ac:dyDescent="0.3">
      <c r="A43" s="291"/>
      <c r="B43" s="292" t="s">
        <v>290</v>
      </c>
      <c r="C43" s="292"/>
      <c r="D43" s="320">
        <f>+D40</f>
        <v>0</v>
      </c>
      <c r="E43" s="292"/>
      <c r="F43" s="320">
        <v>0</v>
      </c>
      <c r="G43" s="321"/>
      <c r="H43" s="320">
        <f>+H40</f>
        <v>1.46956E-2</v>
      </c>
      <c r="I43" s="321"/>
      <c r="J43" s="320">
        <v>1.5491599999999999E-2</v>
      </c>
      <c r="K43" s="321"/>
      <c r="L43" s="320">
        <f>+L40</f>
        <v>2.3895599999999999E-2</v>
      </c>
      <c r="M43" s="321"/>
      <c r="N43" s="320">
        <v>2.4649600000000001E-2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0.24999973002753847</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41106</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40924</v>
      </c>
      <c r="Q55" s="331"/>
      <c r="R55" s="330">
        <v>41014</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41015</v>
      </c>
      <c r="Q56" s="331"/>
      <c r="R56" s="330">
        <v>41105</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41092</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311</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454997</v>
      </c>
      <c r="K66" s="336"/>
      <c r="L66" s="336">
        <f>10507+67+91</f>
        <v>10665</v>
      </c>
      <c r="M66" s="336"/>
      <c r="N66" s="336">
        <f>67+91</f>
        <v>158</v>
      </c>
      <c r="O66" s="336"/>
      <c r="P66" s="336">
        <v>0</v>
      </c>
      <c r="Q66" s="336"/>
      <c r="R66" s="337">
        <f>+J66-L66+N66-P66</f>
        <v>444490</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454997</v>
      </c>
      <c r="K69" s="336"/>
      <c r="L69" s="336">
        <f>SUM(L66:L68)</f>
        <v>10665</v>
      </c>
      <c r="M69" s="336"/>
      <c r="N69" s="336">
        <f>SUM(N66:N68)</f>
        <v>158</v>
      </c>
      <c r="O69" s="336"/>
      <c r="P69" s="336">
        <f>SUM(P66:P68)</f>
        <v>0</v>
      </c>
      <c r="Q69" s="336"/>
      <c r="R69" s="336">
        <f>SUM(R66:R68)</f>
        <v>444490</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454997</v>
      </c>
      <c r="K82" s="336"/>
      <c r="L82" s="336"/>
      <c r="M82" s="336"/>
      <c r="N82" s="336"/>
      <c r="O82" s="336"/>
      <c r="P82" s="336"/>
      <c r="Q82" s="336"/>
      <c r="R82" s="336">
        <f>SUM(R69:R81)</f>
        <v>444490</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+P189</f>
        <v>41089</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10665-99</f>
        <v>10566</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3773+453-960-62</f>
        <v>3204</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v>54</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39</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287</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10566</v>
      </c>
      <c r="Q94" s="335"/>
      <c r="R94" s="336">
        <f>SUM(R86:R93)</f>
        <v>3584</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-212</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10566</v>
      </c>
      <c r="Q98" s="335"/>
      <c r="R98" s="336">
        <f>R94+R96+R95+R97</f>
        <v>3372</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-114-163-6</f>
        <v>-283</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-116</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-624</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-681</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-342</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-190</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99</v>
      </c>
      <c r="Q112" s="335"/>
      <c r="R112" s="337">
        <v>-99</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-231</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-795</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-158</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-4135</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-4271</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-1366</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-735</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-10665</v>
      </c>
      <c r="Q127" s="336"/>
      <c r="R127" s="336">
        <f>SUM(R99:R126)</f>
        <v>-3372</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JUNE 2012</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56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99</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99</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-99</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f>-R97</f>
        <v>212</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444490</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444490</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+'March 12'!O176</f>
        <v>88633</v>
      </c>
      <c r="P174" s="337">
        <f>+'March 12'!P176</f>
        <v>8401</v>
      </c>
      <c r="Q174" s="335"/>
      <c r="R174" s="337">
        <f>O174+P174</f>
        <v>97034</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v>158</v>
      </c>
      <c r="P175" s="336">
        <f>-P95-P119</f>
        <v>0</v>
      </c>
      <c r="Q175" s="335"/>
      <c r="R175" s="337">
        <f>O175+P175</f>
        <v>158</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88791</v>
      </c>
      <c r="P176" s="337">
        <f>P175+P174</f>
        <v>8401</v>
      </c>
      <c r="Q176" s="335"/>
      <c r="R176" s="337">
        <f>O176+P176</f>
        <v>97192</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62808</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2.2758620689655173</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1.52</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3.1296992481203008</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2.81</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JUNE 2012</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568" t="s">
        <v>78</v>
      </c>
      <c r="C189" s="569"/>
      <c r="D189" s="569"/>
      <c r="E189" s="569"/>
      <c r="F189" s="569"/>
      <c r="G189" s="570"/>
      <c r="H189" s="570"/>
      <c r="I189" s="570"/>
      <c r="J189" s="570"/>
      <c r="K189" s="570"/>
      <c r="L189" s="570"/>
      <c r="M189" s="570"/>
      <c r="N189" s="570"/>
      <c r="O189" s="570"/>
      <c r="P189" s="570">
        <v>41089</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2.8289999999999999E-2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1.6191314289206303E-2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1.2098685710793696E-2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7.4110378749750001E-3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13.56</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2.3439714987131783E-2</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0.11650000000000001</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564" t="s">
        <v>87</v>
      </c>
      <c r="C205" s="566"/>
      <c r="D205" s="566"/>
      <c r="E205" s="566"/>
      <c r="F205" s="571"/>
      <c r="G205" s="566"/>
      <c r="H205" s="566"/>
      <c r="I205" s="566"/>
      <c r="J205" s="566"/>
      <c r="K205" s="566"/>
      <c r="L205" s="566"/>
      <c r="M205" s="566"/>
      <c r="N205" s="566"/>
      <c r="O205" s="566" t="s">
        <v>113</v>
      </c>
      <c r="P205" s="571"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2</v>
      </c>
      <c r="P206" s="277">
        <v>129</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92</v>
      </c>
      <c r="P207" s="371">
        <f>+P257</f>
        <v>13615</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2</v>
      </c>
      <c r="P208" s="371">
        <f>+P269</f>
        <v>164</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35" t="s">
        <v>93</v>
      </c>
      <c r="C212" s="335"/>
      <c r="D212" s="335"/>
      <c r="E212" s="335"/>
      <c r="F212" s="335"/>
      <c r="G212" s="335"/>
      <c r="H212" s="335"/>
      <c r="I212" s="335"/>
      <c r="J212" s="335"/>
      <c r="K212" s="335"/>
      <c r="L212" s="335"/>
      <c r="M212" s="335"/>
      <c r="N212" s="335"/>
      <c r="O212" s="369"/>
      <c r="P212" s="371">
        <f>R159</f>
        <v>99</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'March 12'!P213+P212</f>
        <v>3528</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0</v>
      </c>
      <c r="P215" s="371">
        <v>0</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0</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0</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4</v>
      </c>
      <c r="P219" s="371">
        <v>310</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0.41</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564" t="s">
        <v>298</v>
      </c>
      <c r="C223" s="566"/>
      <c r="D223" s="566"/>
      <c r="E223" s="566"/>
      <c r="F223" s="571"/>
      <c r="G223" s="566"/>
      <c r="H223" s="566"/>
      <c r="I223" s="566"/>
      <c r="J223" s="566"/>
      <c r="K223" s="566"/>
      <c r="L223" s="566"/>
      <c r="M223" s="566"/>
      <c r="N223" s="571" t="s">
        <v>113</v>
      </c>
      <c r="O223" s="566" t="s">
        <v>114</v>
      </c>
      <c r="P223" s="571" t="s">
        <v>123</v>
      </c>
      <c r="Q223" s="566" t="s">
        <v>114</v>
      </c>
      <c r="R223" s="216"/>
      <c r="S223" s="564"/>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3716</v>
      </c>
      <c r="O224" s="280">
        <f t="shared" ref="O224:O231" si="2">N224/$N$233</f>
        <v>0.98332892299550145</v>
      </c>
      <c r="P224" s="269">
        <f t="shared" ref="P224:P231" si="3">+P236+P248+P260</f>
        <v>433966</v>
      </c>
      <c r="Q224" s="280">
        <f t="shared" ref="Q224:Q231" si="4">P224/$P$233</f>
        <v>0.97632342684874796</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31</v>
      </c>
      <c r="O225" s="399">
        <f t="shared" si="2"/>
        <v>8.2032283672929338E-3</v>
      </c>
      <c r="P225" s="337">
        <f t="shared" si="3"/>
        <v>7418</v>
      </c>
      <c r="Q225" s="399">
        <f t="shared" si="4"/>
        <v>1.6688789399086593E-2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10</v>
      </c>
      <c r="O226" s="399">
        <f t="shared" si="2"/>
        <v>2.6462026991267533E-3</v>
      </c>
      <c r="P226" s="337">
        <f t="shared" si="3"/>
        <v>1028</v>
      </c>
      <c r="Q226" s="399">
        <f t="shared" si="4"/>
        <v>2.3127629417984655E-3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7</v>
      </c>
      <c r="O227" s="399">
        <f t="shared" si="2"/>
        <v>1.8523418893887271E-3</v>
      </c>
      <c r="P227" s="337">
        <f t="shared" si="3"/>
        <v>417</v>
      </c>
      <c r="Q227" s="399">
        <f t="shared" si="4"/>
        <v>9.3815383923147875E-4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2</v>
      </c>
      <c r="O228" s="399">
        <f t="shared" si="2"/>
        <v>5.2924053982535059E-4</v>
      </c>
      <c r="P228" s="337">
        <f t="shared" si="3"/>
        <v>347</v>
      </c>
      <c r="Q228" s="399">
        <f t="shared" si="4"/>
        <v>7.8066998132691394E-4</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1</v>
      </c>
      <c r="O229" s="399">
        <f t="shared" si="2"/>
        <v>2.646202699126753E-4</v>
      </c>
      <c r="P229" s="337">
        <f t="shared" si="3"/>
        <v>81</v>
      </c>
      <c r="Q229" s="399">
        <f t="shared" si="4"/>
        <v>1.8223132128956782E-4</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4</v>
      </c>
      <c r="O230" s="399">
        <f t="shared" si="2"/>
        <v>1.0584810796507012E-3</v>
      </c>
      <c r="P230" s="337">
        <f t="shared" si="3"/>
        <v>336</v>
      </c>
      <c r="Q230" s="399">
        <f t="shared" si="4"/>
        <v>7.5592251794191095E-4</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8</v>
      </c>
      <c r="O231" s="561">
        <f t="shared" si="2"/>
        <v>2.1169621593014024E-3</v>
      </c>
      <c r="P231" s="562">
        <f t="shared" si="3"/>
        <v>897</v>
      </c>
      <c r="Q231" s="561">
        <f t="shared" si="4"/>
        <v>2.0180431505770658E-3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3779</v>
      </c>
      <c r="O233" s="399">
        <f>SUM(O224:O232)</f>
        <v>1</v>
      </c>
      <c r="P233" s="337">
        <f>SUM(P224:P232)</f>
        <v>444490</v>
      </c>
      <c r="Q233" s="399">
        <f>SUM(Q224:Q232)</f>
        <v>0.99999999999999989</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564" t="s">
        <v>236</v>
      </c>
      <c r="C235" s="566"/>
      <c r="D235" s="566"/>
      <c r="E235" s="566"/>
      <c r="F235" s="571"/>
      <c r="G235" s="566"/>
      <c r="H235" s="566"/>
      <c r="I235" s="566"/>
      <c r="J235" s="566"/>
      <c r="K235" s="566"/>
      <c r="L235" s="566"/>
      <c r="M235" s="566"/>
      <c r="N235" s="571" t="s">
        <v>113</v>
      </c>
      <c r="O235" s="566" t="s">
        <v>114</v>
      </c>
      <c r="P235" s="571" t="s">
        <v>123</v>
      </c>
      <c r="Q235" s="566" t="s">
        <v>114</v>
      </c>
      <c r="R235" s="216"/>
      <c r="S235" s="564"/>
      <c r="T235" s="5"/>
    </row>
    <row r="236" spans="1:21" s="256" customFormat="1" ht="15.6" x14ac:dyDescent="0.3">
      <c r="A236" s="251"/>
      <c r="B236" s="259" t="s">
        <v>99</v>
      </c>
      <c r="C236" s="279"/>
      <c r="D236" s="279"/>
      <c r="E236" s="279"/>
      <c r="F236" s="252"/>
      <c r="G236" s="279"/>
      <c r="H236" s="279"/>
      <c r="I236" s="279"/>
      <c r="J236" s="279"/>
      <c r="K236" s="279"/>
      <c r="L236" s="279"/>
      <c r="M236" s="279"/>
      <c r="N236" s="259">
        <v>3648</v>
      </c>
      <c r="O236" s="280">
        <f t="shared" ref="O236:O243" si="5">N236/$N$245</f>
        <v>0.98995929443690633</v>
      </c>
      <c r="P236" s="269">
        <v>423404</v>
      </c>
      <c r="Q236" s="280">
        <f t="shared" ref="Q236:Q243" si="6">P236/$P$245</f>
        <v>0.98303502812790944</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25</v>
      </c>
      <c r="O237" s="399">
        <f t="shared" si="5"/>
        <v>6.7842605156037995E-3</v>
      </c>
      <c r="P237" s="337">
        <v>6623</v>
      </c>
      <c r="Q237" s="399">
        <f t="shared" si="6"/>
        <v>1.5376900055953992E-2</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3</v>
      </c>
      <c r="O238" s="399">
        <f t="shared" si="5"/>
        <v>8.1411126187245586E-4</v>
      </c>
      <c r="P238" s="337">
        <v>213</v>
      </c>
      <c r="Q238" s="399">
        <f t="shared" si="6"/>
        <v>4.9453113572674016E-4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5</v>
      </c>
      <c r="O239" s="399">
        <f t="shared" si="5"/>
        <v>1.3568521031207597E-3</v>
      </c>
      <c r="P239" s="337">
        <v>187</v>
      </c>
      <c r="Q239" s="399">
        <f t="shared" si="6"/>
        <v>4.3416583277418037E-4</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1</v>
      </c>
      <c r="O240" s="399">
        <f t="shared" si="5"/>
        <v>2.7137042062415199E-4</v>
      </c>
      <c r="P240" s="337">
        <v>45</v>
      </c>
      <c r="Q240" s="399">
        <f t="shared" si="6"/>
        <v>1.0447840895635356E-4</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2</v>
      </c>
      <c r="O242" s="399">
        <f t="shared" si="5"/>
        <v>5.4274084124830398E-4</v>
      </c>
      <c r="P242" s="337">
        <v>49</v>
      </c>
      <c r="Q242" s="399">
        <f t="shared" si="6"/>
        <v>1.1376537864136278E-4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1</v>
      </c>
      <c r="O243" s="399">
        <f t="shared" si="5"/>
        <v>2.7137042062415199E-4</v>
      </c>
      <c r="P243" s="337">
        <v>190</v>
      </c>
      <c r="Q243" s="399">
        <f t="shared" si="6"/>
        <v>4.4113106003793728E-4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3685</v>
      </c>
      <c r="O245" s="399">
        <f>SUM(O236:O244)</f>
        <v>1</v>
      </c>
      <c r="P245" s="337">
        <f>SUM(P236:P244)</f>
        <v>430711</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564" t="s">
        <v>241</v>
      </c>
      <c r="C247" s="566"/>
      <c r="D247" s="566"/>
      <c r="E247" s="566"/>
      <c r="F247" s="571"/>
      <c r="G247" s="566"/>
      <c r="H247" s="566"/>
      <c r="I247" s="566"/>
      <c r="J247" s="566"/>
      <c r="K247" s="566"/>
      <c r="L247" s="566"/>
      <c r="M247" s="566"/>
      <c r="N247" s="571" t="s">
        <v>113</v>
      </c>
      <c r="O247" s="566" t="s">
        <v>114</v>
      </c>
      <c r="P247" s="571" t="s">
        <v>123</v>
      </c>
      <c r="Q247" s="566"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68</v>
      </c>
      <c r="O248" s="280">
        <f t="shared" ref="O248:O255" si="7">N248/$N$257</f>
        <v>0.73913043478260865</v>
      </c>
      <c r="P248" s="269">
        <v>10562</v>
      </c>
      <c r="Q248" s="280">
        <f t="shared" ref="Q248:Q255" si="8">P248/$P$257</f>
        <v>0.77576202717590892</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6</v>
      </c>
      <c r="O249" s="399">
        <f t="shared" si="7"/>
        <v>6.5217391304347824E-2</v>
      </c>
      <c r="P249" s="337">
        <v>795</v>
      </c>
      <c r="Q249" s="399">
        <f t="shared" si="8"/>
        <v>5.8391479985310323E-2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7</v>
      </c>
      <c r="O250" s="399">
        <f t="shared" si="7"/>
        <v>7.6086956521739135E-2</v>
      </c>
      <c r="P250" s="337">
        <v>815</v>
      </c>
      <c r="Q250" s="399">
        <f t="shared" si="8"/>
        <v>5.9860448035255233E-2</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2</v>
      </c>
      <c r="O251" s="399">
        <f t="shared" si="7"/>
        <v>2.1739130434782608E-2</v>
      </c>
      <c r="P251" s="337">
        <v>230</v>
      </c>
      <c r="Q251" s="399">
        <f t="shared" si="8"/>
        <v>1.6893132574366507E-2</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1</v>
      </c>
      <c r="O252" s="399">
        <f t="shared" si="7"/>
        <v>1.0869565217391304E-2</v>
      </c>
      <c r="P252" s="337">
        <v>302</v>
      </c>
      <c r="Q252" s="399">
        <f t="shared" si="8"/>
        <v>2.2181417554168196E-2</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1</v>
      </c>
      <c r="O253" s="399">
        <f t="shared" si="7"/>
        <v>1.0869565217391304E-2</v>
      </c>
      <c r="P253" s="337">
        <v>81</v>
      </c>
      <c r="Q253" s="399">
        <f t="shared" si="8"/>
        <v>5.9493206022769004E-3</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2</v>
      </c>
      <c r="O254" s="399">
        <f t="shared" si="7"/>
        <v>2.1739130434782608E-2</v>
      </c>
      <c r="P254" s="337">
        <v>287</v>
      </c>
      <c r="Q254" s="399">
        <f t="shared" si="8"/>
        <v>2.1079691516709513E-2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5</v>
      </c>
      <c r="O255" s="399">
        <f t="shared" si="7"/>
        <v>5.434782608695652E-2</v>
      </c>
      <c r="P255" s="337">
        <v>543</v>
      </c>
      <c r="Q255" s="399">
        <f t="shared" si="8"/>
        <v>3.9882482556004406E-2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92</v>
      </c>
      <c r="O257" s="399">
        <f>SUM(O248:O256)</f>
        <v>1</v>
      </c>
      <c r="P257" s="337">
        <f>SUM(P248:P256)</f>
        <v>13615</v>
      </c>
      <c r="Q257" s="399">
        <f>SUM(Q248:Q256)</f>
        <v>1.0000000000000002</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564" t="s">
        <v>239</v>
      </c>
      <c r="C259" s="236"/>
      <c r="D259" s="236"/>
      <c r="E259" s="236"/>
      <c r="F259" s="236"/>
      <c r="G259" s="236"/>
      <c r="H259" s="237"/>
      <c r="I259" s="237"/>
      <c r="J259" s="237"/>
      <c r="K259" s="237"/>
      <c r="L259" s="237"/>
      <c r="M259" s="237"/>
      <c r="N259" s="571" t="s">
        <v>113</v>
      </c>
      <c r="O259" s="566" t="s">
        <v>114</v>
      </c>
      <c r="P259" s="571" t="s">
        <v>123</v>
      </c>
      <c r="Q259" s="566"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f t="shared" ref="O260:O267" si="9">N260/$N$269</f>
        <v>0</v>
      </c>
      <c r="P260" s="269">
        <v>0</v>
      </c>
      <c r="Q260" s="280">
        <f t="shared" ref="Q260:Q267" si="10">P260/$P$269</f>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f t="shared" si="9"/>
        <v>0</v>
      </c>
      <c r="P261" s="337">
        <v>0</v>
      </c>
      <c r="Q261" s="399">
        <f t="shared" si="10"/>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f t="shared" si="9"/>
        <v>0</v>
      </c>
      <c r="P262" s="337">
        <v>0</v>
      </c>
      <c r="Q262" s="399">
        <f t="shared" si="10"/>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f t="shared" si="9"/>
        <v>0</v>
      </c>
      <c r="P264" s="337">
        <v>0</v>
      </c>
      <c r="Q264" s="399">
        <f t="shared" si="10"/>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2</v>
      </c>
      <c r="O267" s="399">
        <f t="shared" si="9"/>
        <v>1</v>
      </c>
      <c r="P267" s="337">
        <v>164</v>
      </c>
      <c r="Q267" s="399">
        <f t="shared" si="10"/>
        <v>1</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2</v>
      </c>
      <c r="O269" s="399">
        <f>SUM(O260:O267)</f>
        <v>1</v>
      </c>
      <c r="P269" s="337">
        <f>SUM(P260:P267)</f>
        <v>164</v>
      </c>
      <c r="Q269" s="399">
        <f>SUM(Q260:Q267)</f>
        <v>1</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572" t="s">
        <v>240</v>
      </c>
      <c r="C271" s="335"/>
      <c r="D271" s="335"/>
      <c r="E271" s="335"/>
      <c r="F271" s="335"/>
      <c r="G271" s="335"/>
      <c r="H271" s="400"/>
      <c r="I271" s="400"/>
      <c r="J271" s="400"/>
      <c r="K271" s="400"/>
      <c r="L271" s="400"/>
      <c r="M271" s="400"/>
      <c r="N271" s="573">
        <f>+N245+N257+N269</f>
        <v>3779</v>
      </c>
      <c r="O271" s="399"/>
      <c r="P271" s="407">
        <f>+P269+P257+P245</f>
        <v>444490</v>
      </c>
      <c r="Q271" s="399"/>
      <c r="R271" s="335"/>
      <c r="S271" s="338"/>
      <c r="T271" s="255"/>
    </row>
    <row r="272" spans="1:20" s="256" customFormat="1" ht="15.6" x14ac:dyDescent="0.3">
      <c r="A272" s="261"/>
      <c r="B272" s="57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JUNE 2012</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hyperlinks>
    <hyperlink ref="J221" r:id="rId1"/>
    <hyperlink ref="J9" r:id="rId2"/>
  </hyperlinks>
  <printOptions horizontalCentered="1" verticalCentered="1"/>
  <pageMargins left="0.19685039370078741" right="0.19685039370078741" top="0.27559055118110237" bottom="0.27559055118110237" header="0" footer="0"/>
  <pageSetup scale="45" orientation="landscape" r:id="rId3"/>
  <headerFooter alignWithMargins="0"/>
  <rowBreaks count="3" manualBreakCount="3">
    <brk id="62" max="19" man="1"/>
    <brk id="131" max="14" man="1"/>
    <brk id="188"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0.87860000000000005</v>
      </c>
      <c r="P16" s="247" t="s">
        <v>161</v>
      </c>
      <c r="Q16" s="246">
        <v>0.12139999999999999</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41201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174928.236</v>
      </c>
      <c r="I31" s="301"/>
      <c r="J31" s="302">
        <f>J30*J37</f>
        <v>259811.44560000001</v>
      </c>
      <c r="K31" s="301"/>
      <c r="L31" s="303">
        <f>L30*L37</f>
        <v>57783.608999999997</v>
      </c>
      <c r="M31" s="301"/>
      <c r="N31" s="302">
        <f>N30*N37</f>
        <v>44448.93</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173732.758</v>
      </c>
      <c r="I32" s="306"/>
      <c r="J32" s="308">
        <f>J36*J30</f>
        <v>258035.86679999999</v>
      </c>
      <c r="K32" s="307"/>
      <c r="L32" s="307">
        <f>L36*L30</f>
        <v>57388.707999999999</v>
      </c>
      <c r="M32" s="307"/>
      <c r="N32" s="308">
        <f>N36*N30</f>
        <v>44145.16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174928.236</v>
      </c>
      <c r="I34" s="301"/>
      <c r="J34" s="301">
        <f>J33*J37</f>
        <v>180663.58800000002</v>
      </c>
      <c r="K34" s="301"/>
      <c r="L34" s="301">
        <f>L33*L37</f>
        <v>57783.608999999997</v>
      </c>
      <c r="M34" s="301"/>
      <c r="N34" s="301">
        <f>N33*N37</f>
        <v>31114.250999999997</v>
      </c>
      <c r="O34" s="301"/>
      <c r="P34" s="301"/>
      <c r="Q34" s="304"/>
      <c r="R34" s="301">
        <f>SUM(C34:N34)</f>
        <v>444489.68400000001</v>
      </c>
      <c r="S34" s="305"/>
      <c r="T34" s="255"/>
    </row>
    <row r="35" spans="1:20" s="256" customFormat="1" ht="15.6" x14ac:dyDescent="0.3">
      <c r="A35" s="296"/>
      <c r="B35" s="297" t="s">
        <v>287</v>
      </c>
      <c r="C35" s="306"/>
      <c r="D35" s="307">
        <f>D36*D33</f>
        <v>0</v>
      </c>
      <c r="E35" s="306"/>
      <c r="F35" s="307">
        <f>F36*F33</f>
        <v>0</v>
      </c>
      <c r="G35" s="307"/>
      <c r="H35" s="307">
        <f>H36*H33</f>
        <v>173732.758</v>
      </c>
      <c r="I35" s="306"/>
      <c r="J35" s="307">
        <f>J36*J33</f>
        <v>179428.91399999999</v>
      </c>
      <c r="K35" s="307"/>
      <c r="L35" s="307">
        <f>L36*L33</f>
        <v>57388.707999999999</v>
      </c>
      <c r="M35" s="307"/>
      <c r="N35" s="307">
        <f>N36*N33</f>
        <v>30901.612000000001</v>
      </c>
      <c r="O35" s="307"/>
      <c r="P35" s="307"/>
      <c r="Q35" s="309"/>
      <c r="R35" s="307">
        <f>SUM(C35:N35)</f>
        <v>441451.99200000003</v>
      </c>
      <c r="S35" s="305"/>
      <c r="T35" s="255"/>
    </row>
    <row r="36" spans="1:20" ht="15.6" x14ac:dyDescent="0.3">
      <c r="A36" s="310"/>
      <c r="B36" s="311" t="s">
        <v>149</v>
      </c>
      <c r="C36" s="312"/>
      <c r="D36" s="313">
        <v>0</v>
      </c>
      <c r="E36" s="314"/>
      <c r="F36" s="313">
        <v>0</v>
      </c>
      <c r="G36" s="315"/>
      <c r="H36" s="313">
        <v>0.5696156</v>
      </c>
      <c r="I36" s="315"/>
      <c r="J36" s="313">
        <v>0.5696156</v>
      </c>
      <c r="K36" s="315"/>
      <c r="L36" s="313">
        <v>0.8829032</v>
      </c>
      <c r="M36" s="313"/>
      <c r="N36" s="313">
        <v>0.8829032</v>
      </c>
      <c r="O36" s="316"/>
      <c r="P36" s="316"/>
      <c r="Q36" s="317"/>
      <c r="R36" s="316"/>
      <c r="S36" s="318"/>
      <c r="T36" s="5"/>
    </row>
    <row r="37" spans="1:20" ht="15.6" x14ac:dyDescent="0.3">
      <c r="A37" s="310"/>
      <c r="B37" s="311" t="s">
        <v>150</v>
      </c>
      <c r="C37" s="312"/>
      <c r="D37" s="313">
        <v>0</v>
      </c>
      <c r="E37" s="314"/>
      <c r="F37" s="313">
        <v>0</v>
      </c>
      <c r="G37" s="315"/>
      <c r="H37" s="313">
        <v>0.57353520000000002</v>
      </c>
      <c r="I37" s="315"/>
      <c r="J37" s="313">
        <v>0.57353520000000002</v>
      </c>
      <c r="K37" s="315"/>
      <c r="L37" s="313">
        <v>0.88897859999999995</v>
      </c>
      <c r="M37" s="315"/>
      <c r="N37" s="313">
        <v>0.88897859999999995</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1.20838E-2</v>
      </c>
      <c r="I39" s="321"/>
      <c r="J39" s="320">
        <v>8.5699999999999995E-3</v>
      </c>
      <c r="K39" s="321"/>
      <c r="L39" s="320">
        <v>2.1283799999999999E-2</v>
      </c>
      <c r="M39" s="321"/>
      <c r="N39" s="320">
        <v>1.6969999999999999E-2</v>
      </c>
      <c r="O39" s="321"/>
      <c r="P39" s="320"/>
      <c r="Q39" s="294"/>
      <c r="R39" s="321"/>
      <c r="S39" s="295"/>
      <c r="T39" s="255"/>
    </row>
    <row r="40" spans="1:20" s="256" customFormat="1" ht="15.6" x14ac:dyDescent="0.3">
      <c r="A40" s="291"/>
      <c r="B40" s="292" t="s">
        <v>14</v>
      </c>
      <c r="C40" s="292"/>
      <c r="D40" s="320">
        <v>0</v>
      </c>
      <c r="E40" s="292"/>
      <c r="F40" s="320">
        <v>0</v>
      </c>
      <c r="G40" s="321"/>
      <c r="H40" s="320">
        <v>1.3975E-2</v>
      </c>
      <c r="I40" s="321"/>
      <c r="J40" s="320">
        <v>1.1169999999999999E-2</v>
      </c>
      <c r="K40" s="321"/>
      <c r="L40" s="320">
        <v>2.3175000000000001E-2</v>
      </c>
      <c r="M40" s="321"/>
      <c r="N40" s="320">
        <v>1.9570000000000001E-2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1.20838E-2</v>
      </c>
      <c r="I42" s="321"/>
      <c r="J42" s="320">
        <v>1.28798E-2</v>
      </c>
      <c r="K42" s="321"/>
      <c r="L42" s="320">
        <f>+L39</f>
        <v>2.1283799999999999E-2</v>
      </c>
      <c r="M42" s="321"/>
      <c r="N42" s="320">
        <v>2.20378E-2</v>
      </c>
      <c r="O42" s="321"/>
      <c r="P42" s="320"/>
      <c r="Q42" s="294"/>
      <c r="R42" s="321">
        <f>SUMPRODUCT(D42:N42,D34:N34)/R34</f>
        <v>1.4300113918552047E-2</v>
      </c>
      <c r="S42" s="295"/>
      <c r="T42" s="255"/>
    </row>
    <row r="43" spans="1:20" s="256" customFormat="1" ht="15.6" x14ac:dyDescent="0.3">
      <c r="A43" s="291"/>
      <c r="B43" s="292" t="s">
        <v>290</v>
      </c>
      <c r="C43" s="292"/>
      <c r="D43" s="320">
        <f>+D40</f>
        <v>0</v>
      </c>
      <c r="E43" s="292"/>
      <c r="F43" s="320">
        <v>0</v>
      </c>
      <c r="G43" s="321"/>
      <c r="H43" s="320">
        <f>+H40</f>
        <v>1.3975E-2</v>
      </c>
      <c r="I43" s="321"/>
      <c r="J43" s="320">
        <v>1.4770999999999999E-2</v>
      </c>
      <c r="K43" s="321"/>
      <c r="L43" s="320">
        <f>+L40</f>
        <v>2.3175000000000001E-2</v>
      </c>
      <c r="M43" s="321"/>
      <c r="N43" s="320">
        <v>2.3928999999999999E-2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0.24999972250669378</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41197</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41015</v>
      </c>
      <c r="Q55" s="331"/>
      <c r="R55" s="330">
        <v>41105</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41106</v>
      </c>
      <c r="Q56" s="331"/>
      <c r="R56" s="330">
        <v>41196</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41183</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313</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444490</v>
      </c>
      <c r="K66" s="336"/>
      <c r="L66" s="336">
        <f>3038+205+8</f>
        <v>3251</v>
      </c>
      <c r="M66" s="336"/>
      <c r="N66" s="336">
        <v>213</v>
      </c>
      <c r="O66" s="336"/>
      <c r="P66" s="336">
        <v>0</v>
      </c>
      <c r="Q66" s="336"/>
      <c r="R66" s="337">
        <f>+J66-L66+N66-P66</f>
        <v>441452</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444490</v>
      </c>
      <c r="K69" s="336"/>
      <c r="L69" s="336">
        <f>SUM(L66:L68)</f>
        <v>3251</v>
      </c>
      <c r="M69" s="336"/>
      <c r="N69" s="336">
        <f>SUM(N66:N68)</f>
        <v>213</v>
      </c>
      <c r="O69" s="336"/>
      <c r="P69" s="336">
        <f>SUM(P66:P68)</f>
        <v>0</v>
      </c>
      <c r="Q69" s="336"/>
      <c r="R69" s="336">
        <f>SUM(R66:R68)</f>
        <v>441452</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444490</v>
      </c>
      <c r="K82" s="336"/>
      <c r="L82" s="336"/>
      <c r="M82" s="336"/>
      <c r="N82" s="336"/>
      <c r="O82" s="336"/>
      <c r="P82" s="336"/>
      <c r="Q82" s="336"/>
      <c r="R82" s="336">
        <f>SUM(R69:R81)</f>
        <v>441452</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+P189</f>
        <v>41180</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3251-251</f>
        <v>3000</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3693+532-1055-162</f>
        <v>3008</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52+1</f>
        <v>53</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34</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259</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3000</v>
      </c>
      <c r="Q94" s="335"/>
      <c r="R94" s="336">
        <f>SUM(R86:R93)</f>
        <v>3354</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257</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3000</v>
      </c>
      <c r="Q98" s="335"/>
      <c r="R98" s="336">
        <f>R94+R96+R95+R97</f>
        <v>3611</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-112-134-5</f>
        <v>-251</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-121</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-527</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-580</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-307</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-171</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251</v>
      </c>
      <c r="Q112" s="335"/>
      <c r="R112" s="337">
        <v>-251</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-228</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-1164</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-60</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-153</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-1195</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-1235</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-395</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-213</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-3251</v>
      </c>
      <c r="Q127" s="336"/>
      <c r="R127" s="336">
        <f>SUM(R99:R126)</f>
        <v>-3611</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SEPTEMBER 2012</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56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251</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251</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-251</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v>0</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441452</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441452</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+'June 12'!O176</f>
        <v>88791</v>
      </c>
      <c r="P174" s="337">
        <f>+'June 12'!P176</f>
        <v>8401</v>
      </c>
      <c r="Q174" s="335"/>
      <c r="R174" s="337">
        <f>O174+P174</f>
        <v>97192</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v>153</v>
      </c>
      <c r="P175" s="336">
        <f>-P95-P119</f>
        <v>60</v>
      </c>
      <c r="Q175" s="335"/>
      <c r="R175" s="337">
        <f>O175+P175</f>
        <v>213</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88944</v>
      </c>
      <c r="P176" s="337">
        <f>P175+P174</f>
        <v>8461</v>
      </c>
      <c r="Q176" s="335"/>
      <c r="R176" s="337">
        <f>O176+P176</f>
        <v>97405</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62595</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2.9232158988256551</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1.53</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4.4539748953974891</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2.83</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SEPTEMBER 2012</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568" t="s">
        <v>78</v>
      </c>
      <c r="C189" s="569"/>
      <c r="D189" s="569"/>
      <c r="E189" s="569"/>
      <c r="F189" s="569"/>
      <c r="G189" s="570"/>
      <c r="H189" s="570"/>
      <c r="I189" s="570"/>
      <c r="J189" s="570"/>
      <c r="K189" s="570"/>
      <c r="L189" s="570"/>
      <c r="M189" s="570"/>
      <c r="N189" s="570"/>
      <c r="O189" s="570"/>
      <c r="P189" s="570">
        <v>41180</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2.648E-2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1.4300113918552047E-2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1.2179886081447953E-2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8.123917298476906E-3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13.34</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7.3140003149677162E-3</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0.1139</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564" t="s">
        <v>87</v>
      </c>
      <c r="C205" s="566"/>
      <c r="D205" s="566"/>
      <c r="E205" s="566"/>
      <c r="F205" s="571"/>
      <c r="G205" s="566"/>
      <c r="H205" s="566"/>
      <c r="I205" s="566"/>
      <c r="J205" s="566"/>
      <c r="K205" s="566"/>
      <c r="L205" s="566"/>
      <c r="M205" s="566"/>
      <c r="N205" s="566"/>
      <c r="O205" s="566" t="s">
        <v>113</v>
      </c>
      <c r="P205" s="571"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1</v>
      </c>
      <c r="P206" s="277">
        <v>98</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89</v>
      </c>
      <c r="P207" s="371">
        <f>+P257</f>
        <v>13053</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0</v>
      </c>
      <c r="P208" s="371">
        <f>+P269</f>
        <v>0</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35" t="s">
        <v>93</v>
      </c>
      <c r="C212" s="335"/>
      <c r="D212" s="335"/>
      <c r="E212" s="335"/>
      <c r="F212" s="335"/>
      <c r="G212" s="335"/>
      <c r="H212" s="335"/>
      <c r="I212" s="335"/>
      <c r="J212" s="335"/>
      <c r="K212" s="335"/>
      <c r="L212" s="335"/>
      <c r="M212" s="335"/>
      <c r="N212" s="335"/>
      <c r="O212" s="369"/>
      <c r="P212" s="371">
        <f>R159</f>
        <v>251</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'June 12'!P213+P212</f>
        <v>3779</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2</v>
      </c>
      <c r="P215" s="371">
        <v>164</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17.16</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4.53</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4</v>
      </c>
      <c r="P219" s="371">
        <v>408</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0.98</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564" t="s">
        <v>298</v>
      </c>
      <c r="C223" s="566"/>
      <c r="D223" s="566"/>
      <c r="E223" s="566"/>
      <c r="F223" s="571"/>
      <c r="G223" s="566"/>
      <c r="H223" s="566"/>
      <c r="I223" s="566"/>
      <c r="J223" s="566"/>
      <c r="K223" s="566"/>
      <c r="L223" s="566"/>
      <c r="M223" s="566"/>
      <c r="N223" s="571" t="s">
        <v>113</v>
      </c>
      <c r="O223" s="566" t="s">
        <v>114</v>
      </c>
      <c r="P223" s="571" t="s">
        <v>123</v>
      </c>
      <c r="Q223" s="566" t="s">
        <v>114</v>
      </c>
      <c r="R223" s="216"/>
      <c r="S223" s="564"/>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3691</v>
      </c>
      <c r="O224" s="280">
        <f t="shared" ref="O224:O231" si="2">N224/$N$233</f>
        <v>0.98479188900747061</v>
      </c>
      <c r="P224" s="269">
        <f t="shared" ref="P224:P231" si="3">+P236+P248+P260</f>
        <v>433390</v>
      </c>
      <c r="Q224" s="280">
        <f t="shared" ref="Q224:Q231" si="4">P224/$P$233</f>
        <v>0.98173753884907078</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33</v>
      </c>
      <c r="O225" s="399">
        <f t="shared" si="2"/>
        <v>8.8046958377801486E-3</v>
      </c>
      <c r="P225" s="337">
        <f t="shared" si="3"/>
        <v>5454</v>
      </c>
      <c r="Q225" s="399">
        <f t="shared" si="4"/>
        <v>1.2354684087964264E-2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6</v>
      </c>
      <c r="O226" s="399">
        <f t="shared" si="2"/>
        <v>1.6008537886872999E-3</v>
      </c>
      <c r="P226" s="337">
        <f t="shared" si="3"/>
        <v>691</v>
      </c>
      <c r="Q226" s="399">
        <f t="shared" si="4"/>
        <v>1.5652890914527513E-3</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1</v>
      </c>
      <c r="O227" s="399">
        <f t="shared" si="2"/>
        <v>2.6680896478121667E-4</v>
      </c>
      <c r="P227" s="337">
        <f t="shared" si="3"/>
        <v>217</v>
      </c>
      <c r="Q227" s="399">
        <f t="shared" si="4"/>
        <v>4.9155967126663822E-4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5</v>
      </c>
      <c r="O228" s="399">
        <f t="shared" si="2"/>
        <v>1.3340448239060833E-3</v>
      </c>
      <c r="P228" s="337">
        <f t="shared" si="3"/>
        <v>284</v>
      </c>
      <c r="Q228" s="399">
        <f t="shared" si="4"/>
        <v>6.4333155133513946E-4</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2</v>
      </c>
      <c r="O229" s="399">
        <f t="shared" si="2"/>
        <v>5.3361792956243333E-4</v>
      </c>
      <c r="P229" s="337">
        <f t="shared" si="3"/>
        <v>236</v>
      </c>
      <c r="Q229" s="399">
        <f t="shared" si="4"/>
        <v>5.3459945815173559E-4</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5</v>
      </c>
      <c r="O230" s="399">
        <f t="shared" si="2"/>
        <v>1.3340448239060833E-3</v>
      </c>
      <c r="P230" s="337">
        <f t="shared" si="3"/>
        <v>554</v>
      </c>
      <c r="Q230" s="399">
        <f t="shared" si="4"/>
        <v>1.2549495754917862E-3</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5</v>
      </c>
      <c r="O231" s="561">
        <f t="shared" si="2"/>
        <v>1.3340448239060833E-3</v>
      </c>
      <c r="P231" s="562">
        <f t="shared" si="3"/>
        <v>626</v>
      </c>
      <c r="Q231" s="561">
        <f t="shared" si="4"/>
        <v>1.4180477152668919E-3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3748</v>
      </c>
      <c r="O233" s="399">
        <f>SUM(O224:O232)</f>
        <v>1</v>
      </c>
      <c r="P233" s="337">
        <f>SUM(P224:P232)</f>
        <v>441452</v>
      </c>
      <c r="Q233" s="399">
        <f>SUM(Q224:Q232)</f>
        <v>0.99999999999999989</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564" t="s">
        <v>236</v>
      </c>
      <c r="C235" s="566"/>
      <c r="D235" s="566"/>
      <c r="E235" s="566"/>
      <c r="F235" s="571"/>
      <c r="G235" s="566"/>
      <c r="H235" s="566"/>
      <c r="I235" s="566"/>
      <c r="J235" s="566"/>
      <c r="K235" s="566"/>
      <c r="L235" s="566"/>
      <c r="M235" s="566"/>
      <c r="N235" s="571" t="s">
        <v>113</v>
      </c>
      <c r="O235" s="566" t="s">
        <v>114</v>
      </c>
      <c r="P235" s="571" t="s">
        <v>123</v>
      </c>
      <c r="Q235" s="566" t="s">
        <v>114</v>
      </c>
      <c r="R235" s="216"/>
      <c r="S235" s="564"/>
      <c r="T235" s="5"/>
    </row>
    <row r="236" spans="1:21" s="256" customFormat="1" ht="15.6" x14ac:dyDescent="0.3">
      <c r="A236" s="251"/>
      <c r="B236" s="259" t="s">
        <v>99</v>
      </c>
      <c r="C236" s="279"/>
      <c r="D236" s="279"/>
      <c r="E236" s="279"/>
      <c r="F236" s="252"/>
      <c r="G236" s="279"/>
      <c r="H236" s="279"/>
      <c r="I236" s="279"/>
      <c r="J236" s="279"/>
      <c r="K236" s="279"/>
      <c r="L236" s="279"/>
      <c r="M236" s="279"/>
      <c r="N236" s="259">
        <v>3622</v>
      </c>
      <c r="O236" s="280">
        <f t="shared" ref="O236:O243" si="5">N236/$N$245</f>
        <v>0.98988794752664666</v>
      </c>
      <c r="P236" s="269">
        <v>422909</v>
      </c>
      <c r="Q236" s="280">
        <f t="shared" ref="Q236:Q243" si="6">P236/$P$245</f>
        <v>0.9871848440355836</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28</v>
      </c>
      <c r="O237" s="399">
        <f t="shared" si="5"/>
        <v>7.6523640338890409E-3</v>
      </c>
      <c r="P237" s="337">
        <v>5021</v>
      </c>
      <c r="Q237" s="399">
        <f t="shared" si="6"/>
        <v>1.1720382167091894E-2</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1</v>
      </c>
      <c r="O238" s="399">
        <f t="shared" si="5"/>
        <v>2.7329871549603714E-4</v>
      </c>
      <c r="P238" s="337">
        <v>51</v>
      </c>
      <c r="Q238" s="399">
        <f t="shared" si="6"/>
        <v>1.1904789693720107E-4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0</v>
      </c>
      <c r="O239" s="399">
        <f t="shared" si="5"/>
        <v>0</v>
      </c>
      <c r="P239" s="337">
        <v>0</v>
      </c>
      <c r="Q239" s="399">
        <f t="shared" si="6"/>
        <v>0</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4</v>
      </c>
      <c r="O240" s="399">
        <f t="shared" si="5"/>
        <v>1.0931948619841486E-3</v>
      </c>
      <c r="P240" s="337">
        <v>140</v>
      </c>
      <c r="Q240" s="399">
        <f t="shared" si="6"/>
        <v>3.2679814845506177E-4</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1</v>
      </c>
      <c r="O241" s="399">
        <f t="shared" si="5"/>
        <v>2.7329871549603714E-4</v>
      </c>
      <c r="P241" s="337">
        <v>23</v>
      </c>
      <c r="Q241" s="399">
        <f t="shared" si="6"/>
        <v>5.3688267246188719E-5</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2</v>
      </c>
      <c r="O242" s="399">
        <f t="shared" si="5"/>
        <v>5.4659743099207429E-4</v>
      </c>
      <c r="P242" s="337">
        <v>65</v>
      </c>
      <c r="Q242" s="399">
        <f t="shared" si="6"/>
        <v>1.5172771178270723E-4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1</v>
      </c>
      <c r="O243" s="399">
        <f t="shared" si="5"/>
        <v>2.7329871549603714E-4</v>
      </c>
      <c r="P243" s="337">
        <v>190</v>
      </c>
      <c r="Q243" s="399">
        <f t="shared" si="6"/>
        <v>4.4351177290329811E-4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3659</v>
      </c>
      <c r="O245" s="399">
        <f>SUM(O236:O244)</f>
        <v>1</v>
      </c>
      <c r="P245" s="337">
        <f>SUM(P236:P244)</f>
        <v>428399</v>
      </c>
      <c r="Q245" s="399">
        <f>SUM(Q236:Q244)</f>
        <v>0.99999999999999989</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564" t="s">
        <v>241</v>
      </c>
      <c r="C247" s="566"/>
      <c r="D247" s="566"/>
      <c r="E247" s="566"/>
      <c r="F247" s="571"/>
      <c r="G247" s="566"/>
      <c r="H247" s="566"/>
      <c r="I247" s="566"/>
      <c r="J247" s="566"/>
      <c r="K247" s="566"/>
      <c r="L247" s="566"/>
      <c r="M247" s="566"/>
      <c r="N247" s="571" t="s">
        <v>113</v>
      </c>
      <c r="O247" s="566" t="s">
        <v>114</v>
      </c>
      <c r="P247" s="571" t="s">
        <v>123</v>
      </c>
      <c r="Q247" s="566"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69</v>
      </c>
      <c r="O248" s="280">
        <f t="shared" ref="O248:O255" si="7">N248/$N$257</f>
        <v>0.7752808988764045</v>
      </c>
      <c r="P248" s="269">
        <v>10481</v>
      </c>
      <c r="Q248" s="280">
        <f t="shared" ref="Q248:Q255" si="8">P248/$P$257</f>
        <v>0.80295717459587834</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5</v>
      </c>
      <c r="O249" s="399">
        <f t="shared" si="7"/>
        <v>5.6179775280898875E-2</v>
      </c>
      <c r="P249" s="337">
        <v>433</v>
      </c>
      <c r="Q249" s="399">
        <f t="shared" si="8"/>
        <v>3.3172450777599019E-2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5</v>
      </c>
      <c r="O250" s="399">
        <f t="shared" si="7"/>
        <v>5.6179775280898875E-2</v>
      </c>
      <c r="P250" s="337">
        <v>640</v>
      </c>
      <c r="Q250" s="399">
        <f t="shared" si="8"/>
        <v>4.9030874128552823E-2</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1</v>
      </c>
      <c r="O251" s="399">
        <f t="shared" si="7"/>
        <v>1.1235955056179775E-2</v>
      </c>
      <c r="P251" s="337">
        <v>217</v>
      </c>
      <c r="Q251" s="399">
        <f t="shared" si="8"/>
        <v>1.6624530759212441E-2</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1</v>
      </c>
      <c r="O252" s="399">
        <f t="shared" si="7"/>
        <v>1.1235955056179775E-2</v>
      </c>
      <c r="P252" s="337">
        <v>144</v>
      </c>
      <c r="Q252" s="399">
        <f t="shared" si="8"/>
        <v>1.1031946678924385E-2</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1</v>
      </c>
      <c r="O253" s="399">
        <f t="shared" si="7"/>
        <v>1.1235955056179775E-2</v>
      </c>
      <c r="P253" s="337">
        <v>213</v>
      </c>
      <c r="Q253" s="399">
        <f t="shared" si="8"/>
        <v>1.6318087795908987E-2</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3</v>
      </c>
      <c r="O254" s="399">
        <f t="shared" si="7"/>
        <v>3.3707865168539325E-2</v>
      </c>
      <c r="P254" s="337">
        <v>489</v>
      </c>
      <c r="Q254" s="399">
        <f t="shared" si="8"/>
        <v>3.7462652263847394E-2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4</v>
      </c>
      <c r="O255" s="399">
        <f t="shared" si="7"/>
        <v>4.49438202247191E-2</v>
      </c>
      <c r="P255" s="337">
        <v>436</v>
      </c>
      <c r="Q255" s="399">
        <f t="shared" si="8"/>
        <v>3.340228300007661E-2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89</v>
      </c>
      <c r="O257" s="399">
        <f>SUM(O248:O256)</f>
        <v>1</v>
      </c>
      <c r="P257" s="337">
        <f>SUM(P248:P256)</f>
        <v>13053</v>
      </c>
      <c r="Q257" s="399">
        <f>SUM(Q248:Q256)</f>
        <v>0.99999999999999989</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564" t="s">
        <v>239</v>
      </c>
      <c r="C259" s="236"/>
      <c r="D259" s="236"/>
      <c r="E259" s="236"/>
      <c r="F259" s="236"/>
      <c r="G259" s="236"/>
      <c r="H259" s="237"/>
      <c r="I259" s="237"/>
      <c r="J259" s="237"/>
      <c r="K259" s="237"/>
      <c r="L259" s="237"/>
      <c r="M259" s="237"/>
      <c r="N259" s="571" t="s">
        <v>113</v>
      </c>
      <c r="O259" s="566" t="s">
        <v>114</v>
      </c>
      <c r="P259" s="571" t="s">
        <v>123</v>
      </c>
      <c r="Q259" s="566"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v>0</v>
      </c>
      <c r="P260" s="269">
        <v>0</v>
      </c>
      <c r="Q260" s="280">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v>0</v>
      </c>
      <c r="P261" s="337">
        <v>0</v>
      </c>
      <c r="Q261" s="399">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v>0</v>
      </c>
      <c r="P262" s="337">
        <v>0</v>
      </c>
      <c r="Q262" s="399">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0</v>
      </c>
      <c r="O269" s="399">
        <f>SUM(O260:O267)</f>
        <v>0</v>
      </c>
      <c r="P269" s="337">
        <f>SUM(P260:P267)</f>
        <v>0</v>
      </c>
      <c r="Q269" s="399">
        <f>SUM(Q260:Q267)</f>
        <v>0</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572" t="s">
        <v>240</v>
      </c>
      <c r="C271" s="335"/>
      <c r="D271" s="335"/>
      <c r="E271" s="335"/>
      <c r="F271" s="335"/>
      <c r="G271" s="335"/>
      <c r="H271" s="400"/>
      <c r="I271" s="400"/>
      <c r="J271" s="400"/>
      <c r="K271" s="400"/>
      <c r="L271" s="400"/>
      <c r="M271" s="400"/>
      <c r="N271" s="573">
        <f>+N245+N257+N269</f>
        <v>3748</v>
      </c>
      <c r="O271" s="399"/>
      <c r="P271" s="407">
        <f>+P269+P257+P245</f>
        <v>441452</v>
      </c>
      <c r="Q271" s="399"/>
      <c r="R271" s="335"/>
      <c r="S271" s="338"/>
      <c r="T271" s="255"/>
    </row>
    <row r="272" spans="1:20" s="256" customFormat="1" ht="15.6" x14ac:dyDescent="0.3">
      <c r="A272" s="261"/>
      <c r="B272" s="57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SEPTEMBER 2012</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hyperlinks>
    <hyperlink ref="J221" r:id="rId1"/>
    <hyperlink ref="J9" r:id="rId2"/>
  </hyperlinks>
  <printOptions horizontalCentered="1" verticalCentered="1"/>
  <pageMargins left="0.19685039370078741" right="0.19685039370078741" top="0.27559055118110237" bottom="0.27559055118110237" header="0" footer="0"/>
  <pageSetup scale="45" orientation="landscape" r:id="rId3"/>
  <headerFooter alignWithMargins="0"/>
  <rowBreaks count="3" manualBreakCount="3">
    <brk id="62" max="19" man="1"/>
    <brk id="131" max="14" man="1"/>
    <brk id="188"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0.87909999999999999</v>
      </c>
      <c r="P16" s="247" t="s">
        <v>161</v>
      </c>
      <c r="Q16" s="246">
        <v>0.12089999999999999</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41296</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173732.758</v>
      </c>
      <c r="I31" s="301"/>
      <c r="J31" s="302">
        <f>J30*J37</f>
        <v>258035.86679999999</v>
      </c>
      <c r="K31" s="301"/>
      <c r="L31" s="303">
        <f>L30*L37</f>
        <v>57388.707999999999</v>
      </c>
      <c r="M31" s="301"/>
      <c r="N31" s="302">
        <f>N30*N37</f>
        <v>44145.16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172588.215</v>
      </c>
      <c r="I32" s="306"/>
      <c r="J32" s="308">
        <f>J36*J30</f>
        <v>256335.93900000001</v>
      </c>
      <c r="K32" s="307"/>
      <c r="L32" s="307">
        <f>L36*L30</f>
        <v>57010.616000000002</v>
      </c>
      <c r="M32" s="307"/>
      <c r="N32" s="308">
        <f>N36*N30</f>
        <v>43854.32</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173732.758</v>
      </c>
      <c r="I34" s="301"/>
      <c r="J34" s="301">
        <f>J33*J37</f>
        <v>179428.91399999999</v>
      </c>
      <c r="K34" s="301"/>
      <c r="L34" s="301">
        <f>L33*L37</f>
        <v>57388.707999999999</v>
      </c>
      <c r="M34" s="301"/>
      <c r="N34" s="301">
        <f>N33*N37</f>
        <v>30901.612000000001</v>
      </c>
      <c r="O34" s="301"/>
      <c r="P34" s="301"/>
      <c r="Q34" s="304"/>
      <c r="R34" s="301">
        <f>SUM(C34:N34)</f>
        <v>441451.99200000003</v>
      </c>
      <c r="S34" s="305"/>
      <c r="T34" s="255"/>
    </row>
    <row r="35" spans="1:20" s="256" customFormat="1" ht="15.6" x14ac:dyDescent="0.3">
      <c r="A35" s="296"/>
      <c r="B35" s="297" t="s">
        <v>287</v>
      </c>
      <c r="C35" s="306"/>
      <c r="D35" s="307">
        <f>D36*D33</f>
        <v>0</v>
      </c>
      <c r="E35" s="306"/>
      <c r="F35" s="307">
        <f>F36*F33</f>
        <v>0</v>
      </c>
      <c r="G35" s="307"/>
      <c r="H35" s="307">
        <f>H36*H33</f>
        <v>172588.215</v>
      </c>
      <c r="I35" s="306"/>
      <c r="J35" s="307">
        <f>J36*J33</f>
        <v>178246.845</v>
      </c>
      <c r="K35" s="307"/>
      <c r="L35" s="307">
        <f>L36*L33</f>
        <v>57010.616000000002</v>
      </c>
      <c r="M35" s="307"/>
      <c r="N35" s="307">
        <f>N36*N33</f>
        <v>30698.024000000001</v>
      </c>
      <c r="O35" s="307"/>
      <c r="P35" s="307"/>
      <c r="Q35" s="309"/>
      <c r="R35" s="307">
        <f>SUM(C35:N35)</f>
        <v>438543.69999999995</v>
      </c>
      <c r="S35" s="305"/>
      <c r="T35" s="255"/>
    </row>
    <row r="36" spans="1:20" ht="15.6" x14ac:dyDescent="0.3">
      <c r="A36" s="310"/>
      <c r="B36" s="311" t="s">
        <v>149</v>
      </c>
      <c r="C36" s="312"/>
      <c r="D36" s="313">
        <v>0</v>
      </c>
      <c r="E36" s="314"/>
      <c r="F36" s="313">
        <v>0</v>
      </c>
      <c r="G36" s="315"/>
      <c r="H36" s="313">
        <v>0.565863</v>
      </c>
      <c r="I36" s="315"/>
      <c r="J36" s="313">
        <v>0.565863</v>
      </c>
      <c r="K36" s="315"/>
      <c r="L36" s="313">
        <v>0.87708640000000004</v>
      </c>
      <c r="M36" s="313"/>
      <c r="N36" s="313">
        <v>0.87708640000000004</v>
      </c>
      <c r="O36" s="316"/>
      <c r="P36" s="316"/>
      <c r="Q36" s="317"/>
      <c r="R36" s="316"/>
      <c r="S36" s="318"/>
      <c r="T36" s="5"/>
    </row>
    <row r="37" spans="1:20" ht="15.6" x14ac:dyDescent="0.3">
      <c r="A37" s="310"/>
      <c r="B37" s="311" t="s">
        <v>150</v>
      </c>
      <c r="C37" s="312"/>
      <c r="D37" s="313">
        <v>0</v>
      </c>
      <c r="E37" s="314"/>
      <c r="F37" s="313">
        <v>0</v>
      </c>
      <c r="G37" s="315"/>
      <c r="H37" s="313">
        <v>0.5696156</v>
      </c>
      <c r="I37" s="315"/>
      <c r="J37" s="313">
        <v>0.5696156</v>
      </c>
      <c r="K37" s="315"/>
      <c r="L37" s="313">
        <v>0.8829032</v>
      </c>
      <c r="M37" s="313"/>
      <c r="N37" s="313">
        <v>0.8829032</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9.1874999999999995E-3</v>
      </c>
      <c r="I39" s="321"/>
      <c r="J39" s="320">
        <v>5.7000000000000002E-3</v>
      </c>
      <c r="K39" s="321"/>
      <c r="L39" s="320">
        <v>1.8387500000000001E-2</v>
      </c>
      <c r="M39" s="321"/>
      <c r="N39" s="320">
        <v>1.41E-2</v>
      </c>
      <c r="O39" s="321"/>
      <c r="P39" s="320"/>
      <c r="Q39" s="294"/>
      <c r="R39" s="321"/>
      <c r="S39" s="295"/>
      <c r="T39" s="255"/>
    </row>
    <row r="40" spans="1:20" s="256" customFormat="1" ht="15.6" x14ac:dyDescent="0.3">
      <c r="A40" s="291"/>
      <c r="B40" s="292" t="s">
        <v>14</v>
      </c>
      <c r="C40" s="292"/>
      <c r="D40" s="320">
        <v>0</v>
      </c>
      <c r="E40" s="292"/>
      <c r="F40" s="320">
        <v>0</v>
      </c>
      <c r="G40" s="321"/>
      <c r="H40" s="320">
        <v>1.20838E-2</v>
      </c>
      <c r="I40" s="321"/>
      <c r="J40" s="320">
        <v>8.5699999999999995E-3</v>
      </c>
      <c r="K40" s="321"/>
      <c r="L40" s="320">
        <v>2.1283799999999999E-2</v>
      </c>
      <c r="M40" s="321"/>
      <c r="N40" s="320">
        <v>1.6969999999999999E-2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9.1874999999999995E-3</v>
      </c>
      <c r="I42" s="321"/>
      <c r="J42" s="320">
        <v>9.9834999999999993E-3</v>
      </c>
      <c r="K42" s="321"/>
      <c r="L42" s="320">
        <f>+L39</f>
        <v>1.8387500000000001E-2</v>
      </c>
      <c r="M42" s="321"/>
      <c r="N42" s="320">
        <v>1.9141499999999999E-2</v>
      </c>
      <c r="O42" s="321"/>
      <c r="P42" s="320"/>
      <c r="Q42" s="294"/>
      <c r="R42" s="321">
        <f>SUMPRODUCT(D42:N42,D34:N34)/R34</f>
        <v>1.1403813874945658E-2</v>
      </c>
      <c r="S42" s="295"/>
      <c r="T42" s="255"/>
    </row>
    <row r="43" spans="1:20" s="256" customFormat="1" ht="15.6" x14ac:dyDescent="0.3">
      <c r="A43" s="291"/>
      <c r="B43" s="292" t="s">
        <v>290</v>
      </c>
      <c r="C43" s="292"/>
      <c r="D43" s="320">
        <f>+D40</f>
        <v>0</v>
      </c>
      <c r="E43" s="292"/>
      <c r="F43" s="320">
        <v>0</v>
      </c>
      <c r="G43" s="321"/>
      <c r="H43" s="320">
        <f>+H40</f>
        <v>1.20838E-2</v>
      </c>
      <c r="I43" s="321"/>
      <c r="J43" s="320">
        <v>1.28798E-2</v>
      </c>
      <c r="K43" s="321"/>
      <c r="L43" s="320">
        <f>+L40</f>
        <v>2.1283799999999999E-2</v>
      </c>
      <c r="M43" s="321"/>
      <c r="N43" s="320">
        <v>2.20378E-2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0.24999964370721672</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41289</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41106</v>
      </c>
      <c r="Q55" s="331"/>
      <c r="R55" s="330">
        <v>41196</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41197</v>
      </c>
      <c r="Q56" s="331"/>
      <c r="R56" s="330">
        <v>41288</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41276</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314</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441452</v>
      </c>
      <c r="K66" s="336"/>
      <c r="L66" s="336">
        <f>2908+65</f>
        <v>2973</v>
      </c>
      <c r="M66" s="336"/>
      <c r="N66" s="336">
        <v>65</v>
      </c>
      <c r="O66" s="336"/>
      <c r="P66" s="336">
        <v>0</v>
      </c>
      <c r="Q66" s="336"/>
      <c r="R66" s="337">
        <f>+J66-L66+N66-P66</f>
        <v>438544</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441452</v>
      </c>
      <c r="K69" s="336"/>
      <c r="L69" s="336">
        <f>SUM(L66:L68)</f>
        <v>2973</v>
      </c>
      <c r="M69" s="336"/>
      <c r="N69" s="336">
        <f>SUM(N66:N68)</f>
        <v>65</v>
      </c>
      <c r="O69" s="336"/>
      <c r="P69" s="336">
        <f>SUM(P66:P68)</f>
        <v>0</v>
      </c>
      <c r="Q69" s="336"/>
      <c r="R69" s="336">
        <f>SUM(R66:R68)</f>
        <v>438544</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441452</v>
      </c>
      <c r="K82" s="336"/>
      <c r="L82" s="336"/>
      <c r="M82" s="336"/>
      <c r="N82" s="336"/>
      <c r="O82" s="336"/>
      <c r="P82" s="336"/>
      <c r="Q82" s="336"/>
      <c r="R82" s="336">
        <f>SUM(R69:R81)</f>
        <v>438544</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+P189</f>
        <v>41274</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2973-370</f>
        <v>2603</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3240+408-896-74</f>
        <v>2678</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67+60</f>
        <v>127</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31</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237</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2603</v>
      </c>
      <c r="Q94" s="335"/>
      <c r="R94" s="336">
        <f>SUM(R86:R93)</f>
        <v>3073</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187</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2603</v>
      </c>
      <c r="Q98" s="335"/>
      <c r="R98" s="336">
        <f>R94+R96+R95+R97</f>
        <v>3260</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335" t="s">
        <v>40</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335" t="s">
        <v>174</v>
      </c>
      <c r="C102" s="335"/>
      <c r="D102" s="335"/>
      <c r="E102" s="335"/>
      <c r="F102" s="335"/>
      <c r="G102" s="335"/>
      <c r="H102" s="335"/>
      <c r="I102" s="335"/>
      <c r="J102" s="335"/>
      <c r="K102" s="335"/>
      <c r="L102" s="335"/>
      <c r="M102" s="335"/>
      <c r="N102" s="335"/>
      <c r="O102" s="335"/>
      <c r="P102" s="335"/>
      <c r="Q102" s="335"/>
      <c r="R102" s="337">
        <f>-112-145-5</f>
        <v>-262</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-129</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-402</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-452</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-266</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-149</v>
      </c>
      <c r="S110" s="338"/>
      <c r="T110" s="255"/>
      <c r="U110" s="270"/>
    </row>
    <row r="111" spans="1:21" s="256" customFormat="1" ht="15.6" x14ac:dyDescent="0.3">
      <c r="A111" s="334">
        <v>6</v>
      </c>
      <c r="B111" s="335" t="s">
        <v>41</v>
      </c>
      <c r="C111" s="335"/>
      <c r="D111" s="335"/>
      <c r="E111" s="335"/>
      <c r="F111" s="335"/>
      <c r="G111" s="335"/>
      <c r="H111" s="335"/>
      <c r="I111" s="335"/>
      <c r="J111" s="335"/>
      <c r="K111" s="335"/>
      <c r="L111" s="335"/>
      <c r="M111" s="335"/>
      <c r="N111" s="335"/>
      <c r="O111" s="335"/>
      <c r="P111" s="335"/>
      <c r="Q111" s="335"/>
      <c r="R111" s="337">
        <v>-8</v>
      </c>
      <c r="S111" s="338"/>
      <c r="T111" s="255"/>
    </row>
    <row r="112" spans="1:21" s="256" customFormat="1" ht="15.6" x14ac:dyDescent="0.3">
      <c r="A112" s="334">
        <f t="shared" ref="A112:A117" si="0">+A111+1</f>
        <v>7</v>
      </c>
      <c r="B112" s="335" t="s">
        <v>53</v>
      </c>
      <c r="C112" s="335"/>
      <c r="D112" s="335"/>
      <c r="E112" s="335"/>
      <c r="F112" s="335"/>
      <c r="G112" s="335"/>
      <c r="H112" s="335"/>
      <c r="I112" s="335"/>
      <c r="J112" s="335"/>
      <c r="K112" s="335"/>
      <c r="L112" s="335"/>
      <c r="M112" s="335"/>
      <c r="N112" s="335"/>
      <c r="O112" s="335"/>
      <c r="P112" s="336">
        <f>-R112</f>
        <v>370</v>
      </c>
      <c r="Q112" s="335"/>
      <c r="R112" s="337">
        <v>-370</v>
      </c>
      <c r="S112" s="338"/>
      <c r="T112" s="255"/>
    </row>
    <row r="113" spans="1:20" s="256" customFormat="1" ht="15.6" x14ac:dyDescent="0.3">
      <c r="A113" s="334">
        <f t="shared" si="0"/>
        <v>8</v>
      </c>
      <c r="B113" s="335" t="s">
        <v>144</v>
      </c>
      <c r="C113" s="335"/>
      <c r="D113" s="335"/>
      <c r="E113" s="335"/>
      <c r="F113" s="335"/>
      <c r="G113" s="335"/>
      <c r="H113" s="335"/>
      <c r="I113" s="335"/>
      <c r="J113" s="335"/>
      <c r="K113" s="335"/>
      <c r="L113" s="335"/>
      <c r="M113" s="335"/>
      <c r="N113" s="335"/>
      <c r="O113" s="335"/>
      <c r="P113" s="336"/>
      <c r="Q113" s="335"/>
      <c r="R113" s="337">
        <v>0</v>
      </c>
      <c r="S113" s="338"/>
      <c r="T113" s="255"/>
    </row>
    <row r="114" spans="1:20" s="256" customFormat="1" ht="15.6" x14ac:dyDescent="0.3">
      <c r="A114" s="334">
        <f t="shared" si="0"/>
        <v>9</v>
      </c>
      <c r="B114" s="335" t="s">
        <v>42</v>
      </c>
      <c r="C114" s="335"/>
      <c r="D114" s="335"/>
      <c r="E114" s="335"/>
      <c r="F114" s="335"/>
      <c r="G114" s="335"/>
      <c r="H114" s="335"/>
      <c r="I114" s="335"/>
      <c r="J114" s="335"/>
      <c r="K114" s="335"/>
      <c r="L114" s="335"/>
      <c r="M114" s="335"/>
      <c r="N114" s="335"/>
      <c r="O114" s="335"/>
      <c r="P114" s="335"/>
      <c r="Q114" s="335"/>
      <c r="R114" s="337">
        <v>0</v>
      </c>
      <c r="S114" s="338"/>
      <c r="T114" s="255"/>
    </row>
    <row r="115" spans="1:20" s="256" customFormat="1" ht="15.6" x14ac:dyDescent="0.3">
      <c r="A115" s="334">
        <f t="shared" si="0"/>
        <v>10</v>
      </c>
      <c r="B115" s="335" t="s">
        <v>43</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175</v>
      </c>
      <c r="C116" s="335"/>
      <c r="D116" s="335"/>
      <c r="E116" s="335"/>
      <c r="F116" s="335"/>
      <c r="G116" s="335"/>
      <c r="H116" s="335"/>
      <c r="I116" s="335"/>
      <c r="J116" s="335"/>
      <c r="K116" s="335"/>
      <c r="L116" s="335"/>
      <c r="M116" s="335"/>
      <c r="N116" s="335"/>
      <c r="O116" s="335"/>
      <c r="P116" s="335"/>
      <c r="Q116" s="335"/>
      <c r="R116" s="337">
        <v>-226</v>
      </c>
      <c r="S116" s="338"/>
      <c r="T116" s="255"/>
    </row>
    <row r="117" spans="1:20" s="256" customFormat="1" ht="15.6" x14ac:dyDescent="0.3">
      <c r="A117" s="334">
        <f t="shared" si="0"/>
        <v>12</v>
      </c>
      <c r="B117" s="335" t="s">
        <v>145</v>
      </c>
      <c r="C117" s="335"/>
      <c r="D117" s="335"/>
      <c r="E117" s="335"/>
      <c r="F117" s="335"/>
      <c r="G117" s="335"/>
      <c r="H117" s="335"/>
      <c r="I117" s="335"/>
      <c r="J117" s="335"/>
      <c r="K117" s="335"/>
      <c r="L117" s="335"/>
      <c r="M117" s="335"/>
      <c r="N117" s="335"/>
      <c r="O117" s="335"/>
      <c r="P117" s="335"/>
      <c r="Q117" s="335"/>
      <c r="R117" s="337">
        <f>-R98-SUM(R100:R116)</f>
        <v>-993</v>
      </c>
      <c r="S117" s="338"/>
      <c r="T117" s="255"/>
    </row>
    <row r="118" spans="1:20" ht="15.6" x14ac:dyDescent="0.3">
      <c r="A118" s="343"/>
      <c r="B118" s="344" t="s">
        <v>44</v>
      </c>
      <c r="C118" s="345"/>
      <c r="D118" s="345"/>
      <c r="E118" s="345"/>
      <c r="F118" s="345"/>
      <c r="G118" s="345"/>
      <c r="H118" s="345"/>
      <c r="I118" s="345"/>
      <c r="J118" s="345"/>
      <c r="K118" s="345"/>
      <c r="L118" s="345"/>
      <c r="M118" s="345"/>
      <c r="N118" s="345"/>
      <c r="O118" s="345"/>
      <c r="P118" s="345"/>
      <c r="Q118" s="345"/>
      <c r="R118" s="349"/>
      <c r="S118" s="348"/>
      <c r="T118" s="5"/>
    </row>
    <row r="119" spans="1:20" s="256" customFormat="1" ht="15.6" x14ac:dyDescent="0.3">
      <c r="A119" s="334"/>
      <c r="B119" s="335" t="s">
        <v>45</v>
      </c>
      <c r="C119" s="335"/>
      <c r="D119" s="335"/>
      <c r="E119" s="335"/>
      <c r="F119" s="335"/>
      <c r="G119" s="335"/>
      <c r="H119" s="335"/>
      <c r="I119" s="335"/>
      <c r="J119" s="335"/>
      <c r="K119" s="335"/>
      <c r="L119" s="335"/>
      <c r="M119" s="335"/>
      <c r="N119" s="335"/>
      <c r="O119" s="335"/>
      <c r="P119" s="336">
        <v>-7</v>
      </c>
      <c r="Q119" s="336"/>
      <c r="R119" s="337"/>
      <c r="S119" s="338"/>
      <c r="T119" s="255"/>
    </row>
    <row r="120" spans="1:20" s="256" customFormat="1" ht="15.6" x14ac:dyDescent="0.3">
      <c r="A120" s="334"/>
      <c r="B120" s="335" t="s">
        <v>46</v>
      </c>
      <c r="C120" s="335"/>
      <c r="D120" s="335"/>
      <c r="E120" s="335"/>
      <c r="F120" s="335"/>
      <c r="G120" s="335"/>
      <c r="H120" s="335"/>
      <c r="I120" s="335"/>
      <c r="J120" s="335"/>
      <c r="K120" s="335"/>
      <c r="L120" s="335"/>
      <c r="M120" s="335"/>
      <c r="N120" s="335"/>
      <c r="O120" s="335"/>
      <c r="P120" s="336">
        <f>-O175</f>
        <v>-58</v>
      </c>
      <c r="Q120" s="336"/>
      <c r="R120" s="337"/>
      <c r="S120" s="338"/>
      <c r="T120" s="255"/>
    </row>
    <row r="121" spans="1:20" s="256" customFormat="1" ht="15.6" x14ac:dyDescent="0.3">
      <c r="A121" s="334"/>
      <c r="B121" s="335" t="s">
        <v>219</v>
      </c>
      <c r="C121" s="335"/>
      <c r="D121" s="335"/>
      <c r="E121" s="335"/>
      <c r="F121" s="335"/>
      <c r="G121" s="335"/>
      <c r="H121" s="335"/>
      <c r="I121" s="335"/>
      <c r="J121" s="335"/>
      <c r="K121" s="335"/>
      <c r="L121" s="335"/>
      <c r="M121" s="335"/>
      <c r="N121" s="335"/>
      <c r="O121" s="335"/>
      <c r="P121" s="336">
        <v>0</v>
      </c>
      <c r="Q121" s="336"/>
      <c r="R121" s="337"/>
      <c r="S121" s="338"/>
      <c r="T121" s="255"/>
    </row>
    <row r="122" spans="1:20" s="256" customFormat="1" ht="15.6" x14ac:dyDescent="0.3">
      <c r="A122" s="334"/>
      <c r="B122" s="335" t="s">
        <v>220</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221</v>
      </c>
      <c r="C123" s="335"/>
      <c r="D123" s="335"/>
      <c r="E123" s="335"/>
      <c r="F123" s="335"/>
      <c r="G123" s="335"/>
      <c r="H123" s="335"/>
      <c r="I123" s="335"/>
      <c r="J123" s="335"/>
      <c r="K123" s="335"/>
      <c r="L123" s="335"/>
      <c r="M123" s="335"/>
      <c r="N123" s="335"/>
      <c r="O123" s="335"/>
      <c r="P123" s="336">
        <v>-1144</v>
      </c>
      <c r="Q123" s="336"/>
      <c r="R123" s="337"/>
      <c r="S123" s="338"/>
      <c r="T123" s="255"/>
    </row>
    <row r="124" spans="1:20" s="256" customFormat="1" ht="15.6" x14ac:dyDescent="0.3">
      <c r="A124" s="334"/>
      <c r="B124" s="335" t="s">
        <v>222</v>
      </c>
      <c r="C124" s="335"/>
      <c r="D124" s="335"/>
      <c r="E124" s="335"/>
      <c r="F124" s="335"/>
      <c r="G124" s="335"/>
      <c r="H124" s="335"/>
      <c r="I124" s="335"/>
      <c r="J124" s="335"/>
      <c r="K124" s="335"/>
      <c r="L124" s="335"/>
      <c r="M124" s="335"/>
      <c r="N124" s="335"/>
      <c r="O124" s="335"/>
      <c r="P124" s="336">
        <v>-1182</v>
      </c>
      <c r="Q124" s="336"/>
      <c r="R124" s="337"/>
      <c r="S124" s="338"/>
      <c r="T124" s="255"/>
    </row>
    <row r="125" spans="1:20" s="256" customFormat="1" ht="15.6" x14ac:dyDescent="0.3">
      <c r="A125" s="334"/>
      <c r="B125" s="335" t="s">
        <v>223</v>
      </c>
      <c r="C125" s="335"/>
      <c r="D125" s="335"/>
      <c r="E125" s="335"/>
      <c r="F125" s="335"/>
      <c r="G125" s="335"/>
      <c r="H125" s="335"/>
      <c r="I125" s="335"/>
      <c r="J125" s="335"/>
      <c r="K125" s="335"/>
      <c r="L125" s="335"/>
      <c r="M125" s="335"/>
      <c r="N125" s="335"/>
      <c r="O125" s="335"/>
      <c r="P125" s="336">
        <v>-378</v>
      </c>
      <c r="Q125" s="336"/>
      <c r="R125" s="337"/>
      <c r="S125" s="338"/>
      <c r="T125" s="255"/>
    </row>
    <row r="126" spans="1:20" s="256" customFormat="1" ht="15.6" x14ac:dyDescent="0.3">
      <c r="A126" s="334"/>
      <c r="B126" s="335" t="s">
        <v>173</v>
      </c>
      <c r="C126" s="335"/>
      <c r="D126" s="335"/>
      <c r="E126" s="335"/>
      <c r="F126" s="335"/>
      <c r="G126" s="335"/>
      <c r="H126" s="335"/>
      <c r="I126" s="335"/>
      <c r="J126" s="335"/>
      <c r="K126" s="335"/>
      <c r="L126" s="335"/>
      <c r="M126" s="335"/>
      <c r="N126" s="335"/>
      <c r="O126" s="335"/>
      <c r="P126" s="336">
        <v>-204</v>
      </c>
      <c r="Q126" s="336"/>
      <c r="R126" s="337"/>
      <c r="S126" s="338"/>
      <c r="T126" s="255"/>
    </row>
    <row r="127" spans="1:20" s="256" customFormat="1" ht="15.6" x14ac:dyDescent="0.3">
      <c r="A127" s="334"/>
      <c r="B127" s="335" t="s">
        <v>47</v>
      </c>
      <c r="C127" s="335"/>
      <c r="D127" s="335"/>
      <c r="E127" s="335"/>
      <c r="F127" s="335"/>
      <c r="G127" s="335"/>
      <c r="H127" s="335"/>
      <c r="I127" s="335"/>
      <c r="J127" s="335"/>
      <c r="K127" s="335"/>
      <c r="L127" s="335"/>
      <c r="M127" s="335"/>
      <c r="N127" s="335"/>
      <c r="O127" s="335"/>
      <c r="P127" s="336">
        <f>SUM(P119:P126)</f>
        <v>-2973</v>
      </c>
      <c r="Q127" s="336"/>
      <c r="R127" s="336">
        <f>SUM(R99:R126)</f>
        <v>-3260</v>
      </c>
      <c r="S127" s="338"/>
      <c r="T127" s="255"/>
    </row>
    <row r="128" spans="1:20" s="256" customFormat="1" ht="15.6" x14ac:dyDescent="0.3">
      <c r="A128" s="334"/>
      <c r="B128" s="335" t="s">
        <v>48</v>
      </c>
      <c r="C128" s="335"/>
      <c r="D128" s="335"/>
      <c r="E128" s="335"/>
      <c r="F128" s="335"/>
      <c r="G128" s="335"/>
      <c r="H128" s="335"/>
      <c r="I128" s="335"/>
      <c r="J128" s="335"/>
      <c r="K128" s="335"/>
      <c r="L128" s="335"/>
      <c r="M128" s="335"/>
      <c r="N128" s="335"/>
      <c r="O128" s="335"/>
      <c r="P128" s="336">
        <f>P98+P127+P112</f>
        <v>0</v>
      </c>
      <c r="Q128" s="336"/>
      <c r="R128" s="336">
        <f>R98+R127</f>
        <v>0</v>
      </c>
      <c r="S128" s="338"/>
      <c r="T128" s="255"/>
    </row>
    <row r="129" spans="1:21" s="256" customFormat="1" ht="15.6" x14ac:dyDescent="0.3">
      <c r="A129" s="261"/>
      <c r="B129" s="282"/>
      <c r="C129" s="282"/>
      <c r="D129" s="282"/>
      <c r="E129" s="282"/>
      <c r="F129" s="282"/>
      <c r="G129" s="282"/>
      <c r="H129" s="282"/>
      <c r="I129" s="282"/>
      <c r="J129" s="282"/>
      <c r="K129" s="282"/>
      <c r="L129" s="282"/>
      <c r="M129" s="282"/>
      <c r="N129" s="282"/>
      <c r="O129" s="282"/>
      <c r="P129" s="339"/>
      <c r="Q129" s="339"/>
      <c r="R129" s="339"/>
      <c r="S129" s="282"/>
      <c r="T129" s="255"/>
    </row>
    <row r="130" spans="1:21" s="256" customFormat="1" ht="15.6" x14ac:dyDescent="0.3">
      <c r="A130" s="261"/>
      <c r="B130" s="242"/>
      <c r="C130" s="242"/>
      <c r="D130" s="242"/>
      <c r="E130" s="242"/>
      <c r="F130" s="242"/>
      <c r="G130" s="242"/>
      <c r="H130" s="242"/>
      <c r="I130" s="242"/>
      <c r="J130" s="242"/>
      <c r="K130" s="242"/>
      <c r="L130" s="242"/>
      <c r="M130" s="242"/>
      <c r="N130" s="242"/>
      <c r="O130" s="242"/>
      <c r="P130" s="242"/>
      <c r="Q130" s="242"/>
      <c r="R130" s="271"/>
      <c r="S130" s="242"/>
      <c r="T130" s="255"/>
    </row>
    <row r="131" spans="1:21" s="256" customFormat="1" ht="18" thickBot="1" x14ac:dyDescent="0.35">
      <c r="A131" s="264"/>
      <c r="B131" s="265" t="str">
        <f>B62</f>
        <v>PM8 INVESTOR REPORT QUARTER ENDING DECEMBER 2012</v>
      </c>
      <c r="C131" s="266"/>
      <c r="D131" s="266"/>
      <c r="E131" s="266"/>
      <c r="F131" s="266"/>
      <c r="G131" s="266"/>
      <c r="H131" s="266"/>
      <c r="I131" s="266"/>
      <c r="J131" s="266"/>
      <c r="K131" s="266"/>
      <c r="L131" s="266"/>
      <c r="M131" s="266"/>
      <c r="N131" s="266"/>
      <c r="O131" s="266"/>
      <c r="P131" s="266"/>
      <c r="Q131" s="266"/>
      <c r="R131" s="272"/>
      <c r="S131" s="268"/>
      <c r="T131" s="255"/>
    </row>
    <row r="132" spans="1:21" ht="15.6" x14ac:dyDescent="0.3">
      <c r="A132" s="226"/>
      <c r="B132" s="568" t="s">
        <v>49</v>
      </c>
      <c r="C132" s="227"/>
      <c r="D132" s="227"/>
      <c r="E132" s="227"/>
      <c r="F132" s="227"/>
      <c r="G132" s="227"/>
      <c r="H132" s="227"/>
      <c r="I132" s="227"/>
      <c r="J132" s="227"/>
      <c r="K132" s="227"/>
      <c r="L132" s="227"/>
      <c r="M132" s="227"/>
      <c r="N132" s="227"/>
      <c r="O132" s="227"/>
      <c r="P132" s="227"/>
      <c r="Q132" s="227"/>
      <c r="R132" s="228"/>
      <c r="S132" s="227"/>
      <c r="T132" s="5"/>
    </row>
    <row r="133" spans="1:21" ht="15.6" x14ac:dyDescent="0.3">
      <c r="A133" s="182"/>
      <c r="B133" s="193"/>
      <c r="C133" s="184"/>
      <c r="D133" s="184"/>
      <c r="E133" s="184"/>
      <c r="F133" s="184"/>
      <c r="G133" s="184"/>
      <c r="H133" s="184"/>
      <c r="I133" s="184"/>
      <c r="J133" s="184"/>
      <c r="K133" s="184"/>
      <c r="L133" s="184"/>
      <c r="M133" s="184"/>
      <c r="N133" s="184"/>
      <c r="O133" s="184"/>
      <c r="P133" s="184"/>
      <c r="Q133" s="184"/>
      <c r="R133" s="196"/>
      <c r="S133" s="184"/>
      <c r="T133" s="5"/>
    </row>
    <row r="134" spans="1:21" ht="15.6" x14ac:dyDescent="0.3">
      <c r="A134" s="182"/>
      <c r="B134" s="203" t="s">
        <v>50</v>
      </c>
      <c r="C134" s="184"/>
      <c r="D134" s="184"/>
      <c r="E134" s="184"/>
      <c r="F134" s="184"/>
      <c r="G134" s="184"/>
      <c r="H134" s="184"/>
      <c r="I134" s="184"/>
      <c r="J134" s="184"/>
      <c r="K134" s="184"/>
      <c r="L134" s="184"/>
      <c r="M134" s="184"/>
      <c r="N134" s="184"/>
      <c r="O134" s="184"/>
      <c r="P134" s="184"/>
      <c r="Q134" s="184"/>
      <c r="R134" s="196"/>
      <c r="S134" s="184"/>
      <c r="T134" s="5"/>
    </row>
    <row r="135" spans="1:21" s="256" customFormat="1" ht="15.6" x14ac:dyDescent="0.3">
      <c r="A135" s="334"/>
      <c r="B135" s="335" t="s">
        <v>51</v>
      </c>
      <c r="C135" s="335"/>
      <c r="D135" s="335"/>
      <c r="E135" s="335"/>
      <c r="F135" s="335"/>
      <c r="G135" s="335"/>
      <c r="H135" s="335"/>
      <c r="I135" s="335"/>
      <c r="J135" s="335"/>
      <c r="K135" s="335"/>
      <c r="L135" s="335"/>
      <c r="M135" s="335"/>
      <c r="N135" s="335"/>
      <c r="O135" s="335"/>
      <c r="P135" s="335"/>
      <c r="Q135" s="335"/>
      <c r="R135" s="337">
        <f>+R33*0.019</f>
        <v>19000</v>
      </c>
      <c r="S135" s="338"/>
      <c r="T135" s="255"/>
    </row>
    <row r="136" spans="1:21" s="256" customFormat="1" ht="15.6" x14ac:dyDescent="0.3">
      <c r="A136" s="334"/>
      <c r="B136" s="335" t="s">
        <v>52</v>
      </c>
      <c r="C136" s="335"/>
      <c r="D136" s="335"/>
      <c r="E136" s="335"/>
      <c r="F136" s="335"/>
      <c r="G136" s="335"/>
      <c r="H136" s="335"/>
      <c r="I136" s="335"/>
      <c r="J136" s="335"/>
      <c r="K136" s="335"/>
      <c r="L136" s="335"/>
      <c r="M136" s="335"/>
      <c r="N136" s="335"/>
      <c r="O136" s="335"/>
      <c r="P136" s="335"/>
      <c r="Q136" s="335"/>
      <c r="R136" s="337">
        <v>19000</v>
      </c>
      <c r="S136" s="338"/>
      <c r="T136" s="255"/>
    </row>
    <row r="137" spans="1:21" s="256" customFormat="1" ht="15.6" x14ac:dyDescent="0.3">
      <c r="A137" s="334"/>
      <c r="B137" s="335" t="s">
        <v>155</v>
      </c>
      <c r="C137" s="335"/>
      <c r="D137" s="335"/>
      <c r="E137" s="335"/>
      <c r="F137" s="335"/>
      <c r="G137" s="335"/>
      <c r="H137" s="335"/>
      <c r="I137" s="335"/>
      <c r="J137" s="335"/>
      <c r="K137" s="335"/>
      <c r="L137" s="335"/>
      <c r="M137" s="335"/>
      <c r="N137" s="335"/>
      <c r="O137" s="335"/>
      <c r="P137" s="335"/>
      <c r="Q137" s="335"/>
      <c r="R137" s="337">
        <v>0</v>
      </c>
      <c r="S137" s="338"/>
      <c r="T137" s="255"/>
    </row>
    <row r="138" spans="1:21" s="256" customFormat="1" ht="15.6" x14ac:dyDescent="0.3">
      <c r="A138" s="334"/>
      <c r="B138" s="335" t="s">
        <v>142</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143</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53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148</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203</v>
      </c>
      <c r="C142" s="335"/>
      <c r="D142" s="335"/>
      <c r="E142" s="335"/>
      <c r="F142" s="335"/>
      <c r="G142" s="335"/>
      <c r="H142" s="335"/>
      <c r="I142" s="335"/>
      <c r="J142" s="335"/>
      <c r="K142" s="335"/>
      <c r="L142" s="335"/>
      <c r="M142" s="335"/>
      <c r="N142" s="335"/>
      <c r="O142" s="335"/>
      <c r="P142" s="335"/>
      <c r="Q142" s="335"/>
      <c r="R142" s="337">
        <v>0</v>
      </c>
      <c r="S142" s="338"/>
      <c r="T142" s="255"/>
      <c r="U142" s="270"/>
    </row>
    <row r="143" spans="1:21" s="256" customFormat="1" ht="15.6" x14ac:dyDescent="0.3">
      <c r="A143" s="334"/>
      <c r="B143" s="335" t="s">
        <v>54</v>
      </c>
      <c r="C143" s="335"/>
      <c r="D143" s="335"/>
      <c r="E143" s="335"/>
      <c r="F143" s="335"/>
      <c r="G143" s="335"/>
      <c r="H143" s="335"/>
      <c r="I143" s="335"/>
      <c r="J143" s="335"/>
      <c r="K143" s="335"/>
      <c r="L143" s="335"/>
      <c r="M143" s="335"/>
      <c r="N143" s="335"/>
      <c r="O143" s="335"/>
      <c r="P143" s="335"/>
      <c r="Q143" s="335"/>
      <c r="R143" s="337">
        <f>SUM(R136:R142)</f>
        <v>19000</v>
      </c>
      <c r="S143" s="338"/>
      <c r="T143" s="255"/>
    </row>
    <row r="144" spans="1:21" s="256" customFormat="1" ht="15.6" x14ac:dyDescent="0.3">
      <c r="A144" s="334"/>
      <c r="B144" s="335"/>
      <c r="C144" s="335"/>
      <c r="D144" s="335"/>
      <c r="E144" s="335"/>
      <c r="F144" s="335"/>
      <c r="G144" s="335"/>
      <c r="H144" s="335"/>
      <c r="I144" s="335"/>
      <c r="J144" s="335"/>
      <c r="K144" s="335"/>
      <c r="L144" s="335"/>
      <c r="M144" s="335"/>
      <c r="N144" s="335"/>
      <c r="O144" s="335"/>
      <c r="P144" s="335"/>
      <c r="Q144" s="335"/>
      <c r="R144" s="337"/>
      <c r="S144" s="338"/>
      <c r="T144" s="255"/>
    </row>
    <row r="145" spans="1:20" ht="15.6" x14ac:dyDescent="0.3">
      <c r="A145" s="343"/>
      <c r="B145" s="344" t="s">
        <v>264</v>
      </c>
      <c r="C145" s="345"/>
      <c r="D145" s="345"/>
      <c r="E145" s="345"/>
      <c r="F145" s="345"/>
      <c r="G145" s="345"/>
      <c r="H145" s="345"/>
      <c r="I145" s="345"/>
      <c r="J145" s="345"/>
      <c r="K145" s="345"/>
      <c r="L145" s="345"/>
      <c r="M145" s="345"/>
      <c r="N145" s="345"/>
      <c r="O145" s="345"/>
      <c r="P145" s="345"/>
      <c r="Q145" s="345"/>
      <c r="R145" s="347"/>
      <c r="S145" s="348"/>
      <c r="T145" s="5"/>
    </row>
    <row r="146" spans="1:20" s="256" customFormat="1" ht="15.6" x14ac:dyDescent="0.3">
      <c r="A146" s="334"/>
      <c r="B146" s="335" t="s">
        <v>206</v>
      </c>
      <c r="C146" s="335"/>
      <c r="D146" s="335"/>
      <c r="E146" s="335"/>
      <c r="F146" s="335"/>
      <c r="G146" s="335"/>
      <c r="H146" s="335"/>
      <c r="I146" s="335"/>
      <c r="J146" s="335"/>
      <c r="K146" s="335"/>
      <c r="L146" s="335"/>
      <c r="M146" s="335"/>
      <c r="N146" s="335"/>
      <c r="O146" s="335"/>
      <c r="P146" s="335"/>
      <c r="Q146" s="335"/>
      <c r="R146" s="337">
        <f>+R33*0.005</f>
        <v>5000</v>
      </c>
      <c r="S146" s="338"/>
      <c r="T146" s="255"/>
    </row>
    <row r="147" spans="1:20" s="256" customFormat="1" ht="15.6" x14ac:dyDescent="0.3">
      <c r="A147" s="334"/>
      <c r="B147" s="335" t="s">
        <v>260</v>
      </c>
      <c r="C147" s="335"/>
      <c r="D147" s="335"/>
      <c r="E147" s="335"/>
      <c r="F147" s="335"/>
      <c r="G147" s="335"/>
      <c r="H147" s="335"/>
      <c r="I147" s="335"/>
      <c r="J147" s="335"/>
      <c r="K147" s="335"/>
      <c r="L147" s="335"/>
      <c r="M147" s="335"/>
      <c r="N147" s="335"/>
      <c r="O147" s="335"/>
      <c r="P147" s="335"/>
      <c r="Q147" s="335"/>
      <c r="R147" s="337">
        <v>0</v>
      </c>
      <c r="S147" s="338"/>
      <c r="T147" s="255"/>
    </row>
    <row r="148" spans="1:20" s="256" customFormat="1" ht="15.6" x14ac:dyDescent="0.3">
      <c r="A148" s="334"/>
      <c r="B148" s="335" t="s">
        <v>294</v>
      </c>
      <c r="C148" s="335"/>
      <c r="D148" s="335"/>
      <c r="E148" s="335"/>
      <c r="F148" s="335"/>
      <c r="G148" s="335"/>
      <c r="H148" s="335"/>
      <c r="I148" s="335"/>
      <c r="J148" s="335"/>
      <c r="K148" s="335"/>
      <c r="L148" s="335"/>
      <c r="M148" s="335"/>
      <c r="N148" s="335"/>
      <c r="O148" s="335"/>
      <c r="P148" s="335"/>
      <c r="Q148" s="335"/>
      <c r="R148" s="337">
        <v>1698</v>
      </c>
      <c r="S148" s="338"/>
      <c r="T148" s="255"/>
    </row>
    <row r="149" spans="1:20" s="256" customFormat="1" ht="15.6" x14ac:dyDescent="0.3">
      <c r="A149" s="334"/>
      <c r="B149" s="335"/>
      <c r="C149" s="335"/>
      <c r="D149" s="335"/>
      <c r="E149" s="335"/>
      <c r="F149" s="335"/>
      <c r="G149" s="335"/>
      <c r="H149" s="335"/>
      <c r="I149" s="335"/>
      <c r="J149" s="335"/>
      <c r="K149" s="335"/>
      <c r="L149" s="335"/>
      <c r="M149" s="335"/>
      <c r="N149" s="335"/>
      <c r="O149" s="335"/>
      <c r="P149" s="335"/>
      <c r="Q149" s="335"/>
      <c r="R149" s="337"/>
      <c r="S149" s="338"/>
      <c r="T149" s="255"/>
    </row>
    <row r="150" spans="1:20" s="256" customFormat="1" ht="15.6" x14ac:dyDescent="0.3">
      <c r="A150" s="261"/>
      <c r="B150" s="282"/>
      <c r="C150" s="282"/>
      <c r="D150" s="282"/>
      <c r="E150" s="282"/>
      <c r="F150" s="282"/>
      <c r="G150" s="282"/>
      <c r="H150" s="282"/>
      <c r="I150" s="282"/>
      <c r="J150" s="282"/>
      <c r="K150" s="282"/>
      <c r="L150" s="282"/>
      <c r="M150" s="282"/>
      <c r="N150" s="282"/>
      <c r="O150" s="282"/>
      <c r="P150" s="282"/>
      <c r="Q150" s="282"/>
      <c r="R150" s="350"/>
      <c r="S150" s="282"/>
      <c r="T150" s="255"/>
    </row>
    <row r="151" spans="1:20" ht="15.6" x14ac:dyDescent="0.3">
      <c r="A151" s="182"/>
      <c r="B151" s="203" t="s">
        <v>28</v>
      </c>
      <c r="C151" s="184"/>
      <c r="D151" s="184"/>
      <c r="E151" s="184"/>
      <c r="F151" s="184"/>
      <c r="G151" s="184"/>
      <c r="H151" s="184"/>
      <c r="I151" s="184"/>
      <c r="J151" s="184"/>
      <c r="K151" s="184"/>
      <c r="L151" s="184"/>
      <c r="M151" s="184"/>
      <c r="N151" s="184"/>
      <c r="O151" s="184"/>
      <c r="P151" s="184"/>
      <c r="Q151" s="184"/>
      <c r="R151" s="196"/>
      <c r="S151" s="184"/>
      <c r="T151" s="5"/>
    </row>
    <row r="152" spans="1:20" s="256" customFormat="1" ht="15.6" x14ac:dyDescent="0.3">
      <c r="A152" s="334"/>
      <c r="B152" s="335" t="s">
        <v>55</v>
      </c>
      <c r="C152" s="335"/>
      <c r="D152" s="335"/>
      <c r="E152" s="335"/>
      <c r="F152" s="335"/>
      <c r="G152" s="335"/>
      <c r="H152" s="335"/>
      <c r="I152" s="335"/>
      <c r="J152" s="335"/>
      <c r="K152" s="335"/>
      <c r="L152" s="335"/>
      <c r="M152" s="335"/>
      <c r="N152" s="335"/>
      <c r="O152" s="335"/>
      <c r="P152" s="335"/>
      <c r="Q152" s="335"/>
      <c r="R152" s="352" t="s">
        <v>137</v>
      </c>
      <c r="S152" s="338"/>
      <c r="T152" s="255"/>
    </row>
    <row r="153" spans="1:20" s="256" customFormat="1" ht="15.6" x14ac:dyDescent="0.3">
      <c r="A153" s="334"/>
      <c r="B153" s="335" t="s">
        <v>56</v>
      </c>
      <c r="C153" s="353"/>
      <c r="D153" s="353"/>
      <c r="E153" s="353"/>
      <c r="F153" s="353"/>
      <c r="G153" s="353"/>
      <c r="H153" s="353"/>
      <c r="I153" s="353"/>
      <c r="J153" s="353"/>
      <c r="K153" s="353"/>
      <c r="L153" s="353"/>
      <c r="M153" s="353"/>
      <c r="N153" s="353"/>
      <c r="O153" s="353"/>
      <c r="P153" s="353"/>
      <c r="Q153" s="353"/>
      <c r="R153" s="352" t="s">
        <v>137</v>
      </c>
      <c r="S153" s="338"/>
      <c r="T153" s="255"/>
    </row>
    <row r="154" spans="1:20" s="256" customFormat="1" ht="15.6" x14ac:dyDescent="0.3">
      <c r="A154" s="334"/>
      <c r="B154" s="335" t="s">
        <v>57</v>
      </c>
      <c r="C154" s="335"/>
      <c r="D154" s="335"/>
      <c r="E154" s="335"/>
      <c r="F154" s="335"/>
      <c r="G154" s="335"/>
      <c r="H154" s="335"/>
      <c r="I154" s="335"/>
      <c r="J154" s="335"/>
      <c r="K154" s="335"/>
      <c r="L154" s="335"/>
      <c r="M154" s="335"/>
      <c r="N154" s="335"/>
      <c r="O154" s="335"/>
      <c r="P154" s="335"/>
      <c r="Q154" s="335"/>
      <c r="R154" s="352" t="s">
        <v>137</v>
      </c>
      <c r="S154" s="338"/>
      <c r="T154" s="255"/>
    </row>
    <row r="155" spans="1:20" s="256" customFormat="1" ht="15.6" x14ac:dyDescent="0.3">
      <c r="A155" s="334"/>
      <c r="B155" s="335" t="s">
        <v>58</v>
      </c>
      <c r="C155" s="335"/>
      <c r="D155" s="335"/>
      <c r="E155" s="335"/>
      <c r="F155" s="335"/>
      <c r="G155" s="335"/>
      <c r="H155" s="335"/>
      <c r="I155" s="335"/>
      <c r="J155" s="335"/>
      <c r="K155" s="335"/>
      <c r="L155" s="335"/>
      <c r="M155" s="335"/>
      <c r="N155" s="335"/>
      <c r="O155" s="335"/>
      <c r="P155" s="335"/>
      <c r="Q155" s="335"/>
      <c r="R155" s="352" t="s">
        <v>137</v>
      </c>
      <c r="S155" s="338"/>
      <c r="T155" s="255"/>
    </row>
    <row r="156" spans="1:20" ht="15.6" x14ac:dyDescent="0.3">
      <c r="A156" s="182"/>
      <c r="B156" s="213"/>
      <c r="C156" s="213"/>
      <c r="D156" s="213"/>
      <c r="E156" s="213"/>
      <c r="F156" s="213"/>
      <c r="G156" s="213"/>
      <c r="H156" s="213"/>
      <c r="I156" s="213"/>
      <c r="J156" s="213"/>
      <c r="K156" s="213"/>
      <c r="L156" s="213"/>
      <c r="M156" s="213"/>
      <c r="N156" s="213"/>
      <c r="O156" s="213"/>
      <c r="P156" s="213"/>
      <c r="Q156" s="213"/>
      <c r="R156" s="351"/>
      <c r="S156" s="213"/>
      <c r="T156" s="5"/>
    </row>
    <row r="157" spans="1:20" ht="15.6" x14ac:dyDescent="0.3">
      <c r="A157" s="182"/>
      <c r="B157" s="203" t="s">
        <v>59</v>
      </c>
      <c r="C157" s="184"/>
      <c r="D157" s="184"/>
      <c r="E157" s="184"/>
      <c r="F157" s="184"/>
      <c r="G157" s="184"/>
      <c r="H157" s="184"/>
      <c r="I157" s="184"/>
      <c r="J157" s="184"/>
      <c r="K157" s="184"/>
      <c r="L157" s="184"/>
      <c r="M157" s="184"/>
      <c r="N157" s="184"/>
      <c r="O157" s="184"/>
      <c r="P157" s="184"/>
      <c r="Q157" s="184"/>
      <c r="R157" s="204"/>
      <c r="S157" s="184"/>
      <c r="T157" s="5"/>
    </row>
    <row r="158" spans="1:20" s="256" customFormat="1" ht="15.6" x14ac:dyDescent="0.3">
      <c r="A158" s="334"/>
      <c r="B158" s="335" t="s">
        <v>60</v>
      </c>
      <c r="C158" s="335"/>
      <c r="D158" s="335"/>
      <c r="E158" s="335"/>
      <c r="F158" s="335"/>
      <c r="G158" s="335"/>
      <c r="H158" s="335"/>
      <c r="I158" s="335"/>
      <c r="J158" s="335"/>
      <c r="K158" s="335"/>
      <c r="L158" s="335"/>
      <c r="M158" s="335"/>
      <c r="N158" s="335"/>
      <c r="O158" s="335"/>
      <c r="P158" s="335"/>
      <c r="Q158" s="335"/>
      <c r="R158" s="337">
        <v>0</v>
      </c>
      <c r="S158" s="338"/>
      <c r="T158" s="255"/>
    </row>
    <row r="159" spans="1:20" s="256" customFormat="1" ht="15.6" x14ac:dyDescent="0.3">
      <c r="A159" s="334"/>
      <c r="B159" s="335" t="s">
        <v>61</v>
      </c>
      <c r="C159" s="335"/>
      <c r="D159" s="335"/>
      <c r="E159" s="335"/>
      <c r="F159" s="335"/>
      <c r="G159" s="335"/>
      <c r="H159" s="335"/>
      <c r="I159" s="335"/>
      <c r="J159" s="335"/>
      <c r="K159" s="335"/>
      <c r="L159" s="335"/>
      <c r="M159" s="335"/>
      <c r="N159" s="335"/>
      <c r="O159" s="335"/>
      <c r="P159" s="335"/>
      <c r="Q159" s="335"/>
      <c r="R159" s="337">
        <f>P112</f>
        <v>370</v>
      </c>
      <c r="S159" s="338"/>
      <c r="T159" s="255"/>
    </row>
    <row r="160" spans="1:20" s="256" customFormat="1" ht="15.6" x14ac:dyDescent="0.3">
      <c r="A160" s="334"/>
      <c r="B160" s="335" t="s">
        <v>62</v>
      </c>
      <c r="C160" s="335"/>
      <c r="D160" s="335"/>
      <c r="E160" s="335"/>
      <c r="F160" s="335"/>
      <c r="G160" s="335"/>
      <c r="H160" s="335"/>
      <c r="I160" s="335"/>
      <c r="J160" s="335"/>
      <c r="K160" s="335"/>
      <c r="L160" s="335"/>
      <c r="M160" s="335"/>
      <c r="N160" s="335"/>
      <c r="O160" s="335"/>
      <c r="P160" s="335"/>
      <c r="Q160" s="335"/>
      <c r="R160" s="337">
        <f>R159+R158</f>
        <v>370</v>
      </c>
      <c r="S160" s="338"/>
      <c r="T160" s="255"/>
    </row>
    <row r="161" spans="1:20" s="256" customFormat="1" ht="15.6" x14ac:dyDescent="0.3">
      <c r="A161" s="334"/>
      <c r="B161" s="335" t="s">
        <v>308</v>
      </c>
      <c r="C161" s="335"/>
      <c r="D161" s="335"/>
      <c r="E161" s="335"/>
      <c r="F161" s="335"/>
      <c r="G161" s="335"/>
      <c r="H161" s="335"/>
      <c r="I161" s="335"/>
      <c r="J161" s="335"/>
      <c r="K161" s="335"/>
      <c r="L161" s="335"/>
      <c r="M161" s="335"/>
      <c r="N161" s="335"/>
      <c r="O161" s="335"/>
      <c r="P161" s="335"/>
      <c r="Q161" s="335"/>
      <c r="R161" s="337">
        <f>R112</f>
        <v>-370</v>
      </c>
      <c r="S161" s="338"/>
      <c r="T161" s="255"/>
    </row>
    <row r="162" spans="1:20" s="256" customFormat="1" ht="15.6" x14ac:dyDescent="0.3">
      <c r="A162" s="334"/>
      <c r="B162" s="335" t="s">
        <v>63</v>
      </c>
      <c r="C162" s="335"/>
      <c r="D162" s="335"/>
      <c r="E162" s="335"/>
      <c r="F162" s="335"/>
      <c r="G162" s="335"/>
      <c r="H162" s="335"/>
      <c r="I162" s="335"/>
      <c r="J162" s="335"/>
      <c r="K162" s="335"/>
      <c r="L162" s="335"/>
      <c r="M162" s="335"/>
      <c r="N162" s="335"/>
      <c r="O162" s="335"/>
      <c r="P162" s="335"/>
      <c r="Q162" s="335"/>
      <c r="R162" s="337">
        <f>R160+R161</f>
        <v>0</v>
      </c>
      <c r="S162" s="338"/>
      <c r="T162" s="255"/>
    </row>
    <row r="163" spans="1:20" s="256" customFormat="1" ht="15.6" x14ac:dyDescent="0.3">
      <c r="A163" s="334"/>
      <c r="B163" s="335" t="s">
        <v>276</v>
      </c>
      <c r="C163" s="335"/>
      <c r="D163" s="335"/>
      <c r="E163" s="335"/>
      <c r="F163" s="335"/>
      <c r="G163" s="335"/>
      <c r="H163" s="335"/>
      <c r="I163" s="335"/>
      <c r="J163" s="335"/>
      <c r="K163" s="335"/>
      <c r="L163" s="335"/>
      <c r="M163" s="335"/>
      <c r="N163" s="335"/>
      <c r="O163" s="335"/>
      <c r="P163" s="335"/>
      <c r="Q163" s="335"/>
      <c r="R163" s="337">
        <v>0</v>
      </c>
      <c r="S163" s="338"/>
      <c r="T163" s="255"/>
    </row>
    <row r="164" spans="1:20" s="256" customFormat="1" ht="16.2" thickBot="1" x14ac:dyDescent="0.35">
      <c r="A164" s="261"/>
      <c r="B164" s="282"/>
      <c r="C164" s="282"/>
      <c r="D164" s="282"/>
      <c r="E164" s="282"/>
      <c r="F164" s="282"/>
      <c r="G164" s="282"/>
      <c r="H164" s="282"/>
      <c r="I164" s="282"/>
      <c r="J164" s="282"/>
      <c r="K164" s="282"/>
      <c r="L164" s="282"/>
      <c r="M164" s="282"/>
      <c r="N164" s="282"/>
      <c r="O164" s="282"/>
      <c r="P164" s="282"/>
      <c r="Q164" s="282"/>
      <c r="R164" s="350"/>
      <c r="S164" s="282"/>
      <c r="T164" s="255"/>
    </row>
    <row r="165" spans="1:20" ht="15.6" x14ac:dyDescent="0.3">
      <c r="A165" s="180"/>
      <c r="B165" s="181"/>
      <c r="C165" s="181"/>
      <c r="D165" s="181"/>
      <c r="E165" s="181"/>
      <c r="F165" s="181"/>
      <c r="G165" s="181"/>
      <c r="H165" s="181"/>
      <c r="I165" s="181"/>
      <c r="J165" s="181"/>
      <c r="K165" s="181"/>
      <c r="L165" s="181"/>
      <c r="M165" s="181"/>
      <c r="N165" s="181"/>
      <c r="O165" s="181"/>
      <c r="P165" s="181"/>
      <c r="Q165" s="181"/>
      <c r="R165" s="195"/>
      <c r="S165" s="181"/>
      <c r="T165" s="5"/>
    </row>
    <row r="166" spans="1:20" ht="15.6" x14ac:dyDescent="0.3">
      <c r="A166" s="182"/>
      <c r="B166" s="203" t="s">
        <v>64</v>
      </c>
      <c r="C166" s="184"/>
      <c r="D166" s="184"/>
      <c r="E166" s="184"/>
      <c r="F166" s="184"/>
      <c r="G166" s="184"/>
      <c r="H166" s="184"/>
      <c r="I166" s="184"/>
      <c r="J166" s="184"/>
      <c r="K166" s="184"/>
      <c r="L166" s="184"/>
      <c r="M166" s="184"/>
      <c r="N166" s="184"/>
      <c r="O166" s="184"/>
      <c r="P166" s="184"/>
      <c r="Q166" s="184"/>
      <c r="R166" s="196"/>
      <c r="S166" s="184"/>
      <c r="T166" s="5"/>
    </row>
    <row r="167" spans="1:20" ht="15.6" x14ac:dyDescent="0.3">
      <c r="A167" s="182"/>
      <c r="B167" s="193"/>
      <c r="C167" s="184"/>
      <c r="D167" s="184"/>
      <c r="E167" s="184"/>
      <c r="F167" s="184"/>
      <c r="G167" s="184"/>
      <c r="H167" s="184"/>
      <c r="I167" s="184"/>
      <c r="J167" s="184"/>
      <c r="K167" s="184"/>
      <c r="L167" s="184"/>
      <c r="M167" s="184"/>
      <c r="N167" s="184"/>
      <c r="O167" s="184"/>
      <c r="P167" s="184"/>
      <c r="Q167" s="184"/>
      <c r="R167" s="196"/>
      <c r="S167" s="184"/>
      <c r="T167" s="5"/>
    </row>
    <row r="168" spans="1:20" s="256" customFormat="1" ht="15.6" x14ac:dyDescent="0.3">
      <c r="A168" s="334"/>
      <c r="B168" s="335" t="s">
        <v>65</v>
      </c>
      <c r="C168" s="335"/>
      <c r="D168" s="335"/>
      <c r="E168" s="335"/>
      <c r="F168" s="335"/>
      <c r="G168" s="335"/>
      <c r="H168" s="335"/>
      <c r="I168" s="335"/>
      <c r="J168" s="335"/>
      <c r="K168" s="335"/>
      <c r="L168" s="335"/>
      <c r="M168" s="335"/>
      <c r="N168" s="335"/>
      <c r="O168" s="335"/>
      <c r="P168" s="335"/>
      <c r="Q168" s="335"/>
      <c r="R168" s="337">
        <f>R69</f>
        <v>438544</v>
      </c>
      <c r="S168" s="338"/>
      <c r="T168" s="255"/>
    </row>
    <row r="169" spans="1:20" s="256" customFormat="1" ht="15.6" x14ac:dyDescent="0.3">
      <c r="A169" s="334"/>
      <c r="B169" s="335" t="s">
        <v>66</v>
      </c>
      <c r="C169" s="335"/>
      <c r="D169" s="335"/>
      <c r="E169" s="335"/>
      <c r="F169" s="335"/>
      <c r="G169" s="335"/>
      <c r="H169" s="335"/>
      <c r="I169" s="335"/>
      <c r="J169" s="335"/>
      <c r="K169" s="335"/>
      <c r="L169" s="335"/>
      <c r="M169" s="335"/>
      <c r="N169" s="335"/>
      <c r="O169" s="335"/>
      <c r="P169" s="335"/>
      <c r="Q169" s="335"/>
      <c r="R169" s="337">
        <f>R82</f>
        <v>438544</v>
      </c>
      <c r="S169" s="338"/>
      <c r="T169" s="255"/>
    </row>
    <row r="170" spans="1:20" ht="16.2" thickBot="1" x14ac:dyDescent="0.35">
      <c r="A170" s="182"/>
      <c r="B170" s="213"/>
      <c r="C170" s="213"/>
      <c r="D170" s="213"/>
      <c r="E170" s="213"/>
      <c r="F170" s="213"/>
      <c r="G170" s="213"/>
      <c r="H170" s="213"/>
      <c r="I170" s="213"/>
      <c r="J170" s="213"/>
      <c r="K170" s="213"/>
      <c r="L170" s="213"/>
      <c r="M170" s="213"/>
      <c r="N170" s="213"/>
      <c r="O170" s="213"/>
      <c r="P170" s="213"/>
      <c r="Q170" s="213"/>
      <c r="R170" s="351"/>
      <c r="S170" s="213"/>
      <c r="T170" s="5"/>
    </row>
    <row r="171" spans="1:20" ht="15.6" x14ac:dyDescent="0.3">
      <c r="A171" s="180"/>
      <c r="B171" s="181"/>
      <c r="C171" s="181"/>
      <c r="D171" s="181"/>
      <c r="E171" s="181"/>
      <c r="F171" s="181"/>
      <c r="G171" s="181"/>
      <c r="H171" s="181"/>
      <c r="I171" s="181"/>
      <c r="J171" s="181"/>
      <c r="K171" s="181"/>
      <c r="L171" s="181"/>
      <c r="M171" s="181"/>
      <c r="N171" s="181"/>
      <c r="O171" s="181"/>
      <c r="P171" s="181"/>
      <c r="Q171" s="181"/>
      <c r="R171" s="195"/>
      <c r="S171" s="181"/>
      <c r="T171" s="5"/>
    </row>
    <row r="172" spans="1:20" ht="15.6" x14ac:dyDescent="0.3">
      <c r="A172" s="182"/>
      <c r="B172" s="203" t="s">
        <v>67</v>
      </c>
      <c r="C172" s="200"/>
      <c r="D172" s="200"/>
      <c r="E172" s="200"/>
      <c r="F172" s="200"/>
      <c r="G172" s="200"/>
      <c r="H172" s="205"/>
      <c r="I172" s="205"/>
      <c r="J172" s="205"/>
      <c r="K172" s="205"/>
      <c r="L172" s="205"/>
      <c r="M172" s="205"/>
      <c r="N172" s="205"/>
      <c r="O172" s="205" t="s">
        <v>112</v>
      </c>
      <c r="P172" s="205" t="s">
        <v>120</v>
      </c>
      <c r="Q172" s="186"/>
      <c r="R172" s="206" t="s">
        <v>129</v>
      </c>
      <c r="S172" s="207"/>
      <c r="T172" s="5"/>
    </row>
    <row r="173" spans="1:20" s="256" customFormat="1" ht="15.6" x14ac:dyDescent="0.3">
      <c r="A173" s="334"/>
      <c r="B173" s="335" t="s">
        <v>68</v>
      </c>
      <c r="C173" s="335"/>
      <c r="D173" s="335"/>
      <c r="E173" s="335"/>
      <c r="F173" s="335"/>
      <c r="G173" s="335"/>
      <c r="H173" s="335"/>
      <c r="I173" s="335"/>
      <c r="J173" s="335"/>
      <c r="K173" s="335"/>
      <c r="L173" s="335"/>
      <c r="M173" s="335"/>
      <c r="N173" s="335"/>
      <c r="O173" s="337">
        <v>160000</v>
      </c>
      <c r="P173" s="340"/>
      <c r="Q173" s="335"/>
      <c r="R173" s="337"/>
      <c r="S173" s="338"/>
      <c r="T173" s="255"/>
    </row>
    <row r="174" spans="1:20" s="256" customFormat="1" ht="15.6" x14ac:dyDescent="0.3">
      <c r="A174" s="334"/>
      <c r="B174" s="335" t="s">
        <v>69</v>
      </c>
      <c r="C174" s="335"/>
      <c r="D174" s="335"/>
      <c r="E174" s="335"/>
      <c r="F174" s="335"/>
      <c r="G174" s="335"/>
      <c r="H174" s="335"/>
      <c r="I174" s="335"/>
      <c r="J174" s="335"/>
      <c r="K174" s="335"/>
      <c r="L174" s="335"/>
      <c r="M174" s="335"/>
      <c r="N174" s="335"/>
      <c r="O174" s="337">
        <f>+'Sept 12'!O176</f>
        <v>88944</v>
      </c>
      <c r="P174" s="337">
        <f>+'Sept 12'!P176</f>
        <v>8461</v>
      </c>
      <c r="Q174" s="335"/>
      <c r="R174" s="337">
        <f>O174+P174</f>
        <v>97405</v>
      </c>
      <c r="S174" s="338"/>
      <c r="T174" s="255"/>
    </row>
    <row r="175" spans="1:20" s="256" customFormat="1" ht="15.6" x14ac:dyDescent="0.3">
      <c r="A175" s="334"/>
      <c r="B175" s="335" t="s">
        <v>70</v>
      </c>
      <c r="C175" s="335"/>
      <c r="D175" s="335"/>
      <c r="E175" s="335"/>
      <c r="F175" s="335"/>
      <c r="G175" s="335"/>
      <c r="H175" s="335"/>
      <c r="I175" s="335"/>
      <c r="J175" s="335"/>
      <c r="K175" s="335"/>
      <c r="L175" s="335"/>
      <c r="M175" s="335"/>
      <c r="N175" s="335"/>
      <c r="O175" s="336">
        <v>58</v>
      </c>
      <c r="P175" s="336">
        <f>-P95-P119</f>
        <v>7</v>
      </c>
      <c r="Q175" s="335"/>
      <c r="R175" s="337">
        <f>O175+P175</f>
        <v>65</v>
      </c>
      <c r="S175" s="338"/>
      <c r="T175" s="255"/>
    </row>
    <row r="176" spans="1:20" s="256" customFormat="1" ht="15.6" x14ac:dyDescent="0.3">
      <c r="A176" s="334"/>
      <c r="B176" s="335" t="s">
        <v>71</v>
      </c>
      <c r="C176" s="335"/>
      <c r="D176" s="335"/>
      <c r="E176" s="335"/>
      <c r="F176" s="335"/>
      <c r="G176" s="335"/>
      <c r="H176" s="335"/>
      <c r="I176" s="335"/>
      <c r="J176" s="335"/>
      <c r="K176" s="335"/>
      <c r="L176" s="335"/>
      <c r="M176" s="335"/>
      <c r="N176" s="335"/>
      <c r="O176" s="337">
        <f>O174+O175</f>
        <v>89002</v>
      </c>
      <c r="P176" s="337">
        <f>P175+P174</f>
        <v>8468</v>
      </c>
      <c r="Q176" s="335"/>
      <c r="R176" s="337">
        <f>O176+P176</f>
        <v>97470</v>
      </c>
      <c r="S176" s="338"/>
      <c r="T176" s="255"/>
    </row>
    <row r="177" spans="1:20" s="256" customFormat="1" ht="15.6" x14ac:dyDescent="0.3">
      <c r="A177" s="334"/>
      <c r="B177" s="335" t="s">
        <v>72</v>
      </c>
      <c r="C177" s="335"/>
      <c r="D177" s="335"/>
      <c r="E177" s="335"/>
      <c r="F177" s="335"/>
      <c r="G177" s="335"/>
      <c r="H177" s="335"/>
      <c r="I177" s="335"/>
      <c r="J177" s="335"/>
      <c r="K177" s="335"/>
      <c r="L177" s="335"/>
      <c r="M177" s="335"/>
      <c r="N177" s="335"/>
      <c r="O177" s="337">
        <f>O173-O176-P176</f>
        <v>62530</v>
      </c>
      <c r="P177" s="340"/>
      <c r="Q177" s="335"/>
      <c r="R177" s="337"/>
      <c r="S177" s="338"/>
      <c r="T177" s="255"/>
    </row>
    <row r="178" spans="1:20" ht="16.2" thickBot="1" x14ac:dyDescent="0.35">
      <c r="A178" s="182"/>
      <c r="B178" s="213"/>
      <c r="C178" s="213"/>
      <c r="D178" s="213"/>
      <c r="E178" s="213"/>
      <c r="F178" s="213"/>
      <c r="G178" s="213"/>
      <c r="H178" s="213"/>
      <c r="I178" s="213"/>
      <c r="J178" s="213"/>
      <c r="K178" s="213"/>
      <c r="L178" s="213"/>
      <c r="M178" s="213"/>
      <c r="N178" s="213"/>
      <c r="O178" s="213"/>
      <c r="P178" s="213"/>
      <c r="Q178" s="213"/>
      <c r="R178" s="351"/>
      <c r="S178" s="213"/>
      <c r="T178" s="5"/>
    </row>
    <row r="179" spans="1:20" ht="15.6" x14ac:dyDescent="0.3">
      <c r="A179" s="180"/>
      <c r="B179" s="181"/>
      <c r="C179" s="181"/>
      <c r="D179" s="181"/>
      <c r="E179" s="181"/>
      <c r="F179" s="181"/>
      <c r="G179" s="181"/>
      <c r="H179" s="181"/>
      <c r="I179" s="181"/>
      <c r="J179" s="181"/>
      <c r="K179" s="181"/>
      <c r="L179" s="181"/>
      <c r="M179" s="181"/>
      <c r="N179" s="181"/>
      <c r="O179" s="181"/>
      <c r="P179" s="181"/>
      <c r="Q179" s="181"/>
      <c r="R179" s="195"/>
      <c r="S179" s="181"/>
      <c r="T179" s="5"/>
    </row>
    <row r="180" spans="1:20" ht="15.6" x14ac:dyDescent="0.3">
      <c r="A180" s="182"/>
      <c r="B180" s="203" t="s">
        <v>73</v>
      </c>
      <c r="C180" s="184"/>
      <c r="D180" s="184"/>
      <c r="E180" s="184"/>
      <c r="F180" s="184"/>
      <c r="G180" s="184"/>
      <c r="H180" s="184"/>
      <c r="I180" s="184"/>
      <c r="J180" s="184"/>
      <c r="K180" s="184"/>
      <c r="L180" s="184"/>
      <c r="M180" s="184"/>
      <c r="N180" s="184"/>
      <c r="O180" s="184"/>
      <c r="P180" s="184"/>
      <c r="Q180" s="184"/>
      <c r="R180" s="208"/>
      <c r="S180" s="184"/>
      <c r="T180" s="5"/>
    </row>
    <row r="181" spans="1:20" s="256" customFormat="1" ht="15.6" x14ac:dyDescent="0.3">
      <c r="A181" s="334"/>
      <c r="B181" s="335" t="s">
        <v>74</v>
      </c>
      <c r="C181" s="335"/>
      <c r="D181" s="335"/>
      <c r="E181" s="335"/>
      <c r="F181" s="335"/>
      <c r="G181" s="335"/>
      <c r="H181" s="335"/>
      <c r="I181" s="335"/>
      <c r="J181" s="335"/>
      <c r="K181" s="335"/>
      <c r="L181" s="335"/>
      <c r="M181" s="335"/>
      <c r="N181" s="335"/>
      <c r="O181" s="335"/>
      <c r="P181" s="335"/>
      <c r="Q181" s="335"/>
      <c r="R181" s="352">
        <f>(R98+R100+R101+R102+R103+R104)/-(R105+R106+R107+R108)</f>
        <v>3.3559718969555035</v>
      </c>
      <c r="S181" s="338" t="s">
        <v>130</v>
      </c>
      <c r="T181" s="255"/>
    </row>
    <row r="182" spans="1:20" s="256" customFormat="1" ht="15.6" x14ac:dyDescent="0.3">
      <c r="A182" s="334"/>
      <c r="B182" s="335" t="s">
        <v>75</v>
      </c>
      <c r="C182" s="335"/>
      <c r="D182" s="335"/>
      <c r="E182" s="335"/>
      <c r="F182" s="335"/>
      <c r="G182" s="335"/>
      <c r="H182" s="335"/>
      <c r="I182" s="335"/>
      <c r="J182" s="335"/>
      <c r="K182" s="335"/>
      <c r="L182" s="335"/>
      <c r="M182" s="335"/>
      <c r="N182" s="335"/>
      <c r="O182" s="335"/>
      <c r="P182" s="335"/>
      <c r="Q182" s="335"/>
      <c r="R182" s="352">
        <v>1.54</v>
      </c>
      <c r="S182" s="338" t="s">
        <v>130</v>
      </c>
      <c r="T182" s="255"/>
    </row>
    <row r="183" spans="1:20" s="256" customFormat="1" ht="15.6" x14ac:dyDescent="0.3">
      <c r="A183" s="334"/>
      <c r="B183" s="335" t="s">
        <v>76</v>
      </c>
      <c r="C183" s="335"/>
      <c r="D183" s="335"/>
      <c r="E183" s="335"/>
      <c r="F183" s="335"/>
      <c r="G183" s="335"/>
      <c r="H183" s="335"/>
      <c r="I183" s="335"/>
      <c r="J183" s="335"/>
      <c r="K183" s="335"/>
      <c r="L183" s="335"/>
      <c r="M183" s="335"/>
      <c r="N183" s="335"/>
      <c r="O183" s="335"/>
      <c r="P183" s="335"/>
      <c r="Q183" s="335"/>
      <c r="R183" s="352">
        <f>(R98+R100+R101+R102+R103+R104+R105+R106+R107+R108)/-(R109+R110)</f>
        <v>4.8481927710843378</v>
      </c>
      <c r="S183" s="338" t="s">
        <v>130</v>
      </c>
      <c r="T183" s="255"/>
    </row>
    <row r="184" spans="1:20" s="256" customFormat="1" ht="15.6" x14ac:dyDescent="0.3">
      <c r="A184" s="334"/>
      <c r="B184" s="335" t="s">
        <v>77</v>
      </c>
      <c r="C184" s="335"/>
      <c r="D184" s="335"/>
      <c r="E184" s="335"/>
      <c r="F184" s="335"/>
      <c r="G184" s="335"/>
      <c r="H184" s="335"/>
      <c r="I184" s="335"/>
      <c r="J184" s="335"/>
      <c r="K184" s="335"/>
      <c r="L184" s="335"/>
      <c r="M184" s="335"/>
      <c r="N184" s="335"/>
      <c r="O184" s="335"/>
      <c r="P184" s="335"/>
      <c r="Q184" s="335"/>
      <c r="R184" s="354">
        <v>2.86</v>
      </c>
      <c r="S184" s="338" t="s">
        <v>130</v>
      </c>
      <c r="T184" s="255"/>
    </row>
    <row r="185" spans="1:20" s="256" customFormat="1" ht="15.6" x14ac:dyDescent="0.3">
      <c r="A185" s="334"/>
      <c r="B185" s="335"/>
      <c r="C185" s="335"/>
      <c r="D185" s="335"/>
      <c r="E185" s="335"/>
      <c r="F185" s="335"/>
      <c r="G185" s="335"/>
      <c r="H185" s="335"/>
      <c r="I185" s="335"/>
      <c r="J185" s="335"/>
      <c r="K185" s="335"/>
      <c r="L185" s="335"/>
      <c r="M185" s="335"/>
      <c r="N185" s="335"/>
      <c r="O185" s="335"/>
      <c r="P185" s="335"/>
      <c r="Q185" s="335"/>
      <c r="R185" s="335"/>
      <c r="S185" s="338"/>
      <c r="T185" s="255"/>
    </row>
    <row r="186" spans="1:20" s="256" customFormat="1" ht="15.6" x14ac:dyDescent="0.3">
      <c r="A186" s="261"/>
      <c r="B186" s="282"/>
      <c r="C186" s="282"/>
      <c r="D186" s="282"/>
      <c r="E186" s="282"/>
      <c r="F186" s="282"/>
      <c r="G186" s="282"/>
      <c r="H186" s="282"/>
      <c r="I186" s="282"/>
      <c r="J186" s="282"/>
      <c r="K186" s="282"/>
      <c r="L186" s="282"/>
      <c r="M186" s="282"/>
      <c r="N186" s="282"/>
      <c r="O186" s="282"/>
      <c r="P186" s="282"/>
      <c r="Q186" s="282"/>
      <c r="R186" s="282"/>
      <c r="S186" s="282"/>
      <c r="T186" s="255"/>
    </row>
    <row r="187" spans="1:20" s="256" customFormat="1" ht="15.6" x14ac:dyDescent="0.3">
      <c r="A187" s="261"/>
      <c r="B187" s="242"/>
      <c r="C187" s="242"/>
      <c r="D187" s="242"/>
      <c r="E187" s="242"/>
      <c r="F187" s="242"/>
      <c r="G187" s="242"/>
      <c r="H187" s="242"/>
      <c r="I187" s="242"/>
      <c r="J187" s="242"/>
      <c r="K187" s="242"/>
      <c r="L187" s="242"/>
      <c r="M187" s="242"/>
      <c r="N187" s="242"/>
      <c r="O187" s="242"/>
      <c r="P187" s="242"/>
      <c r="Q187" s="242"/>
      <c r="R187" s="242"/>
      <c r="S187" s="242"/>
      <c r="T187" s="255"/>
    </row>
    <row r="188" spans="1:20" s="256" customFormat="1" ht="18" thickBot="1" x14ac:dyDescent="0.35">
      <c r="A188" s="264"/>
      <c r="B188" s="265" t="str">
        <f>B131</f>
        <v>PM8 INVESTOR REPORT QUARTER ENDING DECEMBER 2012</v>
      </c>
      <c r="C188" s="273"/>
      <c r="D188" s="273"/>
      <c r="E188" s="273"/>
      <c r="F188" s="273"/>
      <c r="G188" s="273"/>
      <c r="H188" s="273"/>
      <c r="I188" s="273"/>
      <c r="J188" s="273"/>
      <c r="K188" s="273"/>
      <c r="L188" s="273"/>
      <c r="M188" s="273"/>
      <c r="N188" s="273"/>
      <c r="O188" s="273"/>
      <c r="P188" s="273"/>
      <c r="Q188" s="273"/>
      <c r="R188" s="273"/>
      <c r="S188" s="274"/>
      <c r="T188" s="255"/>
    </row>
    <row r="189" spans="1:20" ht="15.6" x14ac:dyDescent="0.3">
      <c r="A189" s="226"/>
      <c r="B189" s="568" t="s">
        <v>78</v>
      </c>
      <c r="C189" s="569"/>
      <c r="D189" s="569"/>
      <c r="E189" s="569"/>
      <c r="F189" s="569"/>
      <c r="G189" s="570"/>
      <c r="H189" s="570"/>
      <c r="I189" s="570"/>
      <c r="J189" s="570"/>
      <c r="K189" s="570"/>
      <c r="L189" s="570"/>
      <c r="M189" s="570"/>
      <c r="N189" s="570"/>
      <c r="O189" s="570"/>
      <c r="P189" s="570">
        <v>41274</v>
      </c>
      <c r="Q189" s="227"/>
      <c r="R189" s="227"/>
      <c r="S189" s="227"/>
      <c r="T189" s="5"/>
    </row>
    <row r="190" spans="1:20" ht="15.6" x14ac:dyDescent="0.3">
      <c r="A190" s="209"/>
      <c r="B190" s="210"/>
      <c r="C190" s="211"/>
      <c r="D190" s="211"/>
      <c r="E190" s="211"/>
      <c r="F190" s="211"/>
      <c r="G190" s="212"/>
      <c r="H190" s="212"/>
      <c r="I190" s="212"/>
      <c r="J190" s="212"/>
      <c r="K190" s="212"/>
      <c r="L190" s="212"/>
      <c r="M190" s="212"/>
      <c r="N190" s="212"/>
      <c r="O190" s="212"/>
      <c r="P190" s="212"/>
      <c r="Q190" s="184"/>
      <c r="R190" s="184"/>
      <c r="S190" s="184"/>
      <c r="T190" s="5"/>
    </row>
    <row r="191" spans="1:20" s="256" customFormat="1" ht="15.6" x14ac:dyDescent="0.3">
      <c r="A191" s="334"/>
      <c r="B191" s="335" t="s">
        <v>79</v>
      </c>
      <c r="C191" s="356"/>
      <c r="D191" s="356"/>
      <c r="E191" s="356"/>
      <c r="F191" s="356"/>
      <c r="G191" s="357"/>
      <c r="H191" s="357"/>
      <c r="I191" s="357"/>
      <c r="J191" s="357"/>
      <c r="K191" s="357"/>
      <c r="L191" s="357"/>
      <c r="M191" s="357"/>
      <c r="N191" s="357"/>
      <c r="O191" s="357"/>
      <c r="P191" s="358">
        <v>6.2039999999999998E-2</v>
      </c>
      <c r="Q191" s="335"/>
      <c r="R191" s="335"/>
      <c r="S191" s="338"/>
      <c r="T191" s="255"/>
    </row>
    <row r="192" spans="1:20" s="256" customFormat="1" ht="15.6" x14ac:dyDescent="0.3">
      <c r="A192" s="334"/>
      <c r="B192" s="335" t="s">
        <v>178</v>
      </c>
      <c r="C192" s="356"/>
      <c r="D192" s="356"/>
      <c r="E192" s="356"/>
      <c r="F192" s="356"/>
      <c r="G192" s="357"/>
      <c r="H192" s="357"/>
      <c r="I192" s="357"/>
      <c r="J192" s="357"/>
      <c r="K192" s="357"/>
      <c r="L192" s="357"/>
      <c r="M192" s="357"/>
      <c r="N192" s="357"/>
      <c r="O192" s="357"/>
      <c r="P192" s="358">
        <v>5.1733455000000005E-2</v>
      </c>
      <c r="Q192" s="335"/>
      <c r="R192" s="335"/>
      <c r="S192" s="338"/>
      <c r="T192" s="255"/>
    </row>
    <row r="193" spans="1:20" s="256" customFormat="1" ht="15.6" x14ac:dyDescent="0.3">
      <c r="A193" s="334"/>
      <c r="B193" s="335" t="s">
        <v>80</v>
      </c>
      <c r="C193" s="356"/>
      <c r="D193" s="356"/>
      <c r="E193" s="356"/>
      <c r="F193" s="356"/>
      <c r="G193" s="357"/>
      <c r="H193" s="357"/>
      <c r="I193" s="357"/>
      <c r="J193" s="357"/>
      <c r="K193" s="357"/>
      <c r="L193" s="357"/>
      <c r="M193" s="357"/>
      <c r="N193" s="357"/>
      <c r="O193" s="357"/>
      <c r="P193" s="358">
        <f>P191-P192</f>
        <v>1.0306544999999993E-2</v>
      </c>
      <c r="Q193" s="335"/>
      <c r="R193" s="335"/>
      <c r="S193" s="338"/>
      <c r="T193" s="255"/>
    </row>
    <row r="194" spans="1:20" s="256" customFormat="1" ht="15.6" x14ac:dyDescent="0.3">
      <c r="A194" s="334"/>
      <c r="B194" s="335" t="s">
        <v>81</v>
      </c>
      <c r="C194" s="356"/>
      <c r="D194" s="356"/>
      <c r="E194" s="356"/>
      <c r="F194" s="356"/>
      <c r="G194" s="357"/>
      <c r="H194" s="357"/>
      <c r="I194" s="357"/>
      <c r="J194" s="357"/>
      <c r="K194" s="357"/>
      <c r="L194" s="357"/>
      <c r="M194" s="357"/>
      <c r="N194" s="357"/>
      <c r="O194" s="357"/>
      <c r="P194" s="358">
        <v>2.4E-2</v>
      </c>
      <c r="Q194" s="335"/>
      <c r="R194" s="335"/>
      <c r="S194" s="338"/>
      <c r="T194" s="255"/>
    </row>
    <row r="195" spans="1:20" s="256" customFormat="1" ht="15.6" x14ac:dyDescent="0.3">
      <c r="A195" s="334"/>
      <c r="B195" s="335" t="s">
        <v>261</v>
      </c>
      <c r="C195" s="356"/>
      <c r="D195" s="356"/>
      <c r="E195" s="356"/>
      <c r="F195" s="356"/>
      <c r="G195" s="357"/>
      <c r="H195" s="357"/>
      <c r="I195" s="357"/>
      <c r="J195" s="357"/>
      <c r="K195" s="357"/>
      <c r="L195" s="357"/>
      <c r="M195" s="357"/>
      <c r="N195" s="357"/>
      <c r="O195" s="357"/>
      <c r="P195" s="358">
        <f>+R42</f>
        <v>1.1403813874945658E-2</v>
      </c>
      <c r="Q195" s="335"/>
      <c r="R195" s="335"/>
      <c r="S195" s="338"/>
      <c r="T195" s="255"/>
    </row>
    <row r="196" spans="1:20" s="256" customFormat="1" ht="15.6" x14ac:dyDescent="0.3">
      <c r="A196" s="334"/>
      <c r="B196" s="335" t="s">
        <v>82</v>
      </c>
      <c r="C196" s="356"/>
      <c r="D196" s="356"/>
      <c r="E196" s="356"/>
      <c r="F196" s="356"/>
      <c r="G196" s="357"/>
      <c r="H196" s="357"/>
      <c r="I196" s="357"/>
      <c r="J196" s="357"/>
      <c r="K196" s="357"/>
      <c r="L196" s="357"/>
      <c r="M196" s="357"/>
      <c r="N196" s="357"/>
      <c r="O196" s="357"/>
      <c r="P196" s="358">
        <f>P194-P195</f>
        <v>1.2596186125054342E-2</v>
      </c>
      <c r="Q196" s="335"/>
      <c r="R196" s="335"/>
      <c r="S196" s="338"/>
      <c r="T196" s="255"/>
    </row>
    <row r="197" spans="1:20" s="256" customFormat="1" ht="15.6" x14ac:dyDescent="0.3">
      <c r="A197" s="334"/>
      <c r="B197" s="335" t="s">
        <v>267</v>
      </c>
      <c r="C197" s="356"/>
      <c r="D197" s="356"/>
      <c r="E197" s="356"/>
      <c r="F197" s="356"/>
      <c r="G197" s="357"/>
      <c r="H197" s="357"/>
      <c r="I197" s="357"/>
      <c r="J197" s="357"/>
      <c r="K197" s="357"/>
      <c r="L197" s="357"/>
      <c r="M197" s="357"/>
      <c r="N197" s="357"/>
      <c r="O197" s="357"/>
      <c r="P197" s="358">
        <f>+R98/J69</f>
        <v>7.3847213287061789E-3</v>
      </c>
      <c r="Q197" s="335"/>
      <c r="R197" s="335"/>
      <c r="S197" s="338"/>
      <c r="T197" s="255"/>
    </row>
    <row r="198" spans="1:20" s="256" customFormat="1" ht="15.6" x14ac:dyDescent="0.3">
      <c r="A198" s="334"/>
      <c r="B198" s="335" t="s">
        <v>208</v>
      </c>
      <c r="C198" s="356"/>
      <c r="D198" s="356"/>
      <c r="E198" s="356"/>
      <c r="F198" s="356"/>
      <c r="G198" s="357"/>
      <c r="H198" s="357"/>
      <c r="I198" s="357"/>
      <c r="J198" s="357"/>
      <c r="K198" s="357"/>
      <c r="L198" s="357"/>
      <c r="M198" s="357"/>
      <c r="N198" s="357"/>
      <c r="O198" s="357"/>
      <c r="P198" s="359">
        <v>12875</v>
      </c>
      <c r="Q198" s="335"/>
      <c r="R198" s="335"/>
      <c r="S198" s="338"/>
      <c r="T198" s="255"/>
    </row>
    <row r="199" spans="1:20" s="256" customFormat="1" ht="15.6" x14ac:dyDescent="0.3">
      <c r="A199" s="334"/>
      <c r="B199" s="335" t="s">
        <v>209</v>
      </c>
      <c r="C199" s="356"/>
      <c r="D199" s="356"/>
      <c r="E199" s="356"/>
      <c r="F199" s="356"/>
      <c r="G199" s="357"/>
      <c r="H199" s="357"/>
      <c r="I199" s="357"/>
      <c r="J199" s="357"/>
      <c r="K199" s="357"/>
      <c r="L199" s="357"/>
      <c r="M199" s="357"/>
      <c r="N199" s="357"/>
      <c r="O199" s="357"/>
      <c r="P199" s="359">
        <v>16163</v>
      </c>
      <c r="Q199" s="335"/>
      <c r="R199" s="335"/>
      <c r="S199" s="338"/>
      <c r="T199" s="255"/>
    </row>
    <row r="200" spans="1:20" s="256" customFormat="1" ht="15.6" x14ac:dyDescent="0.3">
      <c r="A200" s="334"/>
      <c r="B200" s="335" t="s">
        <v>83</v>
      </c>
      <c r="C200" s="356"/>
      <c r="D200" s="356"/>
      <c r="E200" s="356"/>
      <c r="F200" s="356"/>
      <c r="G200" s="357"/>
      <c r="H200" s="357"/>
      <c r="I200" s="357"/>
      <c r="J200" s="357"/>
      <c r="K200" s="357"/>
      <c r="L200" s="357"/>
      <c r="M200" s="357"/>
      <c r="N200" s="357"/>
      <c r="O200" s="357"/>
      <c r="P200" s="360">
        <v>19.739999999999998</v>
      </c>
      <c r="Q200" s="335" t="s">
        <v>125</v>
      </c>
      <c r="R200" s="335"/>
      <c r="S200" s="338"/>
      <c r="T200" s="255"/>
    </row>
    <row r="201" spans="1:20" s="256" customFormat="1" ht="15.6" x14ac:dyDescent="0.3">
      <c r="A201" s="334"/>
      <c r="B201" s="335" t="s">
        <v>84</v>
      </c>
      <c r="C201" s="356"/>
      <c r="D201" s="356"/>
      <c r="E201" s="356"/>
      <c r="F201" s="356"/>
      <c r="G201" s="357"/>
      <c r="H201" s="357"/>
      <c r="I201" s="357"/>
      <c r="J201" s="357"/>
      <c r="K201" s="357"/>
      <c r="L201" s="357"/>
      <c r="M201" s="357"/>
      <c r="N201" s="357"/>
      <c r="O201" s="357"/>
      <c r="P201" s="360">
        <v>13.11</v>
      </c>
      <c r="Q201" s="335" t="s">
        <v>125</v>
      </c>
      <c r="R201" s="335"/>
      <c r="S201" s="338"/>
      <c r="T201" s="255"/>
    </row>
    <row r="202" spans="1:20" s="256" customFormat="1" ht="15.6" x14ac:dyDescent="0.3">
      <c r="A202" s="334"/>
      <c r="B202" s="335" t="s">
        <v>85</v>
      </c>
      <c r="C202" s="356"/>
      <c r="D202" s="356"/>
      <c r="E202" s="356"/>
      <c r="F202" s="356"/>
      <c r="G202" s="357"/>
      <c r="H202" s="357"/>
      <c r="I202" s="357"/>
      <c r="J202" s="357"/>
      <c r="K202" s="357"/>
      <c r="L202" s="357"/>
      <c r="M202" s="357"/>
      <c r="N202" s="357"/>
      <c r="O202" s="357"/>
      <c r="P202" s="358">
        <f>L66/J66</f>
        <v>6.7345940215470766E-3</v>
      </c>
      <c r="Q202" s="335"/>
      <c r="R202" s="335"/>
      <c r="S202" s="338"/>
      <c r="T202" s="255"/>
    </row>
    <row r="203" spans="1:20" s="256" customFormat="1" ht="15.6" x14ac:dyDescent="0.3">
      <c r="A203" s="334"/>
      <c r="B203" s="335" t="s">
        <v>86</v>
      </c>
      <c r="C203" s="356"/>
      <c r="D203" s="356"/>
      <c r="E203" s="356"/>
      <c r="F203" s="356"/>
      <c r="G203" s="357"/>
      <c r="H203" s="357"/>
      <c r="I203" s="357"/>
      <c r="J203" s="357"/>
      <c r="K203" s="357"/>
      <c r="L203" s="357"/>
      <c r="M203" s="357"/>
      <c r="N203" s="357"/>
      <c r="O203" s="357"/>
      <c r="P203" s="358">
        <v>0.1113</v>
      </c>
      <c r="Q203" s="335"/>
      <c r="R203" s="335"/>
      <c r="S203" s="338"/>
      <c r="T203" s="255"/>
    </row>
    <row r="204" spans="1:20" s="256" customFormat="1" ht="15.6" x14ac:dyDescent="0.3">
      <c r="A204" s="261"/>
      <c r="B204" s="282"/>
      <c r="C204" s="282"/>
      <c r="D204" s="282"/>
      <c r="E204" s="282"/>
      <c r="F204" s="282"/>
      <c r="G204" s="282"/>
      <c r="H204" s="282"/>
      <c r="I204" s="282"/>
      <c r="J204" s="282"/>
      <c r="K204" s="282"/>
      <c r="L204" s="282"/>
      <c r="M204" s="282"/>
      <c r="N204" s="282"/>
      <c r="O204" s="282"/>
      <c r="P204" s="350"/>
      <c r="Q204" s="282"/>
      <c r="R204" s="355"/>
      <c r="S204" s="282"/>
      <c r="T204" s="255"/>
    </row>
    <row r="205" spans="1:20" ht="15.6" x14ac:dyDescent="0.3">
      <c r="A205" s="231"/>
      <c r="B205" s="564" t="s">
        <v>87</v>
      </c>
      <c r="C205" s="566"/>
      <c r="D205" s="566"/>
      <c r="E205" s="566"/>
      <c r="F205" s="571"/>
      <c r="G205" s="566"/>
      <c r="H205" s="566"/>
      <c r="I205" s="566"/>
      <c r="J205" s="566"/>
      <c r="K205" s="566"/>
      <c r="L205" s="566"/>
      <c r="M205" s="566"/>
      <c r="N205" s="566"/>
      <c r="O205" s="566" t="s">
        <v>113</v>
      </c>
      <c r="P205" s="571" t="s">
        <v>121</v>
      </c>
      <c r="Q205" s="216"/>
      <c r="R205" s="216"/>
      <c r="S205" s="216"/>
      <c r="T205" s="5"/>
    </row>
    <row r="206" spans="1:20" s="256" customFormat="1" ht="15.6" x14ac:dyDescent="0.3">
      <c r="A206" s="276"/>
      <c r="B206" s="252" t="s">
        <v>88</v>
      </c>
      <c r="C206" s="259"/>
      <c r="D206" s="259"/>
      <c r="E206" s="259"/>
      <c r="F206" s="252"/>
      <c r="G206" s="252"/>
      <c r="H206" s="258"/>
      <c r="I206" s="258"/>
      <c r="J206" s="258"/>
      <c r="K206" s="258"/>
      <c r="L206" s="258"/>
      <c r="M206" s="258"/>
      <c r="N206" s="258"/>
      <c r="O206" s="258">
        <v>3</v>
      </c>
      <c r="P206" s="277">
        <v>166</v>
      </c>
      <c r="Q206" s="252"/>
      <c r="R206" s="275"/>
      <c r="S206" s="278"/>
      <c r="T206" s="255"/>
    </row>
    <row r="207" spans="1:20" s="256" customFormat="1" ht="15.6" x14ac:dyDescent="0.3">
      <c r="A207" s="368"/>
      <c r="B207" s="335" t="s">
        <v>169</v>
      </c>
      <c r="C207" s="336"/>
      <c r="D207" s="336"/>
      <c r="E207" s="336"/>
      <c r="F207" s="335"/>
      <c r="G207" s="335"/>
      <c r="H207" s="369"/>
      <c r="I207" s="369"/>
      <c r="J207" s="369"/>
      <c r="K207" s="369"/>
      <c r="L207" s="369"/>
      <c r="M207" s="369"/>
      <c r="N207" s="369"/>
      <c r="O207" s="370">
        <f>+N257</f>
        <v>82</v>
      </c>
      <c r="P207" s="371">
        <f>+P257</f>
        <v>11635</v>
      </c>
      <c r="Q207" s="335"/>
      <c r="R207" s="372"/>
      <c r="S207" s="373"/>
      <c r="T207" s="255"/>
    </row>
    <row r="208" spans="1:20" s="256" customFormat="1" ht="15.6" x14ac:dyDescent="0.3">
      <c r="A208" s="368"/>
      <c r="B208" s="335" t="s">
        <v>89</v>
      </c>
      <c r="C208" s="336"/>
      <c r="D208" s="336"/>
      <c r="E208" s="336"/>
      <c r="F208" s="335"/>
      <c r="G208" s="335"/>
      <c r="H208" s="369"/>
      <c r="I208" s="369"/>
      <c r="J208" s="369"/>
      <c r="K208" s="369"/>
      <c r="L208" s="369"/>
      <c r="M208" s="369"/>
      <c r="N208" s="369"/>
      <c r="O208" s="370">
        <f>+N269</f>
        <v>0</v>
      </c>
      <c r="P208" s="371">
        <f>+P269</f>
        <v>0</v>
      </c>
      <c r="Q208" s="335"/>
      <c r="R208" s="372"/>
      <c r="S208" s="373"/>
      <c r="T208" s="255"/>
    </row>
    <row r="209" spans="1:20" ht="15.6" x14ac:dyDescent="0.3">
      <c r="A209" s="374"/>
      <c r="B209" s="375" t="s">
        <v>90</v>
      </c>
      <c r="C209" s="376"/>
      <c r="D209" s="376"/>
      <c r="E209" s="376"/>
      <c r="F209" s="345"/>
      <c r="G209" s="345"/>
      <c r="H209" s="345"/>
      <c r="I209" s="345"/>
      <c r="J209" s="345"/>
      <c r="K209" s="345"/>
      <c r="L209" s="345"/>
      <c r="M209" s="345"/>
      <c r="N209" s="345"/>
      <c r="O209" s="345"/>
      <c r="P209" s="371">
        <v>0</v>
      </c>
      <c r="Q209" s="345"/>
      <c r="R209" s="378"/>
      <c r="S209" s="379"/>
      <c r="T209" s="5"/>
    </row>
    <row r="210" spans="1:20" ht="15.6" x14ac:dyDescent="0.3">
      <c r="A210" s="374"/>
      <c r="B210" s="375" t="s">
        <v>91</v>
      </c>
      <c r="C210" s="376"/>
      <c r="D210" s="376"/>
      <c r="E210" s="376"/>
      <c r="F210" s="345"/>
      <c r="G210" s="345"/>
      <c r="H210" s="345"/>
      <c r="I210" s="345"/>
      <c r="J210" s="345"/>
      <c r="K210" s="345"/>
      <c r="L210" s="345"/>
      <c r="M210" s="345"/>
      <c r="N210" s="345"/>
      <c r="O210" s="345"/>
      <c r="P210" s="387" t="s">
        <v>122</v>
      </c>
      <c r="Q210" s="345"/>
      <c r="R210" s="378"/>
      <c r="S210" s="379"/>
      <c r="T210" s="5"/>
    </row>
    <row r="211" spans="1:20" ht="15.6" x14ac:dyDescent="0.3">
      <c r="A211" s="380"/>
      <c r="B211" s="375" t="s">
        <v>92</v>
      </c>
      <c r="C211" s="381"/>
      <c r="D211" s="381"/>
      <c r="E211" s="381"/>
      <c r="F211" s="381"/>
      <c r="G211" s="345"/>
      <c r="H211" s="345"/>
      <c r="I211" s="345"/>
      <c r="J211" s="345"/>
      <c r="K211" s="345"/>
      <c r="L211" s="345"/>
      <c r="M211" s="345"/>
      <c r="N211" s="345"/>
      <c r="O211" s="345"/>
      <c r="P211" s="377"/>
      <c r="Q211" s="345"/>
      <c r="R211" s="378"/>
      <c r="S211" s="382"/>
      <c r="T211" s="5"/>
    </row>
    <row r="212" spans="1:20" s="256" customFormat="1" ht="15.6" x14ac:dyDescent="0.3">
      <c r="A212" s="383"/>
      <c r="B212" s="335" t="s">
        <v>93</v>
      </c>
      <c r="C212" s="335"/>
      <c r="D212" s="335"/>
      <c r="E212" s="335"/>
      <c r="F212" s="335"/>
      <c r="G212" s="335"/>
      <c r="H212" s="335"/>
      <c r="I212" s="335"/>
      <c r="J212" s="335"/>
      <c r="K212" s="335"/>
      <c r="L212" s="335"/>
      <c r="M212" s="335"/>
      <c r="N212" s="335"/>
      <c r="O212" s="369"/>
      <c r="P212" s="371">
        <f>R159</f>
        <v>370</v>
      </c>
      <c r="Q212" s="335"/>
      <c r="R212" s="372"/>
      <c r="S212" s="385"/>
      <c r="T212" s="255"/>
    </row>
    <row r="213" spans="1:20" s="256" customFormat="1" ht="15.6" x14ac:dyDescent="0.3">
      <c r="A213" s="368"/>
      <c r="B213" s="335" t="s">
        <v>94</v>
      </c>
      <c r="C213" s="336"/>
      <c r="D213" s="336"/>
      <c r="E213" s="336"/>
      <c r="F213" s="336"/>
      <c r="G213" s="335"/>
      <c r="H213" s="335"/>
      <c r="I213" s="335"/>
      <c r="J213" s="335"/>
      <c r="K213" s="335"/>
      <c r="L213" s="335"/>
      <c r="M213" s="335"/>
      <c r="N213" s="335"/>
      <c r="O213" s="369"/>
      <c r="P213" s="371">
        <f>'Sept 12'!P213+P212</f>
        <v>4149</v>
      </c>
      <c r="Q213" s="335"/>
      <c r="R213" s="372"/>
      <c r="S213" s="385"/>
      <c r="T213" s="255"/>
    </row>
    <row r="214" spans="1:20" ht="15.6" x14ac:dyDescent="0.3">
      <c r="A214" s="380" t="s">
        <v>255</v>
      </c>
      <c r="B214" s="375" t="s">
        <v>256</v>
      </c>
      <c r="C214" s="381"/>
      <c r="D214" s="381"/>
      <c r="E214" s="381"/>
      <c r="F214" s="381"/>
      <c r="G214" s="345"/>
      <c r="H214" s="345"/>
      <c r="I214" s="345"/>
      <c r="J214" s="345"/>
      <c r="K214" s="345"/>
      <c r="L214" s="345"/>
      <c r="M214" s="345"/>
      <c r="N214" s="345"/>
      <c r="O214" s="345"/>
      <c r="P214" s="377"/>
      <c r="Q214" s="345"/>
      <c r="R214" s="378"/>
      <c r="S214" s="382"/>
      <c r="T214" s="5"/>
    </row>
    <row r="215" spans="1:20" s="256" customFormat="1" ht="15.6" x14ac:dyDescent="0.3">
      <c r="A215" s="383"/>
      <c r="B215" s="335" t="s">
        <v>283</v>
      </c>
      <c r="C215" s="335"/>
      <c r="D215" s="335"/>
      <c r="E215" s="335"/>
      <c r="F215" s="335"/>
      <c r="G215" s="335"/>
      <c r="H215" s="335"/>
      <c r="I215" s="335"/>
      <c r="J215" s="335"/>
      <c r="K215" s="335"/>
      <c r="L215" s="335"/>
      <c r="M215" s="335"/>
      <c r="N215" s="335"/>
      <c r="O215" s="369">
        <v>0</v>
      </c>
      <c r="P215" s="371">
        <v>0</v>
      </c>
      <c r="Q215" s="335"/>
      <c r="R215" s="372"/>
      <c r="S215" s="385"/>
      <c r="T215" s="255"/>
    </row>
    <row r="216" spans="1:20" s="256" customFormat="1" ht="15.6" x14ac:dyDescent="0.3">
      <c r="A216" s="368"/>
      <c r="B216" s="335" t="s">
        <v>97</v>
      </c>
      <c r="C216" s="340"/>
      <c r="D216" s="340"/>
      <c r="E216" s="340"/>
      <c r="F216" s="386"/>
      <c r="G216" s="335"/>
      <c r="H216" s="335"/>
      <c r="I216" s="335"/>
      <c r="J216" s="335"/>
      <c r="K216" s="335"/>
      <c r="L216" s="335"/>
      <c r="M216" s="335"/>
      <c r="N216" s="335"/>
      <c r="O216" s="369"/>
      <c r="P216" s="387">
        <v>0</v>
      </c>
      <c r="Q216" s="335"/>
      <c r="R216" s="372"/>
      <c r="S216" s="385"/>
      <c r="T216" s="255"/>
    </row>
    <row r="217" spans="1:20" s="256" customFormat="1" ht="15.6" x14ac:dyDescent="0.3">
      <c r="A217" s="368"/>
      <c r="B217" s="335" t="s">
        <v>98</v>
      </c>
      <c r="C217" s="340"/>
      <c r="D217" s="340"/>
      <c r="E217" s="340"/>
      <c r="F217" s="386"/>
      <c r="G217" s="335"/>
      <c r="H217" s="335"/>
      <c r="I217" s="335"/>
      <c r="J217" s="335"/>
      <c r="K217" s="335"/>
      <c r="L217" s="335"/>
      <c r="M217" s="335"/>
      <c r="N217" s="335"/>
      <c r="O217" s="369"/>
      <c r="P217" s="387">
        <v>0</v>
      </c>
      <c r="Q217" s="335"/>
      <c r="R217" s="372"/>
      <c r="S217" s="385"/>
      <c r="T217" s="255"/>
    </row>
    <row r="218" spans="1:20" ht="15.6" x14ac:dyDescent="0.3">
      <c r="A218" s="374"/>
      <c r="B218" s="375" t="s">
        <v>257</v>
      </c>
      <c r="C218" s="388"/>
      <c r="D218" s="388"/>
      <c r="E218" s="388"/>
      <c r="F218" s="389"/>
      <c r="G218" s="345"/>
      <c r="H218" s="345"/>
      <c r="I218" s="345"/>
      <c r="J218" s="345"/>
      <c r="K218" s="345"/>
      <c r="L218" s="345"/>
      <c r="M218" s="345"/>
      <c r="N218" s="345"/>
      <c r="O218" s="390"/>
      <c r="P218" s="391"/>
      <c r="Q218" s="345"/>
      <c r="R218" s="378"/>
      <c r="S218" s="382"/>
      <c r="T218" s="5"/>
    </row>
    <row r="219" spans="1:20" s="256" customFormat="1" ht="15.6" x14ac:dyDescent="0.3">
      <c r="A219" s="368"/>
      <c r="B219" s="335" t="s">
        <v>283</v>
      </c>
      <c r="C219" s="340"/>
      <c r="D219" s="340"/>
      <c r="E219" s="340"/>
      <c r="F219" s="386"/>
      <c r="G219" s="335"/>
      <c r="H219" s="335"/>
      <c r="I219" s="335"/>
      <c r="J219" s="335"/>
      <c r="K219" s="335"/>
      <c r="L219" s="335"/>
      <c r="M219" s="335"/>
      <c r="N219" s="335"/>
      <c r="O219" s="369">
        <v>7</v>
      </c>
      <c r="P219" s="371">
        <v>1338</v>
      </c>
      <c r="Q219" s="335"/>
      <c r="R219" s="372"/>
      <c r="S219" s="385"/>
      <c r="T219" s="255"/>
    </row>
    <row r="220" spans="1:20" s="256" customFormat="1" ht="15.6" x14ac:dyDescent="0.3">
      <c r="A220" s="368"/>
      <c r="B220" s="335" t="s">
        <v>258</v>
      </c>
      <c r="C220" s="340"/>
      <c r="D220" s="340"/>
      <c r="E220" s="340"/>
      <c r="F220" s="386"/>
      <c r="G220" s="335"/>
      <c r="H220" s="335"/>
      <c r="I220" s="335"/>
      <c r="J220" s="335"/>
      <c r="K220" s="335"/>
      <c r="L220" s="335"/>
      <c r="M220" s="335"/>
      <c r="N220" s="335"/>
      <c r="O220" s="335"/>
      <c r="P220" s="392">
        <v>1.68</v>
      </c>
      <c r="Q220" s="335"/>
      <c r="R220" s="372"/>
      <c r="S220" s="385"/>
      <c r="T220" s="255"/>
    </row>
    <row r="221" spans="1:20" ht="17.399999999999999" x14ac:dyDescent="0.3">
      <c r="A221" s="374"/>
      <c r="B221" s="393" t="s">
        <v>247</v>
      </c>
      <c r="C221" s="388"/>
      <c r="D221" s="388"/>
      <c r="E221" s="388"/>
      <c r="F221" s="389"/>
      <c r="G221" s="345"/>
      <c r="H221" s="345"/>
      <c r="I221" s="345"/>
      <c r="J221" s="394" t="s">
        <v>246</v>
      </c>
      <c r="K221" s="345"/>
      <c r="L221" s="345"/>
      <c r="M221" s="345"/>
      <c r="N221" s="345"/>
      <c r="O221" s="345"/>
      <c r="P221" s="395"/>
      <c r="Q221" s="345"/>
      <c r="R221" s="378"/>
      <c r="S221" s="382"/>
      <c r="T221" s="5"/>
    </row>
    <row r="222" spans="1:20" ht="17.399999999999999" x14ac:dyDescent="0.3">
      <c r="A222" s="361"/>
      <c r="B222" s="559"/>
      <c r="C222" s="363"/>
      <c r="D222" s="363"/>
      <c r="E222" s="363"/>
      <c r="F222" s="364"/>
      <c r="G222" s="213"/>
      <c r="H222" s="213"/>
      <c r="I222" s="213"/>
      <c r="J222" s="560"/>
      <c r="K222" s="213"/>
      <c r="L222" s="213"/>
      <c r="M222" s="213"/>
      <c r="N222" s="213"/>
      <c r="O222" s="213"/>
      <c r="P222" s="365"/>
      <c r="Q222" s="213"/>
      <c r="R222" s="366"/>
      <c r="S222" s="367"/>
      <c r="T222" s="5"/>
    </row>
    <row r="223" spans="1:20" ht="15.6" x14ac:dyDescent="0.3">
      <c r="A223" s="215"/>
      <c r="B223" s="564" t="s">
        <v>298</v>
      </c>
      <c r="C223" s="566"/>
      <c r="D223" s="566"/>
      <c r="E223" s="566"/>
      <c r="F223" s="571"/>
      <c r="G223" s="566"/>
      <c r="H223" s="566"/>
      <c r="I223" s="566"/>
      <c r="J223" s="566"/>
      <c r="K223" s="566"/>
      <c r="L223" s="566"/>
      <c r="M223" s="566"/>
      <c r="N223" s="571" t="s">
        <v>113</v>
      </c>
      <c r="O223" s="566" t="s">
        <v>114</v>
      </c>
      <c r="P223" s="571" t="s">
        <v>123</v>
      </c>
      <c r="Q223" s="566" t="s">
        <v>114</v>
      </c>
      <c r="R223" s="216"/>
      <c r="S223" s="564"/>
      <c r="T223" s="5"/>
    </row>
    <row r="224" spans="1:20" s="256" customFormat="1" ht="15.6" x14ac:dyDescent="0.3">
      <c r="A224" s="251"/>
      <c r="B224" s="259" t="s">
        <v>99</v>
      </c>
      <c r="C224" s="279"/>
      <c r="D224" s="279"/>
      <c r="E224" s="279"/>
      <c r="F224" s="252"/>
      <c r="G224" s="279"/>
      <c r="H224" s="279"/>
      <c r="I224" s="279"/>
      <c r="J224" s="279"/>
      <c r="K224" s="279"/>
      <c r="L224" s="279"/>
      <c r="M224" s="279"/>
      <c r="N224" s="259">
        <f t="shared" ref="N224:N231" si="1">+N236+N248+N260</f>
        <v>3666</v>
      </c>
      <c r="O224" s="280">
        <f t="shared" ref="O224:O231" si="2">N224/$N$233</f>
        <v>0.98442534908700319</v>
      </c>
      <c r="P224" s="269">
        <f t="shared" ref="P224:P231" si="3">+P236+P248+P260</f>
        <v>430488</v>
      </c>
      <c r="Q224" s="280">
        <f t="shared" ref="Q224:Q231" si="4">P224/$P$233</f>
        <v>0.98163012149294027</v>
      </c>
      <c r="R224" s="275"/>
      <c r="S224" s="257"/>
      <c r="T224" s="255"/>
    </row>
    <row r="225" spans="1:21" s="256" customFormat="1" ht="15.6" x14ac:dyDescent="0.3">
      <c r="A225" s="334"/>
      <c r="B225" s="336" t="s">
        <v>100</v>
      </c>
      <c r="C225" s="398"/>
      <c r="D225" s="398"/>
      <c r="E225" s="398"/>
      <c r="F225" s="335"/>
      <c r="G225" s="399"/>
      <c r="H225" s="398"/>
      <c r="I225" s="398"/>
      <c r="J225" s="398"/>
      <c r="K225" s="398"/>
      <c r="L225" s="398"/>
      <c r="M225" s="398"/>
      <c r="N225" s="336">
        <f t="shared" si="1"/>
        <v>34</v>
      </c>
      <c r="O225" s="399">
        <f t="shared" si="2"/>
        <v>9.1299677765843187E-3</v>
      </c>
      <c r="P225" s="337">
        <f t="shared" si="3"/>
        <v>5758</v>
      </c>
      <c r="Q225" s="399">
        <f t="shared" si="4"/>
        <v>1.3129811375825459E-2</v>
      </c>
      <c r="R225" s="372"/>
      <c r="S225" s="385"/>
      <c r="T225" s="255"/>
      <c r="U225" s="270"/>
    </row>
    <row r="226" spans="1:21" s="256" customFormat="1" ht="15.6" x14ac:dyDescent="0.3">
      <c r="A226" s="334"/>
      <c r="B226" s="336" t="s">
        <v>101</v>
      </c>
      <c r="C226" s="398"/>
      <c r="D226" s="398"/>
      <c r="E226" s="398"/>
      <c r="F226" s="335"/>
      <c r="G226" s="399"/>
      <c r="H226" s="398"/>
      <c r="I226" s="398"/>
      <c r="J226" s="398"/>
      <c r="K226" s="398"/>
      <c r="L226" s="398"/>
      <c r="M226" s="398"/>
      <c r="N226" s="336">
        <f t="shared" si="1"/>
        <v>5</v>
      </c>
      <c r="O226" s="399">
        <f t="shared" si="2"/>
        <v>1.3426423200859291E-3</v>
      </c>
      <c r="P226" s="337">
        <f t="shared" si="3"/>
        <v>404</v>
      </c>
      <c r="Q226" s="399">
        <f t="shared" si="4"/>
        <v>9.2123025283665947E-4</v>
      </c>
      <c r="R226" s="372"/>
      <c r="S226" s="385"/>
      <c r="T226" s="255"/>
    </row>
    <row r="227" spans="1:21" s="256" customFormat="1" ht="15.6" x14ac:dyDescent="0.3">
      <c r="A227" s="334"/>
      <c r="B227" s="336" t="s">
        <v>210</v>
      </c>
      <c r="C227" s="398"/>
      <c r="D227" s="398"/>
      <c r="E227" s="398"/>
      <c r="F227" s="335"/>
      <c r="G227" s="399"/>
      <c r="H227" s="398"/>
      <c r="I227" s="398"/>
      <c r="J227" s="398"/>
      <c r="K227" s="398"/>
      <c r="L227" s="398"/>
      <c r="M227" s="398"/>
      <c r="N227" s="336">
        <f t="shared" si="1"/>
        <v>3</v>
      </c>
      <c r="O227" s="399">
        <f t="shared" si="2"/>
        <v>8.055853920515575E-4</v>
      </c>
      <c r="P227" s="337">
        <f t="shared" si="3"/>
        <v>352</v>
      </c>
      <c r="Q227" s="399">
        <f t="shared" si="4"/>
        <v>8.0265606187748546E-4</v>
      </c>
      <c r="R227" s="372"/>
      <c r="S227" s="385"/>
      <c r="T227" s="255"/>
      <c r="U227" s="270"/>
    </row>
    <row r="228" spans="1:21" s="256" customFormat="1" ht="15.6" x14ac:dyDescent="0.3">
      <c r="A228" s="334"/>
      <c r="B228" s="336" t="s">
        <v>211</v>
      </c>
      <c r="C228" s="398"/>
      <c r="D228" s="398"/>
      <c r="E228" s="398"/>
      <c r="F228" s="335"/>
      <c r="G228" s="399"/>
      <c r="H228" s="398"/>
      <c r="I228" s="398"/>
      <c r="J228" s="398"/>
      <c r="K228" s="398"/>
      <c r="L228" s="398"/>
      <c r="M228" s="398"/>
      <c r="N228" s="336">
        <f t="shared" si="1"/>
        <v>2</v>
      </c>
      <c r="O228" s="399">
        <f t="shared" si="2"/>
        <v>5.3705692803437163E-4</v>
      </c>
      <c r="P228" s="337">
        <f t="shared" si="3"/>
        <v>123</v>
      </c>
      <c r="Q228" s="399">
        <f t="shared" si="4"/>
        <v>2.8047356707650771E-4</v>
      </c>
      <c r="R228" s="372"/>
      <c r="S228" s="385"/>
      <c r="T228" s="255"/>
    </row>
    <row r="229" spans="1:21" s="256" customFormat="1" ht="15.6" x14ac:dyDescent="0.3">
      <c r="A229" s="334"/>
      <c r="B229" s="336" t="s">
        <v>212</v>
      </c>
      <c r="C229" s="398"/>
      <c r="D229" s="398"/>
      <c r="E229" s="398"/>
      <c r="F229" s="335"/>
      <c r="G229" s="399"/>
      <c r="H229" s="398"/>
      <c r="I229" s="398"/>
      <c r="J229" s="398"/>
      <c r="K229" s="398"/>
      <c r="L229" s="398"/>
      <c r="M229" s="398"/>
      <c r="N229" s="336">
        <f t="shared" si="1"/>
        <v>3</v>
      </c>
      <c r="O229" s="399">
        <f t="shared" si="2"/>
        <v>8.055853920515575E-4</v>
      </c>
      <c r="P229" s="337">
        <f t="shared" si="3"/>
        <v>188</v>
      </c>
      <c r="Q229" s="399">
        <f t="shared" si="4"/>
        <v>4.2869130577547523E-4</v>
      </c>
      <c r="R229" s="372"/>
      <c r="S229" s="385"/>
      <c r="T229" s="255"/>
      <c r="U229" s="270"/>
    </row>
    <row r="230" spans="1:21" s="256" customFormat="1" ht="15.6" x14ac:dyDescent="0.3">
      <c r="A230" s="334"/>
      <c r="B230" s="336" t="s">
        <v>213</v>
      </c>
      <c r="C230" s="398"/>
      <c r="D230" s="398"/>
      <c r="E230" s="398"/>
      <c r="F230" s="335"/>
      <c r="G230" s="399"/>
      <c r="H230" s="398"/>
      <c r="I230" s="398"/>
      <c r="J230" s="398"/>
      <c r="K230" s="398"/>
      <c r="L230" s="398"/>
      <c r="M230" s="398"/>
      <c r="N230" s="336">
        <f t="shared" si="1"/>
        <v>5</v>
      </c>
      <c r="O230" s="399">
        <f t="shared" si="2"/>
        <v>1.3426423200859291E-3</v>
      </c>
      <c r="P230" s="337">
        <f t="shared" si="3"/>
        <v>524</v>
      </c>
      <c r="Q230" s="399">
        <f t="shared" si="4"/>
        <v>1.1948630012039842E-3</v>
      </c>
      <c r="R230" s="372"/>
      <c r="S230" s="385"/>
      <c r="T230" s="255"/>
    </row>
    <row r="231" spans="1:21" s="256" customFormat="1" ht="15.6" x14ac:dyDescent="0.3">
      <c r="A231" s="334"/>
      <c r="B231" s="336" t="s">
        <v>214</v>
      </c>
      <c r="C231" s="398"/>
      <c r="D231" s="398"/>
      <c r="E231" s="398"/>
      <c r="F231" s="335"/>
      <c r="G231" s="399"/>
      <c r="H231" s="398"/>
      <c r="I231" s="398"/>
      <c r="J231" s="398"/>
      <c r="K231" s="398"/>
      <c r="L231" s="398"/>
      <c r="M231" s="398"/>
      <c r="N231" s="339">
        <f t="shared" si="1"/>
        <v>6</v>
      </c>
      <c r="O231" s="561">
        <f t="shared" si="2"/>
        <v>1.611170784103115E-3</v>
      </c>
      <c r="P231" s="562">
        <f t="shared" si="3"/>
        <v>707</v>
      </c>
      <c r="Q231" s="561">
        <f t="shared" si="4"/>
        <v>1.6121529424641542E-3</v>
      </c>
      <c r="R231" s="372"/>
      <c r="S231" s="385"/>
      <c r="T231" s="255"/>
      <c r="U231" s="270"/>
    </row>
    <row r="232" spans="1:21" s="256" customFormat="1" ht="15.6" x14ac:dyDescent="0.3">
      <c r="A232" s="334"/>
      <c r="B232" s="335"/>
      <c r="C232" s="398"/>
      <c r="D232" s="398"/>
      <c r="E232" s="398"/>
      <c r="F232" s="335"/>
      <c r="G232" s="399"/>
      <c r="H232" s="398"/>
      <c r="I232" s="398"/>
      <c r="J232" s="398"/>
      <c r="K232" s="398"/>
      <c r="L232" s="398"/>
      <c r="M232" s="398"/>
      <c r="N232" s="336"/>
      <c r="O232" s="399"/>
      <c r="P232" s="337"/>
      <c r="Q232" s="399"/>
      <c r="R232" s="372"/>
      <c r="S232" s="385"/>
      <c r="T232" s="255"/>
    </row>
    <row r="233" spans="1:21" s="256" customFormat="1" ht="15.6" x14ac:dyDescent="0.3">
      <c r="A233" s="334"/>
      <c r="B233" s="335" t="s">
        <v>129</v>
      </c>
      <c r="C233" s="335"/>
      <c r="D233" s="335"/>
      <c r="E233" s="335"/>
      <c r="F233" s="335"/>
      <c r="G233" s="335"/>
      <c r="H233" s="400"/>
      <c r="I233" s="400"/>
      <c r="J233" s="400"/>
      <c r="K233" s="400"/>
      <c r="L233" s="400"/>
      <c r="M233" s="400"/>
      <c r="N233" s="336">
        <f>SUM(N224:N232)</f>
        <v>3724</v>
      </c>
      <c r="O233" s="399">
        <f>SUM(O224:O232)</f>
        <v>1.0000000000000002</v>
      </c>
      <c r="P233" s="337">
        <f>SUM(P224:P232)</f>
        <v>438544</v>
      </c>
      <c r="Q233" s="399">
        <f>SUM(Q224:Q232)</f>
        <v>1</v>
      </c>
      <c r="R233" s="335"/>
      <c r="S233" s="338"/>
      <c r="T233" s="255"/>
    </row>
    <row r="234" spans="1:21" ht="17.399999999999999" x14ac:dyDescent="0.3">
      <c r="A234" s="361"/>
      <c r="B234" s="559"/>
      <c r="C234" s="363"/>
      <c r="D234" s="363"/>
      <c r="E234" s="363"/>
      <c r="F234" s="364"/>
      <c r="G234" s="213"/>
      <c r="H234" s="213"/>
      <c r="I234" s="213"/>
      <c r="J234" s="560"/>
      <c r="K234" s="213"/>
      <c r="L234" s="213"/>
      <c r="M234" s="213"/>
      <c r="N234" s="213"/>
      <c r="O234" s="213"/>
      <c r="P234" s="365"/>
      <c r="Q234" s="213"/>
      <c r="R234" s="366"/>
      <c r="S234" s="367"/>
      <c r="T234" s="5"/>
    </row>
    <row r="235" spans="1:21" ht="15.6" x14ac:dyDescent="0.3">
      <c r="A235" s="215"/>
      <c r="B235" s="564" t="s">
        <v>236</v>
      </c>
      <c r="C235" s="566"/>
      <c r="D235" s="566"/>
      <c r="E235" s="566"/>
      <c r="F235" s="571"/>
      <c r="G235" s="566"/>
      <c r="H235" s="566"/>
      <c r="I235" s="566"/>
      <c r="J235" s="566"/>
      <c r="K235" s="566"/>
      <c r="L235" s="566"/>
      <c r="M235" s="566"/>
      <c r="N235" s="571" t="s">
        <v>113</v>
      </c>
      <c r="O235" s="566" t="s">
        <v>114</v>
      </c>
      <c r="P235" s="571" t="s">
        <v>123</v>
      </c>
      <c r="Q235" s="566" t="s">
        <v>114</v>
      </c>
      <c r="R235" s="216"/>
      <c r="S235" s="564"/>
      <c r="T235" s="5"/>
    </row>
    <row r="236" spans="1:21" s="256" customFormat="1" ht="15.6" x14ac:dyDescent="0.3">
      <c r="A236" s="251"/>
      <c r="B236" s="259" t="s">
        <v>99</v>
      </c>
      <c r="C236" s="279"/>
      <c r="D236" s="279"/>
      <c r="E236" s="279"/>
      <c r="F236" s="252"/>
      <c r="G236" s="279"/>
      <c r="H236" s="279"/>
      <c r="I236" s="279"/>
      <c r="J236" s="279"/>
      <c r="K236" s="279"/>
      <c r="L236" s="279"/>
      <c r="M236" s="279"/>
      <c r="N236" s="259">
        <v>3601</v>
      </c>
      <c r="O236" s="280">
        <f t="shared" ref="O236:O243" si="5">N236/$N$245</f>
        <v>0.98874244920373422</v>
      </c>
      <c r="P236" s="269">
        <v>421035</v>
      </c>
      <c r="Q236" s="280">
        <f t="shared" ref="Q236:Q243" si="6">P236/$P$245</f>
        <v>0.98624062739366003</v>
      </c>
      <c r="R236" s="275"/>
      <c r="S236" s="257"/>
      <c r="T236" s="255"/>
    </row>
    <row r="237" spans="1:21" s="256" customFormat="1" ht="15.6" x14ac:dyDescent="0.3">
      <c r="A237" s="334"/>
      <c r="B237" s="336" t="s">
        <v>100</v>
      </c>
      <c r="C237" s="398"/>
      <c r="D237" s="398"/>
      <c r="E237" s="398"/>
      <c r="F237" s="335"/>
      <c r="G237" s="399"/>
      <c r="H237" s="398"/>
      <c r="I237" s="398"/>
      <c r="J237" s="398"/>
      <c r="K237" s="398"/>
      <c r="L237" s="398"/>
      <c r="M237" s="398"/>
      <c r="N237" s="336">
        <v>30</v>
      </c>
      <c r="O237" s="399">
        <f t="shared" si="5"/>
        <v>8.2372322899505763E-3</v>
      </c>
      <c r="P237" s="337">
        <v>5186</v>
      </c>
      <c r="Q237" s="399">
        <f t="shared" si="6"/>
        <v>1.2147787936070685E-2</v>
      </c>
      <c r="R237" s="372"/>
      <c r="S237" s="385"/>
      <c r="T237" s="255"/>
      <c r="U237" s="270"/>
    </row>
    <row r="238" spans="1:21" s="256" customFormat="1" ht="15.6" x14ac:dyDescent="0.3">
      <c r="A238" s="334"/>
      <c r="B238" s="336" t="s">
        <v>101</v>
      </c>
      <c r="C238" s="398"/>
      <c r="D238" s="398"/>
      <c r="E238" s="398"/>
      <c r="F238" s="335"/>
      <c r="G238" s="399"/>
      <c r="H238" s="398"/>
      <c r="I238" s="398"/>
      <c r="J238" s="398"/>
      <c r="K238" s="398"/>
      <c r="L238" s="398"/>
      <c r="M238" s="398"/>
      <c r="N238" s="336">
        <v>4</v>
      </c>
      <c r="O238" s="399">
        <f t="shared" si="5"/>
        <v>1.0982976386600769E-3</v>
      </c>
      <c r="P238" s="337">
        <v>331</v>
      </c>
      <c r="Q238" s="399">
        <f t="shared" si="6"/>
        <v>7.7534088060921653E-4</v>
      </c>
      <c r="R238" s="372"/>
      <c r="S238" s="385"/>
      <c r="T238" s="255"/>
    </row>
    <row r="239" spans="1:21" s="256" customFormat="1" ht="15.6" x14ac:dyDescent="0.3">
      <c r="A239" s="334"/>
      <c r="B239" s="336" t="s">
        <v>210</v>
      </c>
      <c r="C239" s="398"/>
      <c r="D239" s="398"/>
      <c r="E239" s="398"/>
      <c r="F239" s="335"/>
      <c r="G239" s="399"/>
      <c r="H239" s="398"/>
      <c r="I239" s="398"/>
      <c r="J239" s="398"/>
      <c r="K239" s="398"/>
      <c r="L239" s="398"/>
      <c r="M239" s="398"/>
      <c r="N239" s="336">
        <v>1</v>
      </c>
      <c r="O239" s="399">
        <f t="shared" si="5"/>
        <v>2.7457440966501922E-4</v>
      </c>
      <c r="P239" s="337">
        <v>31</v>
      </c>
      <c r="Q239" s="399">
        <f t="shared" si="6"/>
        <v>7.2615006945274049E-5</v>
      </c>
      <c r="R239" s="372"/>
      <c r="S239" s="385"/>
      <c r="T239" s="255"/>
      <c r="U239" s="270"/>
    </row>
    <row r="240" spans="1:21" s="256" customFormat="1" ht="15.6" x14ac:dyDescent="0.3">
      <c r="A240" s="334"/>
      <c r="B240" s="336" t="s">
        <v>211</v>
      </c>
      <c r="C240" s="398"/>
      <c r="D240" s="398"/>
      <c r="E240" s="398"/>
      <c r="F240" s="335"/>
      <c r="G240" s="399"/>
      <c r="H240" s="398"/>
      <c r="I240" s="398"/>
      <c r="J240" s="398"/>
      <c r="K240" s="398"/>
      <c r="L240" s="398"/>
      <c r="M240" s="398"/>
      <c r="N240" s="336">
        <v>1</v>
      </c>
      <c r="O240" s="399">
        <f t="shared" si="5"/>
        <v>2.7457440966501922E-4</v>
      </c>
      <c r="P240" s="337">
        <v>45</v>
      </c>
      <c r="Q240" s="399">
        <f t="shared" si="6"/>
        <v>1.0540888104959136E-4</v>
      </c>
      <c r="R240" s="372"/>
      <c r="S240" s="385"/>
      <c r="T240" s="255"/>
    </row>
    <row r="241" spans="1:21" s="256" customFormat="1" ht="15.6" x14ac:dyDescent="0.3">
      <c r="A241" s="334"/>
      <c r="B241" s="336" t="s">
        <v>212</v>
      </c>
      <c r="C241" s="398"/>
      <c r="D241" s="398"/>
      <c r="E241" s="398"/>
      <c r="F241" s="335"/>
      <c r="G241" s="399"/>
      <c r="H241" s="398"/>
      <c r="I241" s="398"/>
      <c r="J241" s="398"/>
      <c r="K241" s="398"/>
      <c r="L241" s="398"/>
      <c r="M241" s="398"/>
      <c r="N241" s="336">
        <v>2</v>
      </c>
      <c r="O241" s="399">
        <f t="shared" si="5"/>
        <v>5.4914881933003845E-4</v>
      </c>
      <c r="P241" s="337">
        <v>44</v>
      </c>
      <c r="Q241" s="399">
        <f t="shared" si="6"/>
        <v>1.0306646147071156E-4</v>
      </c>
      <c r="R241" s="372"/>
      <c r="S241" s="385"/>
      <c r="T241" s="255"/>
      <c r="U241" s="270"/>
    </row>
    <row r="242" spans="1:21" s="256" customFormat="1" ht="15.6" x14ac:dyDescent="0.3">
      <c r="A242" s="334"/>
      <c r="B242" s="336" t="s">
        <v>213</v>
      </c>
      <c r="C242" s="398"/>
      <c r="D242" s="398"/>
      <c r="E242" s="398"/>
      <c r="F242" s="335"/>
      <c r="G242" s="399"/>
      <c r="H242" s="398"/>
      <c r="I242" s="398"/>
      <c r="J242" s="398"/>
      <c r="K242" s="398"/>
      <c r="L242" s="398"/>
      <c r="M242" s="398"/>
      <c r="N242" s="336">
        <v>2</v>
      </c>
      <c r="O242" s="399">
        <f t="shared" si="5"/>
        <v>5.4914881933003845E-4</v>
      </c>
      <c r="P242" s="337">
        <v>47</v>
      </c>
      <c r="Q242" s="399">
        <f t="shared" si="6"/>
        <v>1.1009372020735098E-4</v>
      </c>
      <c r="R242" s="372"/>
      <c r="S242" s="385"/>
      <c r="T242" s="255"/>
    </row>
    <row r="243" spans="1:21" s="256" customFormat="1" ht="15.6" x14ac:dyDescent="0.3">
      <c r="A243" s="334"/>
      <c r="B243" s="336" t="s">
        <v>214</v>
      </c>
      <c r="C243" s="398"/>
      <c r="D243" s="398"/>
      <c r="E243" s="398"/>
      <c r="F243" s="335"/>
      <c r="G243" s="399"/>
      <c r="H243" s="398"/>
      <c r="I243" s="398"/>
      <c r="J243" s="398"/>
      <c r="K243" s="398"/>
      <c r="L243" s="398"/>
      <c r="M243" s="398"/>
      <c r="N243" s="336">
        <v>1</v>
      </c>
      <c r="O243" s="399">
        <f t="shared" si="5"/>
        <v>2.7457440966501922E-4</v>
      </c>
      <c r="P243" s="337">
        <v>190</v>
      </c>
      <c r="Q243" s="399">
        <f t="shared" si="6"/>
        <v>4.4505971998716357E-4</v>
      </c>
      <c r="R243" s="372"/>
      <c r="S243" s="385"/>
      <c r="T243" s="255"/>
      <c r="U243" s="270"/>
    </row>
    <row r="244" spans="1:21" s="256" customFormat="1" ht="15.6" x14ac:dyDescent="0.3">
      <c r="A244" s="334"/>
      <c r="B244" s="335"/>
      <c r="C244" s="398"/>
      <c r="D244" s="398"/>
      <c r="E244" s="398"/>
      <c r="F244" s="335"/>
      <c r="G244" s="399"/>
      <c r="H244" s="398"/>
      <c r="I244" s="398"/>
      <c r="J244" s="398"/>
      <c r="K244" s="398"/>
      <c r="L244" s="398"/>
      <c r="M244" s="398"/>
      <c r="N244" s="336"/>
      <c r="O244" s="399"/>
      <c r="P244" s="337"/>
      <c r="Q244" s="399"/>
      <c r="R244" s="372"/>
      <c r="S244" s="385"/>
      <c r="T244" s="255"/>
    </row>
    <row r="245" spans="1:21" s="256" customFormat="1" ht="15.6" x14ac:dyDescent="0.3">
      <c r="A245" s="334"/>
      <c r="B245" s="335" t="s">
        <v>129</v>
      </c>
      <c r="C245" s="335"/>
      <c r="D245" s="335"/>
      <c r="E245" s="335"/>
      <c r="F245" s="335"/>
      <c r="G245" s="335"/>
      <c r="H245" s="400"/>
      <c r="I245" s="400"/>
      <c r="J245" s="400"/>
      <c r="K245" s="400"/>
      <c r="L245" s="400"/>
      <c r="M245" s="400"/>
      <c r="N245" s="336">
        <f>SUM(N236:N244)</f>
        <v>3642</v>
      </c>
      <c r="O245" s="399">
        <f>SUM(O236:O244)</f>
        <v>1</v>
      </c>
      <c r="P245" s="337">
        <f>SUM(P236:P244)</f>
        <v>426909</v>
      </c>
      <c r="Q245" s="399">
        <f>SUM(Q236:Q244)</f>
        <v>1</v>
      </c>
      <c r="R245" s="335"/>
      <c r="S245" s="338"/>
      <c r="T245" s="255"/>
    </row>
    <row r="246" spans="1:21" ht="15.6" x14ac:dyDescent="0.3">
      <c r="A246" s="182"/>
      <c r="B246" s="213"/>
      <c r="C246" s="213"/>
      <c r="D246" s="213"/>
      <c r="E246" s="213"/>
      <c r="F246" s="213"/>
      <c r="G246" s="213"/>
      <c r="H246" s="214"/>
      <c r="I246" s="214"/>
      <c r="J246" s="214"/>
      <c r="K246" s="214"/>
      <c r="L246" s="214"/>
      <c r="M246" s="214"/>
      <c r="N246" s="332"/>
      <c r="O246" s="396"/>
      <c r="P246" s="397"/>
      <c r="Q246" s="396"/>
      <c r="R246" s="213"/>
      <c r="S246" s="213"/>
      <c r="T246" s="5"/>
    </row>
    <row r="247" spans="1:21" ht="15.6" x14ac:dyDescent="0.3">
      <c r="A247" s="233"/>
      <c r="B247" s="564" t="s">
        <v>241</v>
      </c>
      <c r="C247" s="566"/>
      <c r="D247" s="566"/>
      <c r="E247" s="566"/>
      <c r="F247" s="571"/>
      <c r="G247" s="566"/>
      <c r="H247" s="566"/>
      <c r="I247" s="566"/>
      <c r="J247" s="566"/>
      <c r="K247" s="566"/>
      <c r="L247" s="566"/>
      <c r="M247" s="566"/>
      <c r="N247" s="571" t="s">
        <v>113</v>
      </c>
      <c r="O247" s="566" t="s">
        <v>114</v>
      </c>
      <c r="P247" s="571" t="s">
        <v>123</v>
      </c>
      <c r="Q247" s="566" t="s">
        <v>114</v>
      </c>
      <c r="R247" s="234"/>
      <c r="S247" s="235"/>
      <c r="T247" s="5"/>
    </row>
    <row r="248" spans="1:21" s="256" customFormat="1" ht="15.6" x14ac:dyDescent="0.3">
      <c r="A248" s="251"/>
      <c r="B248" s="259" t="s">
        <v>99</v>
      </c>
      <c r="C248" s="279"/>
      <c r="D248" s="279"/>
      <c r="E248" s="279"/>
      <c r="F248" s="252"/>
      <c r="G248" s="279"/>
      <c r="H248" s="279"/>
      <c r="I248" s="279"/>
      <c r="J248" s="279"/>
      <c r="K248" s="279"/>
      <c r="L248" s="279"/>
      <c r="M248" s="279"/>
      <c r="N248" s="259">
        <v>65</v>
      </c>
      <c r="O248" s="280">
        <f t="shared" ref="O248:O255" si="7">N248/$N$257</f>
        <v>0.79268292682926833</v>
      </c>
      <c r="P248" s="269">
        <v>9453</v>
      </c>
      <c r="Q248" s="280">
        <f t="shared" ref="Q248:Q255" si="8">P248/$P$257</f>
        <v>0.81246239793725827</v>
      </c>
      <c r="R248" s="252"/>
      <c r="S248" s="252"/>
      <c r="T248" s="255"/>
    </row>
    <row r="249" spans="1:21" s="256" customFormat="1" ht="15.6" x14ac:dyDescent="0.3">
      <c r="A249" s="334"/>
      <c r="B249" s="336" t="s">
        <v>100</v>
      </c>
      <c r="C249" s="398"/>
      <c r="D249" s="398"/>
      <c r="E249" s="398"/>
      <c r="F249" s="335"/>
      <c r="G249" s="399"/>
      <c r="H249" s="398"/>
      <c r="I249" s="398"/>
      <c r="J249" s="398"/>
      <c r="K249" s="398"/>
      <c r="L249" s="398"/>
      <c r="M249" s="398"/>
      <c r="N249" s="336">
        <v>4</v>
      </c>
      <c r="O249" s="399">
        <f t="shared" si="7"/>
        <v>4.878048780487805E-2</v>
      </c>
      <c r="P249" s="337">
        <v>572</v>
      </c>
      <c r="Q249" s="399">
        <f t="shared" si="8"/>
        <v>4.9162011173184354E-2</v>
      </c>
      <c r="R249" s="335"/>
      <c r="S249" s="338"/>
      <c r="T249" s="255"/>
    </row>
    <row r="250" spans="1:21" s="256" customFormat="1" ht="15.6" x14ac:dyDescent="0.3">
      <c r="A250" s="334"/>
      <c r="B250" s="336" t="s">
        <v>101</v>
      </c>
      <c r="C250" s="398"/>
      <c r="D250" s="398"/>
      <c r="E250" s="398"/>
      <c r="F250" s="335"/>
      <c r="G250" s="399"/>
      <c r="H250" s="398"/>
      <c r="I250" s="398"/>
      <c r="J250" s="398"/>
      <c r="K250" s="398"/>
      <c r="L250" s="398"/>
      <c r="M250" s="398"/>
      <c r="N250" s="336">
        <v>1</v>
      </c>
      <c r="O250" s="399">
        <f t="shared" si="7"/>
        <v>1.2195121951219513E-2</v>
      </c>
      <c r="P250" s="337">
        <v>73</v>
      </c>
      <c r="Q250" s="399">
        <f t="shared" si="8"/>
        <v>6.2741727546196816E-3</v>
      </c>
      <c r="R250" s="335"/>
      <c r="S250" s="338"/>
      <c r="T250" s="255"/>
    </row>
    <row r="251" spans="1:21" s="256" customFormat="1" ht="15.6" x14ac:dyDescent="0.3">
      <c r="A251" s="334"/>
      <c r="B251" s="336" t="s">
        <v>210</v>
      </c>
      <c r="C251" s="398"/>
      <c r="D251" s="398"/>
      <c r="E251" s="398"/>
      <c r="F251" s="335"/>
      <c r="G251" s="399"/>
      <c r="H251" s="398"/>
      <c r="I251" s="398"/>
      <c r="J251" s="398"/>
      <c r="K251" s="398"/>
      <c r="L251" s="398"/>
      <c r="M251" s="398"/>
      <c r="N251" s="336">
        <v>2</v>
      </c>
      <c r="O251" s="399">
        <f t="shared" si="7"/>
        <v>2.4390243902439025E-2</v>
      </c>
      <c r="P251" s="337">
        <v>321</v>
      </c>
      <c r="Q251" s="399">
        <f t="shared" si="8"/>
        <v>2.7589170605930382E-2</v>
      </c>
      <c r="R251" s="335"/>
      <c r="S251" s="338"/>
      <c r="T251" s="255"/>
    </row>
    <row r="252" spans="1:21" s="256" customFormat="1" ht="15.6" x14ac:dyDescent="0.3">
      <c r="A252" s="334"/>
      <c r="B252" s="336" t="s">
        <v>211</v>
      </c>
      <c r="C252" s="398"/>
      <c r="D252" s="398"/>
      <c r="E252" s="398"/>
      <c r="F252" s="335"/>
      <c r="G252" s="399"/>
      <c r="H252" s="398"/>
      <c r="I252" s="398"/>
      <c r="J252" s="398"/>
      <c r="K252" s="398"/>
      <c r="L252" s="398"/>
      <c r="M252" s="398"/>
      <c r="N252" s="336">
        <v>1</v>
      </c>
      <c r="O252" s="399">
        <f t="shared" si="7"/>
        <v>1.2195121951219513E-2</v>
      </c>
      <c r="P252" s="337">
        <v>78</v>
      </c>
      <c r="Q252" s="399">
        <f t="shared" si="8"/>
        <v>6.7039106145251395E-3</v>
      </c>
      <c r="R252" s="335"/>
      <c r="S252" s="338"/>
      <c r="T252" s="255"/>
    </row>
    <row r="253" spans="1:21" s="256" customFormat="1" ht="15.6" x14ac:dyDescent="0.3">
      <c r="A253" s="334"/>
      <c r="B253" s="336" t="s">
        <v>212</v>
      </c>
      <c r="C253" s="398"/>
      <c r="D253" s="398"/>
      <c r="E253" s="398"/>
      <c r="F253" s="335"/>
      <c r="G253" s="399"/>
      <c r="H253" s="398"/>
      <c r="I253" s="398"/>
      <c r="J253" s="398"/>
      <c r="K253" s="398"/>
      <c r="L253" s="398"/>
      <c r="M253" s="398"/>
      <c r="N253" s="336">
        <v>1</v>
      </c>
      <c r="O253" s="399">
        <f t="shared" si="7"/>
        <v>1.2195121951219513E-2</v>
      </c>
      <c r="P253" s="337">
        <v>144</v>
      </c>
      <c r="Q253" s="399">
        <f t="shared" si="8"/>
        <v>1.2376450365277181E-2</v>
      </c>
      <c r="R253" s="335"/>
      <c r="S253" s="338"/>
      <c r="T253" s="255"/>
    </row>
    <row r="254" spans="1:21" s="256" customFormat="1" ht="15.6" x14ac:dyDescent="0.3">
      <c r="A254" s="334"/>
      <c r="B254" s="336" t="s">
        <v>213</v>
      </c>
      <c r="C254" s="398"/>
      <c r="D254" s="398"/>
      <c r="E254" s="398"/>
      <c r="F254" s="335"/>
      <c r="G254" s="399"/>
      <c r="H254" s="398"/>
      <c r="I254" s="398"/>
      <c r="J254" s="398"/>
      <c r="K254" s="398"/>
      <c r="L254" s="398"/>
      <c r="M254" s="398"/>
      <c r="N254" s="336">
        <v>3</v>
      </c>
      <c r="O254" s="399">
        <f t="shared" si="7"/>
        <v>3.6585365853658534E-2</v>
      </c>
      <c r="P254" s="337">
        <v>477</v>
      </c>
      <c r="Q254" s="399">
        <f t="shared" si="8"/>
        <v>4.0996991834980664E-2</v>
      </c>
      <c r="R254" s="335"/>
      <c r="S254" s="338"/>
      <c r="T254" s="255"/>
    </row>
    <row r="255" spans="1:21" s="256" customFormat="1" ht="15.6" x14ac:dyDescent="0.3">
      <c r="A255" s="334"/>
      <c r="B255" s="336" t="s">
        <v>214</v>
      </c>
      <c r="C255" s="398"/>
      <c r="D255" s="398"/>
      <c r="E255" s="398"/>
      <c r="F255" s="335"/>
      <c r="G255" s="399"/>
      <c r="H255" s="398"/>
      <c r="I255" s="398"/>
      <c r="J255" s="398"/>
      <c r="K255" s="398"/>
      <c r="L255" s="398"/>
      <c r="M255" s="398"/>
      <c r="N255" s="336">
        <v>5</v>
      </c>
      <c r="O255" s="399">
        <f t="shared" si="7"/>
        <v>6.097560975609756E-2</v>
      </c>
      <c r="P255" s="337">
        <v>517</v>
      </c>
      <c r="Q255" s="399">
        <f t="shared" si="8"/>
        <v>4.4434894714224321E-2</v>
      </c>
      <c r="R255" s="335"/>
      <c r="S255" s="338"/>
      <c r="T255" s="255"/>
    </row>
    <row r="256" spans="1:21" s="256" customFormat="1" ht="15.6" x14ac:dyDescent="0.3">
      <c r="A256" s="334"/>
      <c r="B256" s="335"/>
      <c r="C256" s="398"/>
      <c r="D256" s="398"/>
      <c r="E256" s="398"/>
      <c r="F256" s="335"/>
      <c r="G256" s="399"/>
      <c r="H256" s="398"/>
      <c r="I256" s="398"/>
      <c r="J256" s="398"/>
      <c r="K256" s="398"/>
      <c r="L256" s="398"/>
      <c r="M256" s="398"/>
      <c r="N256" s="336"/>
      <c r="O256" s="399"/>
      <c r="P256" s="337"/>
      <c r="Q256" s="399"/>
      <c r="R256" s="335"/>
      <c r="S256" s="338"/>
      <c r="T256" s="255"/>
    </row>
    <row r="257" spans="1:20" s="256" customFormat="1" ht="15.6" x14ac:dyDescent="0.3">
      <c r="A257" s="334"/>
      <c r="B257" s="335" t="s">
        <v>129</v>
      </c>
      <c r="C257" s="335"/>
      <c r="D257" s="335"/>
      <c r="E257" s="335"/>
      <c r="F257" s="335"/>
      <c r="G257" s="335"/>
      <c r="H257" s="400"/>
      <c r="I257" s="400"/>
      <c r="J257" s="400"/>
      <c r="K257" s="400"/>
      <c r="L257" s="400"/>
      <c r="M257" s="400"/>
      <c r="N257" s="336">
        <f>SUM(N248:N256)</f>
        <v>82</v>
      </c>
      <c r="O257" s="399">
        <f>SUM(O248:O256)</f>
        <v>1.0000000000000002</v>
      </c>
      <c r="P257" s="337">
        <f>SUM(P248:P256)</f>
        <v>11635</v>
      </c>
      <c r="Q257" s="399">
        <f>SUM(Q248:Q256)</f>
        <v>1</v>
      </c>
      <c r="R257" s="335"/>
      <c r="S257" s="338"/>
      <c r="T257" s="255"/>
    </row>
    <row r="258" spans="1:20" ht="15.6" x14ac:dyDescent="0.3">
      <c r="A258" s="182"/>
      <c r="B258" s="213"/>
      <c r="C258" s="213"/>
      <c r="D258" s="213"/>
      <c r="E258" s="213"/>
      <c r="F258" s="213"/>
      <c r="G258" s="213"/>
      <c r="H258" s="214"/>
      <c r="I258" s="214"/>
      <c r="J258" s="214"/>
      <c r="K258" s="214"/>
      <c r="L258" s="214"/>
      <c r="M258" s="214"/>
      <c r="N258" s="332"/>
      <c r="O258" s="396"/>
      <c r="P258" s="397"/>
      <c r="Q258" s="396"/>
      <c r="R258" s="213"/>
      <c r="S258" s="213"/>
      <c r="T258" s="5"/>
    </row>
    <row r="259" spans="1:20" s="153" customFormat="1" ht="15.6" x14ac:dyDescent="0.3">
      <c r="A259" s="233"/>
      <c r="B259" s="564" t="s">
        <v>239</v>
      </c>
      <c r="C259" s="236"/>
      <c r="D259" s="236"/>
      <c r="E259" s="236"/>
      <c r="F259" s="236"/>
      <c r="G259" s="236"/>
      <c r="H259" s="237"/>
      <c r="I259" s="237"/>
      <c r="J259" s="237"/>
      <c r="K259" s="237"/>
      <c r="L259" s="237"/>
      <c r="M259" s="237"/>
      <c r="N259" s="571" t="s">
        <v>113</v>
      </c>
      <c r="O259" s="566" t="s">
        <v>114</v>
      </c>
      <c r="P259" s="571" t="s">
        <v>123</v>
      </c>
      <c r="Q259" s="566" t="s">
        <v>114</v>
      </c>
      <c r="R259" s="236"/>
      <c r="S259" s="236"/>
      <c r="T259" s="5"/>
    </row>
    <row r="260" spans="1:20" s="281" customFormat="1" ht="15.6" x14ac:dyDescent="0.3">
      <c r="A260" s="251"/>
      <c r="B260" s="259" t="s">
        <v>99</v>
      </c>
      <c r="C260" s="401"/>
      <c r="D260" s="401"/>
      <c r="E260" s="401"/>
      <c r="F260" s="401"/>
      <c r="G260" s="401"/>
      <c r="H260" s="402"/>
      <c r="I260" s="402"/>
      <c r="J260" s="402"/>
      <c r="K260" s="402"/>
      <c r="L260" s="402"/>
      <c r="M260" s="402"/>
      <c r="N260" s="259">
        <v>0</v>
      </c>
      <c r="O260" s="280">
        <v>0</v>
      </c>
      <c r="P260" s="269">
        <v>0</v>
      </c>
      <c r="Q260" s="280">
        <v>0</v>
      </c>
      <c r="R260" s="252"/>
      <c r="S260" s="403"/>
      <c r="T260" s="255"/>
    </row>
    <row r="261" spans="1:20" s="281" customFormat="1" ht="15.6" x14ac:dyDescent="0.3">
      <c r="A261" s="334"/>
      <c r="B261" s="336" t="s">
        <v>100</v>
      </c>
      <c r="C261" s="335"/>
      <c r="D261" s="335"/>
      <c r="E261" s="335"/>
      <c r="F261" s="335"/>
      <c r="G261" s="335"/>
      <c r="H261" s="400"/>
      <c r="I261" s="400"/>
      <c r="J261" s="400"/>
      <c r="K261" s="400"/>
      <c r="L261" s="400"/>
      <c r="M261" s="400"/>
      <c r="N261" s="336">
        <v>0</v>
      </c>
      <c r="O261" s="399">
        <v>0</v>
      </c>
      <c r="P261" s="337">
        <v>0</v>
      </c>
      <c r="Q261" s="399">
        <v>0</v>
      </c>
      <c r="R261" s="399"/>
      <c r="S261" s="338"/>
      <c r="T261" s="255"/>
    </row>
    <row r="262" spans="1:20" s="281" customFormat="1" ht="15.6" x14ac:dyDescent="0.3">
      <c r="A262" s="334"/>
      <c r="B262" s="336" t="s">
        <v>101</v>
      </c>
      <c r="C262" s="335"/>
      <c r="D262" s="335"/>
      <c r="E262" s="335"/>
      <c r="F262" s="335"/>
      <c r="G262" s="335"/>
      <c r="H262" s="400"/>
      <c r="I262" s="400"/>
      <c r="J262" s="400"/>
      <c r="K262" s="400"/>
      <c r="L262" s="400"/>
      <c r="M262" s="400"/>
      <c r="N262" s="336">
        <v>0</v>
      </c>
      <c r="O262" s="399">
        <v>0</v>
      </c>
      <c r="P262" s="337">
        <v>0</v>
      </c>
      <c r="Q262" s="399">
        <v>0</v>
      </c>
      <c r="R262" s="335"/>
      <c r="S262" s="338"/>
      <c r="T262" s="255"/>
    </row>
    <row r="263" spans="1:20" s="281" customFormat="1" ht="15.6" x14ac:dyDescent="0.3">
      <c r="A263" s="334"/>
      <c r="B263" s="336" t="s">
        <v>210</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211</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212</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213</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214</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c r="C268" s="335"/>
      <c r="D268" s="335"/>
      <c r="E268" s="335"/>
      <c r="F268" s="335"/>
      <c r="G268" s="335"/>
      <c r="H268" s="400"/>
      <c r="I268" s="400"/>
      <c r="J268" s="400"/>
      <c r="K268" s="400"/>
      <c r="L268" s="400"/>
      <c r="M268" s="400"/>
      <c r="N268" s="336"/>
      <c r="O268" s="399"/>
      <c r="P268" s="337"/>
      <c r="Q268" s="399"/>
      <c r="R268" s="335"/>
      <c r="S268" s="338"/>
      <c r="T268" s="255"/>
    </row>
    <row r="269" spans="1:20" s="256" customFormat="1" ht="15.6" x14ac:dyDescent="0.3">
      <c r="A269" s="334"/>
      <c r="B269" s="335" t="s">
        <v>129</v>
      </c>
      <c r="C269" s="335"/>
      <c r="D269" s="335"/>
      <c r="E269" s="335"/>
      <c r="F269" s="335"/>
      <c r="G269" s="335"/>
      <c r="H269" s="400"/>
      <c r="I269" s="400"/>
      <c r="J269" s="400"/>
      <c r="K269" s="400"/>
      <c r="L269" s="400"/>
      <c r="M269" s="400"/>
      <c r="N269" s="336">
        <f>SUM(N260:N267)</f>
        <v>0</v>
      </c>
      <c r="O269" s="399">
        <f>SUM(O260:O267)</f>
        <v>0</v>
      </c>
      <c r="P269" s="337">
        <f>SUM(P260:P267)</f>
        <v>0</v>
      </c>
      <c r="Q269" s="399">
        <f>SUM(Q260:Q267)</f>
        <v>0</v>
      </c>
      <c r="R269" s="335"/>
      <c r="S269" s="338"/>
      <c r="T269" s="255"/>
    </row>
    <row r="270" spans="1:20" s="256" customFormat="1" ht="15.6" x14ac:dyDescent="0.3">
      <c r="A270" s="334"/>
      <c r="B270" s="335"/>
      <c r="C270" s="335"/>
      <c r="D270" s="335"/>
      <c r="E270" s="335"/>
      <c r="F270" s="335"/>
      <c r="G270" s="335"/>
      <c r="H270" s="400"/>
      <c r="I270" s="400"/>
      <c r="J270" s="400"/>
      <c r="K270" s="400"/>
      <c r="L270" s="400"/>
      <c r="M270" s="400"/>
      <c r="N270" s="336"/>
      <c r="O270" s="399"/>
      <c r="P270" s="337"/>
      <c r="Q270" s="399"/>
      <c r="R270" s="335"/>
      <c r="S270" s="338"/>
      <c r="T270" s="255"/>
    </row>
    <row r="271" spans="1:20" s="256" customFormat="1" ht="15.6" x14ac:dyDescent="0.3">
      <c r="A271" s="334"/>
      <c r="B271" s="572" t="s">
        <v>240</v>
      </c>
      <c r="C271" s="335"/>
      <c r="D271" s="335"/>
      <c r="E271" s="335"/>
      <c r="F271" s="335"/>
      <c r="G271" s="335"/>
      <c r="H271" s="400"/>
      <c r="I271" s="400"/>
      <c r="J271" s="400"/>
      <c r="K271" s="400"/>
      <c r="L271" s="400"/>
      <c r="M271" s="400"/>
      <c r="N271" s="573">
        <f>+N245+N257+N269</f>
        <v>3724</v>
      </c>
      <c r="O271" s="399"/>
      <c r="P271" s="407">
        <f>+P269+P257+P245</f>
        <v>438544</v>
      </c>
      <c r="Q271" s="399"/>
      <c r="R271" s="335"/>
      <c r="S271" s="338"/>
      <c r="T271" s="255"/>
    </row>
    <row r="272" spans="1:20" s="256" customFormat="1" ht="15.6" x14ac:dyDescent="0.3">
      <c r="A272" s="261"/>
      <c r="B272" s="574"/>
      <c r="C272" s="242"/>
      <c r="D272" s="242"/>
      <c r="E272" s="242"/>
      <c r="F272" s="242"/>
      <c r="G272" s="242"/>
      <c r="H272" s="283"/>
      <c r="I272" s="283"/>
      <c r="J272" s="283"/>
      <c r="K272" s="283"/>
      <c r="L272" s="283"/>
      <c r="M272" s="283"/>
      <c r="N272" s="283"/>
      <c r="O272" s="283"/>
      <c r="P272" s="284"/>
      <c r="Q272" s="283"/>
      <c r="R272" s="242"/>
      <c r="S272" s="242"/>
      <c r="T272" s="255"/>
    </row>
    <row r="273" spans="1:20" s="256" customFormat="1" ht="15.6" x14ac:dyDescent="0.3">
      <c r="A273" s="285"/>
      <c r="B273" s="241" t="s">
        <v>102</v>
      </c>
      <c r="C273" s="242"/>
      <c r="D273" s="242"/>
      <c r="E273" s="242"/>
      <c r="F273" s="247" t="s">
        <v>108</v>
      </c>
      <c r="G273" s="242"/>
      <c r="H273" s="241" t="s">
        <v>110</v>
      </c>
      <c r="I273" s="250"/>
      <c r="J273" s="250"/>
      <c r="K273" s="250"/>
      <c r="L273" s="250"/>
      <c r="M273" s="250"/>
      <c r="N273" s="250"/>
      <c r="O273" s="250"/>
      <c r="P273" s="250"/>
      <c r="Q273" s="250"/>
      <c r="R273" s="250"/>
      <c r="S273" s="250"/>
      <c r="T273" s="255"/>
    </row>
    <row r="274" spans="1:20" s="256" customFormat="1" ht="15.6" x14ac:dyDescent="0.3">
      <c r="A274" s="285"/>
      <c r="B274" s="250"/>
      <c r="C274" s="242"/>
      <c r="D274" s="242"/>
      <c r="E274" s="242"/>
      <c r="F274" s="242"/>
      <c r="G274" s="242"/>
      <c r="H274" s="242"/>
      <c r="I274" s="250"/>
      <c r="J274" s="250"/>
      <c r="K274" s="250"/>
      <c r="L274" s="250"/>
      <c r="M274" s="250"/>
      <c r="N274" s="250"/>
      <c r="O274" s="250"/>
      <c r="P274" s="250"/>
      <c r="Q274" s="250"/>
      <c r="R274" s="250"/>
      <c r="S274" s="250"/>
      <c r="T274" s="255"/>
    </row>
    <row r="275" spans="1:20" s="256" customFormat="1" ht="15.6" x14ac:dyDescent="0.3">
      <c r="A275" s="285"/>
      <c r="B275" s="241" t="s">
        <v>103</v>
      </c>
      <c r="C275" s="241"/>
      <c r="D275" s="241"/>
      <c r="E275" s="241"/>
      <c r="F275" s="286" t="s">
        <v>172</v>
      </c>
      <c r="G275" s="241"/>
      <c r="H275" s="241" t="s">
        <v>200</v>
      </c>
      <c r="I275" s="250"/>
      <c r="J275" s="250"/>
      <c r="K275" s="250"/>
      <c r="L275" s="250"/>
      <c r="M275" s="250"/>
      <c r="N275" s="250"/>
      <c r="O275" s="250"/>
      <c r="P275" s="250"/>
      <c r="Q275" s="250"/>
      <c r="R275" s="250"/>
      <c r="S275" s="250"/>
      <c r="T275" s="255"/>
    </row>
    <row r="276" spans="1:20" s="256" customFormat="1" ht="15.6" x14ac:dyDescent="0.3">
      <c r="A276" s="285"/>
      <c r="B276" s="241" t="s">
        <v>271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104</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B188</f>
        <v>PM8 INVESTOR REPORT QUARTER ENDING DECEMBER 2012</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hyperlinks>
    <hyperlink ref="J221" r:id="rId1"/>
    <hyperlink ref="J9" r:id="rId2"/>
  </hyperlinks>
  <printOptions horizontalCentered="1" verticalCentered="1"/>
  <pageMargins left="0.19685039370078741" right="0.19685039370078741" top="0.27559055118110237" bottom="0.27559055118110237" header="0" footer="0"/>
  <pageSetup scale="45" orientation="landscape" r:id="rId3"/>
  <headerFooter alignWithMargins="0"/>
  <rowBreaks count="3" manualBreakCount="3">
    <brk id="62" max="19" man="1"/>
    <brk id="131" max="14" man="1"/>
    <brk id="188"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0.88029999999999997</v>
      </c>
      <c r="P16" s="247" t="s">
        <v>161</v>
      </c>
      <c r="Q16" s="246">
        <v>0.1197</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41386</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172588.215</v>
      </c>
      <c r="I31" s="301"/>
      <c r="J31" s="302">
        <f>J30*J37</f>
        <v>256335.93900000001</v>
      </c>
      <c r="K31" s="301"/>
      <c r="L31" s="303">
        <f>L30*L37</f>
        <v>57010.616000000002</v>
      </c>
      <c r="M31" s="301"/>
      <c r="N31" s="302">
        <f>N30*N37</f>
        <v>43854.32</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171135.86599999998</v>
      </c>
      <c r="I32" s="306"/>
      <c r="J32" s="308">
        <f>J36*J30</f>
        <v>254178.84359999999</v>
      </c>
      <c r="K32" s="307"/>
      <c r="L32" s="307">
        <f>L36*L30</f>
        <v>56530.864000000001</v>
      </c>
      <c r="M32" s="307"/>
      <c r="N32" s="308">
        <f>N36*N30</f>
        <v>43485.279999999999</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172588.215</v>
      </c>
      <c r="I34" s="301"/>
      <c r="J34" s="301">
        <f>J33*J37</f>
        <v>178246.845</v>
      </c>
      <c r="K34" s="301"/>
      <c r="L34" s="301">
        <f>L33*L37</f>
        <v>57010.616000000002</v>
      </c>
      <c r="M34" s="301"/>
      <c r="N34" s="301">
        <f>N33*N37</f>
        <v>30698.024000000001</v>
      </c>
      <c r="O34" s="301"/>
      <c r="P34" s="301"/>
      <c r="Q34" s="304"/>
      <c r="R34" s="301">
        <f>SUM(C34:N34)</f>
        <v>438543.69999999995</v>
      </c>
      <c r="S34" s="305"/>
      <c r="T34" s="255"/>
    </row>
    <row r="35" spans="1:20" s="256" customFormat="1" ht="15.6" x14ac:dyDescent="0.3">
      <c r="A35" s="296"/>
      <c r="B35" s="297" t="s">
        <v>287</v>
      </c>
      <c r="C35" s="306"/>
      <c r="D35" s="307">
        <f>D36*D33</f>
        <v>0</v>
      </c>
      <c r="E35" s="306"/>
      <c r="F35" s="307">
        <f>F36*F33</f>
        <v>0</v>
      </c>
      <c r="G35" s="307"/>
      <c r="H35" s="307">
        <f>H36*H33</f>
        <v>171135.86599999998</v>
      </c>
      <c r="I35" s="306"/>
      <c r="J35" s="307">
        <f>J36*J33</f>
        <v>176746.878</v>
      </c>
      <c r="K35" s="307"/>
      <c r="L35" s="307">
        <f>L36*L33</f>
        <v>56530.864000000001</v>
      </c>
      <c r="M35" s="307"/>
      <c r="N35" s="307">
        <f>N36*N33</f>
        <v>30439.696</v>
      </c>
      <c r="O35" s="307"/>
      <c r="P35" s="307"/>
      <c r="Q35" s="309"/>
      <c r="R35" s="307">
        <f>SUM(C35:N35)</f>
        <v>434853.30399999995</v>
      </c>
      <c r="S35" s="305"/>
      <c r="T35" s="255"/>
    </row>
    <row r="36" spans="1:20" ht="15.6" x14ac:dyDescent="0.3">
      <c r="A36" s="310"/>
      <c r="B36" s="311" t="s">
        <v>149</v>
      </c>
      <c r="C36" s="312"/>
      <c r="D36" s="313">
        <v>0</v>
      </c>
      <c r="E36" s="314"/>
      <c r="F36" s="313">
        <v>0</v>
      </c>
      <c r="G36" s="315"/>
      <c r="H36" s="313">
        <v>0.56110119999999997</v>
      </c>
      <c r="I36" s="315"/>
      <c r="J36" s="313">
        <v>0.56110119999999997</v>
      </c>
      <c r="K36" s="315"/>
      <c r="L36" s="313">
        <v>0.86970559999999997</v>
      </c>
      <c r="M36" s="313"/>
      <c r="N36" s="313">
        <v>0.86970559999999997</v>
      </c>
      <c r="O36" s="316"/>
      <c r="P36" s="316"/>
      <c r="Q36" s="317"/>
      <c r="R36" s="316"/>
      <c r="S36" s="318"/>
      <c r="T36" s="5"/>
    </row>
    <row r="37" spans="1:20" ht="15.6" x14ac:dyDescent="0.3">
      <c r="A37" s="310"/>
      <c r="B37" s="311" t="s">
        <v>150</v>
      </c>
      <c r="C37" s="312"/>
      <c r="D37" s="313">
        <v>0</v>
      </c>
      <c r="E37" s="314"/>
      <c r="F37" s="313">
        <v>0</v>
      </c>
      <c r="G37" s="315"/>
      <c r="H37" s="313">
        <v>0.565863</v>
      </c>
      <c r="I37" s="315"/>
      <c r="J37" s="313">
        <v>0.565863</v>
      </c>
      <c r="K37" s="315"/>
      <c r="L37" s="313">
        <v>0.87708640000000004</v>
      </c>
      <c r="M37" s="313"/>
      <c r="N37" s="313">
        <v>0.87708640000000004</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8.9125000000000003E-3</v>
      </c>
      <c r="I39" s="321"/>
      <c r="J39" s="320">
        <v>5.5500000000000002E-3</v>
      </c>
      <c r="K39" s="321"/>
      <c r="L39" s="320">
        <v>1.81125E-2</v>
      </c>
      <c r="M39" s="321"/>
      <c r="N39" s="320">
        <v>1.3950000000000001E-2</v>
      </c>
      <c r="O39" s="321"/>
      <c r="P39" s="320"/>
      <c r="Q39" s="294"/>
      <c r="R39" s="321"/>
      <c r="S39" s="295"/>
      <c r="T39" s="255"/>
    </row>
    <row r="40" spans="1:20" s="256" customFormat="1" ht="15.6" x14ac:dyDescent="0.3">
      <c r="A40" s="291"/>
      <c r="B40" s="292" t="s">
        <v>14</v>
      </c>
      <c r="C40" s="292"/>
      <c r="D40" s="320">
        <v>0</v>
      </c>
      <c r="E40" s="292"/>
      <c r="F40" s="320">
        <v>0</v>
      </c>
      <c r="G40" s="321"/>
      <c r="H40" s="320">
        <v>9.1874999999999995E-3</v>
      </c>
      <c r="I40" s="321"/>
      <c r="J40" s="320">
        <v>5.7000000000000002E-3</v>
      </c>
      <c r="K40" s="321"/>
      <c r="L40" s="320">
        <v>1.8387500000000001E-2</v>
      </c>
      <c r="M40" s="321"/>
      <c r="N40" s="320">
        <v>1.41E-2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8.9125000000000003E-3</v>
      </c>
      <c r="I42" s="321"/>
      <c r="J42" s="320">
        <v>9.7085000000000001E-3</v>
      </c>
      <c r="K42" s="321"/>
      <c r="L42" s="320">
        <f>+L39</f>
        <v>1.81125E-2</v>
      </c>
      <c r="M42" s="321"/>
      <c r="N42" s="320">
        <v>1.8866500000000001E-2</v>
      </c>
      <c r="O42" s="321"/>
      <c r="P42" s="320"/>
      <c r="Q42" s="294"/>
      <c r="R42" s="321">
        <f>SUMPRODUCT(D42:N42,D34:N34)/R34</f>
        <v>1.1128813418060731E-2</v>
      </c>
      <c r="S42" s="295"/>
      <c r="T42" s="255"/>
    </row>
    <row r="43" spans="1:20" s="256" customFormat="1" ht="15.6" x14ac:dyDescent="0.3">
      <c r="A43" s="291"/>
      <c r="B43" s="292" t="s">
        <v>290</v>
      </c>
      <c r="C43" s="292"/>
      <c r="D43" s="320">
        <f>+D40</f>
        <v>0</v>
      </c>
      <c r="E43" s="292"/>
      <c r="F43" s="320">
        <v>0</v>
      </c>
      <c r="G43" s="321"/>
      <c r="H43" s="320">
        <f>+H40</f>
        <v>9.1874999999999995E-3</v>
      </c>
      <c r="I43" s="321"/>
      <c r="J43" s="320">
        <v>9.9834999999999993E-3</v>
      </c>
      <c r="K43" s="321"/>
      <c r="L43" s="320">
        <f>+L40</f>
        <v>1.8387500000000001E-2</v>
      </c>
      <c r="M43" s="321"/>
      <c r="N43" s="320">
        <v>1.9141499999999999E-2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0.24999963780899695</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41379</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41197</v>
      </c>
      <c r="Q55" s="331"/>
      <c r="R55" s="330">
        <v>41288</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90</v>
      </c>
      <c r="O56" s="292"/>
      <c r="P56" s="330">
        <v>41289</v>
      </c>
      <c r="Q56" s="331"/>
      <c r="R56" s="330">
        <v>41378</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41366</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315</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438544</v>
      </c>
      <c r="K66" s="336"/>
      <c r="L66" s="336">
        <f>3691+9</f>
        <v>3700</v>
      </c>
      <c r="M66" s="336"/>
      <c r="N66" s="336">
        <v>9</v>
      </c>
      <c r="O66" s="336"/>
      <c r="P66" s="336">
        <v>0</v>
      </c>
      <c r="Q66" s="336"/>
      <c r="R66" s="337">
        <f>+J66-L66+N66-P66</f>
        <v>434853</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438544</v>
      </c>
      <c r="K69" s="336"/>
      <c r="L69" s="336">
        <f>SUM(L66:L68)</f>
        <v>3700</v>
      </c>
      <c r="M69" s="336"/>
      <c r="N69" s="336">
        <f>SUM(N66:N68)</f>
        <v>9</v>
      </c>
      <c r="O69" s="336"/>
      <c r="P69" s="336">
        <f>SUM(P66:P68)</f>
        <v>0</v>
      </c>
      <c r="Q69" s="336"/>
      <c r="R69" s="336">
        <f>SUM(R66:R68)</f>
        <v>434853</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438544</v>
      </c>
      <c r="K82" s="336"/>
      <c r="L82" s="336"/>
      <c r="M82" s="336"/>
      <c r="N82" s="336"/>
      <c r="O82" s="336"/>
      <c r="P82" s="336"/>
      <c r="Q82" s="336"/>
      <c r="R82" s="336">
        <f>SUM(R69:R81)</f>
        <v>434853</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41361</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3700-187</f>
        <v>3513</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3573+445-1109-124</f>
        <v>2785</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42+70</f>
        <v>112</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23</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233</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3513</v>
      </c>
      <c r="Q94" s="335"/>
      <c r="R94" s="336">
        <f>SUM(R86:R93)</f>
        <v>3153</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-1</v>
      </c>
      <c r="Q95" s="335"/>
      <c r="R95" s="336">
        <f>-P95</f>
        <v>1</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-107</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3512</v>
      </c>
      <c r="Q98" s="335"/>
      <c r="R98" s="336">
        <f>R94+R96+R95+R97</f>
        <v>3047</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-108-136-5</f>
        <v>-249</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-127</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-379</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-427</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-255</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-143</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187</v>
      </c>
      <c r="Q113" s="335"/>
      <c r="R113" s="337">
        <v>-187</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-220</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-1049</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-8</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-1452</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-1500</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-480</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-259</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-3699</v>
      </c>
      <c r="Q128" s="336"/>
      <c r="R128" s="336">
        <f>SUM(R99:R127)</f>
        <v>-3047</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MARCH 2013</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294</v>
      </c>
      <c r="C149" s="335"/>
      <c r="D149" s="335"/>
      <c r="E149" s="335"/>
      <c r="F149" s="335"/>
      <c r="G149" s="335"/>
      <c r="H149" s="335"/>
      <c r="I149" s="335"/>
      <c r="J149" s="335"/>
      <c r="K149" s="335"/>
      <c r="L149" s="335"/>
      <c r="M149" s="335"/>
      <c r="N149" s="335"/>
      <c r="O149" s="335"/>
      <c r="P149" s="335"/>
      <c r="Q149" s="335"/>
      <c r="R149" s="337">
        <v>1698</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187</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187</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-187</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107</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434853</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434853</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+'Dec 12'!O176</f>
        <v>89002</v>
      </c>
      <c r="P175" s="337">
        <f>+'Dec 12'!P176</f>
        <v>8468</v>
      </c>
      <c r="Q175" s="335"/>
      <c r="R175" s="337">
        <f>O175+P175</f>
        <v>97470</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8</v>
      </c>
      <c r="P176" s="336">
        <f>-P95-P120</f>
        <v>1</v>
      </c>
      <c r="Q176" s="335"/>
      <c r="R176" s="337">
        <f>O176+P176</f>
        <v>9</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89010</v>
      </c>
      <c r="P177" s="337">
        <f>P176+P175</f>
        <v>8469</v>
      </c>
      <c r="Q177" s="335"/>
      <c r="R177" s="337">
        <f>O177+P177</f>
        <v>97479</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62521</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3.3101736972704714</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1.55</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4.6783919597989954</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2.88</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MARCH 2013</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41361</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2.3859999999999999E-2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1.1128813418060731E-2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1.2731186581939268E-2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6.9479915356269835E-3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12.88</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8.4370097413258415E-3</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0.1091</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1</v>
      </c>
      <c r="P207" s="277">
        <v>45</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73</v>
      </c>
      <c r="P208" s="371">
        <f>+P258</f>
        <v>10339</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187</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'Dec 12'!P213+P213</f>
        <v>4336</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6</v>
      </c>
      <c r="P220" s="371">
        <v>976</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7.75</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3658</v>
      </c>
      <c r="O225" s="280">
        <f t="shared" ref="O225:O232" si="2">N225/$N$234</f>
        <v>0.98971861471861466</v>
      </c>
      <c r="P225" s="269">
        <f t="shared" ref="P225:P232" si="3">+P237+P249+P261</f>
        <v>430227</v>
      </c>
      <c r="Q225" s="280">
        <f t="shared" ref="Q225:Q232" si="4">P225/$P$234</f>
        <v>0.98936192230477882</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24</v>
      </c>
      <c r="O226" s="399">
        <f t="shared" si="2"/>
        <v>6.4935064935064939E-3</v>
      </c>
      <c r="P226" s="337">
        <f t="shared" si="3"/>
        <v>3463</v>
      </c>
      <c r="Q226" s="399">
        <f t="shared" si="4"/>
        <v>7.9636106914290575E-3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5</v>
      </c>
      <c r="O227" s="399">
        <f t="shared" si="2"/>
        <v>1.3528138528138528E-3</v>
      </c>
      <c r="P227" s="337">
        <f t="shared" si="3"/>
        <v>359</v>
      </c>
      <c r="Q227" s="399">
        <f t="shared" si="4"/>
        <v>8.2556634080942291E-4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0</v>
      </c>
      <c r="O228" s="399">
        <f t="shared" si="2"/>
        <v>0</v>
      </c>
      <c r="P228" s="337">
        <f t="shared" si="3"/>
        <v>0</v>
      </c>
      <c r="Q228" s="399">
        <f t="shared" si="4"/>
        <v>0</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5</v>
      </c>
      <c r="O231" s="399">
        <f t="shared" si="2"/>
        <v>1.3528138528138528E-3</v>
      </c>
      <c r="P231" s="337">
        <f t="shared" si="3"/>
        <v>297</v>
      </c>
      <c r="Q231" s="399">
        <f t="shared" si="4"/>
        <v>6.8298942401225245E-4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4</v>
      </c>
      <c r="O232" s="561">
        <f t="shared" si="2"/>
        <v>1.0822510822510823E-3</v>
      </c>
      <c r="P232" s="562">
        <f t="shared" si="3"/>
        <v>507</v>
      </c>
      <c r="Q232" s="561">
        <f t="shared" si="4"/>
        <v>1.1659112389704107E-3</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3696</v>
      </c>
      <c r="O234" s="399">
        <f>SUM(O225:O233)</f>
        <v>0.99999999999999989</v>
      </c>
      <c r="P234" s="337">
        <f>SUM(P225:P233)</f>
        <v>434853</v>
      </c>
      <c r="Q234" s="399">
        <f>SUM(Q225:Q233)</f>
        <v>0.99999999999999989</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3591</v>
      </c>
      <c r="O237" s="280">
        <f t="shared" ref="O237:O244" si="5">N237/$N$246</f>
        <v>0.99116754071211699</v>
      </c>
      <c r="P237" s="269">
        <v>420542</v>
      </c>
      <c r="Q237" s="280">
        <f t="shared" ref="Q237:Q244" si="6">P237/$P$246</f>
        <v>0.99064341812048606</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23</v>
      </c>
      <c r="O238" s="399">
        <f t="shared" si="5"/>
        <v>6.3483301131658848E-3</v>
      </c>
      <c r="P238" s="337">
        <v>3361</v>
      </c>
      <c r="Q238" s="399">
        <f t="shared" si="6"/>
        <v>7.9172889468898545E-3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5</v>
      </c>
      <c r="O239" s="399">
        <f t="shared" si="5"/>
        <v>1.380071763731714E-3</v>
      </c>
      <c r="P239" s="337">
        <v>359</v>
      </c>
      <c r="Q239" s="399">
        <f t="shared" si="6"/>
        <v>8.4567293422596189E-4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3</v>
      </c>
      <c r="O243" s="399">
        <f t="shared" si="5"/>
        <v>8.2804305823902839E-4</v>
      </c>
      <c r="P243" s="337">
        <v>61</v>
      </c>
      <c r="Q243" s="399">
        <f t="shared" si="6"/>
        <v>1.4369372977098517E-4</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2.7601435274634281E-4</v>
      </c>
      <c r="P244" s="337">
        <v>191</v>
      </c>
      <c r="Q244" s="399">
        <f t="shared" si="6"/>
        <v>4.4992626862718307E-4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3623</v>
      </c>
      <c r="O246" s="399">
        <f>SUM(O237:O245)</f>
        <v>1</v>
      </c>
      <c r="P246" s="337">
        <f>SUM(P237:P245)</f>
        <v>424514</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67</v>
      </c>
      <c r="O249" s="280">
        <f t="shared" ref="O249:O256" si="7">N249/$N$258</f>
        <v>0.9178082191780822</v>
      </c>
      <c r="P249" s="269">
        <v>9685</v>
      </c>
      <c r="Q249" s="280">
        <f t="shared" ref="Q249:Q256" si="8">P249/$P$258</f>
        <v>0.93674436599284261</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1</v>
      </c>
      <c r="O250" s="399">
        <f t="shared" si="7"/>
        <v>1.3698630136986301E-2</v>
      </c>
      <c r="P250" s="337">
        <v>102</v>
      </c>
      <c r="Q250" s="399">
        <f t="shared" si="8"/>
        <v>9.8655575974465615E-3</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0</v>
      </c>
      <c r="O251" s="399">
        <f t="shared" si="7"/>
        <v>0</v>
      </c>
      <c r="P251" s="337">
        <v>0</v>
      </c>
      <c r="Q251" s="399">
        <f t="shared" si="8"/>
        <v>0</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7"/>
        <v>0</v>
      </c>
      <c r="P254" s="337">
        <v>0</v>
      </c>
      <c r="Q254" s="399">
        <f t="shared" si="8"/>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2</v>
      </c>
      <c r="O255" s="399">
        <f t="shared" si="7"/>
        <v>2.7397260273972601E-2</v>
      </c>
      <c r="P255" s="337">
        <v>236</v>
      </c>
      <c r="Q255" s="399">
        <f t="shared" si="8"/>
        <v>2.2826192088209692E-2</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3</v>
      </c>
      <c r="O256" s="399">
        <f t="shared" si="7"/>
        <v>4.1095890410958902E-2</v>
      </c>
      <c r="P256" s="337">
        <v>316</v>
      </c>
      <c r="Q256" s="399">
        <f t="shared" si="8"/>
        <v>3.0563884321501113E-2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73</v>
      </c>
      <c r="O258" s="399">
        <f>SUM(O249:O257)</f>
        <v>1</v>
      </c>
      <c r="P258" s="337">
        <f>SUM(P249:P257)</f>
        <v>10339</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3696</v>
      </c>
      <c r="O272" s="399"/>
      <c r="P272" s="407">
        <f>+P270+P258+P246</f>
        <v>434853</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103</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271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104</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MARCH 2013</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0.87980000000000003</v>
      </c>
      <c r="P16" s="247" t="s">
        <v>161</v>
      </c>
      <c r="Q16" s="246">
        <v>0.1202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41474</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171135.86599999998</v>
      </c>
      <c r="I31" s="301"/>
      <c r="J31" s="302">
        <f>J30*J37</f>
        <v>254178.84359999999</v>
      </c>
      <c r="K31" s="301"/>
      <c r="L31" s="303">
        <f>L30*L37</f>
        <v>56530.864000000001</v>
      </c>
      <c r="M31" s="301"/>
      <c r="N31" s="302">
        <f>N30*N37</f>
        <v>43485.279999999999</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169956.43100000001</v>
      </c>
      <c r="I32" s="306"/>
      <c r="J32" s="308">
        <f>J36*J30</f>
        <v>252427.0926</v>
      </c>
      <c r="K32" s="307"/>
      <c r="L32" s="307">
        <f>L36*L30</f>
        <v>56141.267</v>
      </c>
      <c r="M32" s="307"/>
      <c r="N32" s="308">
        <f>N36*N30</f>
        <v>43185.590000000004</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171135.86599999998</v>
      </c>
      <c r="I34" s="301"/>
      <c r="J34" s="301">
        <f>J33*J37</f>
        <v>176746.878</v>
      </c>
      <c r="K34" s="301"/>
      <c r="L34" s="301">
        <f>L33*L37</f>
        <v>56530.864000000001</v>
      </c>
      <c r="M34" s="301"/>
      <c r="N34" s="301">
        <f>N33*N37</f>
        <v>30439.696</v>
      </c>
      <c r="O34" s="301"/>
      <c r="P34" s="301"/>
      <c r="Q34" s="304"/>
      <c r="R34" s="301">
        <f>SUM(C34:N34)</f>
        <v>434853.30399999995</v>
      </c>
      <c r="S34" s="305"/>
      <c r="T34" s="255"/>
    </row>
    <row r="35" spans="1:20" s="256" customFormat="1" ht="15.6" x14ac:dyDescent="0.3">
      <c r="A35" s="296"/>
      <c r="B35" s="297" t="s">
        <v>287</v>
      </c>
      <c r="C35" s="306"/>
      <c r="D35" s="307">
        <f>D36*D33</f>
        <v>0</v>
      </c>
      <c r="E35" s="306"/>
      <c r="F35" s="307">
        <f>F36*F33</f>
        <v>0</v>
      </c>
      <c r="G35" s="307"/>
      <c r="H35" s="307">
        <f>H36*H33</f>
        <v>169956.43100000001</v>
      </c>
      <c r="I35" s="306"/>
      <c r="J35" s="307">
        <f>J36*J33</f>
        <v>175528.77300000002</v>
      </c>
      <c r="K35" s="307"/>
      <c r="L35" s="307">
        <f>L36*L33</f>
        <v>56141.267</v>
      </c>
      <c r="M35" s="307"/>
      <c r="N35" s="307">
        <f>N36*N33</f>
        <v>30229.913</v>
      </c>
      <c r="O35" s="307"/>
      <c r="P35" s="307"/>
      <c r="Q35" s="309"/>
      <c r="R35" s="307">
        <f>SUM(C35:N35)</f>
        <v>431856.38400000002</v>
      </c>
      <c r="S35" s="305"/>
      <c r="T35" s="255"/>
    </row>
    <row r="36" spans="1:20" ht="15.6" x14ac:dyDescent="0.3">
      <c r="A36" s="310"/>
      <c r="B36" s="311" t="s">
        <v>149</v>
      </c>
      <c r="C36" s="312"/>
      <c r="D36" s="313">
        <v>0</v>
      </c>
      <c r="E36" s="314"/>
      <c r="F36" s="313">
        <v>0</v>
      </c>
      <c r="G36" s="315"/>
      <c r="H36" s="313">
        <v>0.55723420000000001</v>
      </c>
      <c r="I36" s="315"/>
      <c r="J36" s="313">
        <v>0.55723420000000001</v>
      </c>
      <c r="K36" s="315"/>
      <c r="L36" s="313">
        <v>0.86371180000000003</v>
      </c>
      <c r="M36" s="313"/>
      <c r="N36" s="313">
        <v>0.86371180000000003</v>
      </c>
      <c r="O36" s="316"/>
      <c r="P36" s="316"/>
      <c r="Q36" s="317"/>
      <c r="R36" s="316"/>
      <c r="S36" s="318"/>
      <c r="T36" s="5"/>
    </row>
    <row r="37" spans="1:20" ht="15.6" x14ac:dyDescent="0.3">
      <c r="A37" s="310"/>
      <c r="B37" s="311" t="s">
        <v>150</v>
      </c>
      <c r="C37" s="312"/>
      <c r="D37" s="313">
        <v>0</v>
      </c>
      <c r="E37" s="314"/>
      <c r="F37" s="313">
        <v>0</v>
      </c>
      <c r="G37" s="315"/>
      <c r="H37" s="313">
        <v>0.56110119999999997</v>
      </c>
      <c r="I37" s="315"/>
      <c r="J37" s="313">
        <v>0.56110119999999997</v>
      </c>
      <c r="K37" s="315"/>
      <c r="L37" s="313">
        <v>0.86970559999999997</v>
      </c>
      <c r="M37" s="313"/>
      <c r="N37" s="313">
        <v>0.86970559999999997</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8.8562999999999992E-3</v>
      </c>
      <c r="I39" s="321"/>
      <c r="J39" s="320">
        <v>5.7099999999999998E-3</v>
      </c>
      <c r="K39" s="321"/>
      <c r="L39" s="320">
        <v>1.8056300000000001E-2</v>
      </c>
      <c r="M39" s="321"/>
      <c r="N39" s="320">
        <v>1.4109999999999999E-2</v>
      </c>
      <c r="O39" s="321"/>
      <c r="P39" s="320"/>
      <c r="Q39" s="294"/>
      <c r="R39" s="321"/>
      <c r="S39" s="295"/>
      <c r="T39" s="255"/>
    </row>
    <row r="40" spans="1:20" s="256" customFormat="1" ht="15.6" x14ac:dyDescent="0.3">
      <c r="A40" s="291"/>
      <c r="B40" s="292" t="s">
        <v>14</v>
      </c>
      <c r="C40" s="292"/>
      <c r="D40" s="320">
        <v>0</v>
      </c>
      <c r="E40" s="292"/>
      <c r="F40" s="320">
        <v>0</v>
      </c>
      <c r="G40" s="321"/>
      <c r="H40" s="320">
        <v>8.9125000000000003E-3</v>
      </c>
      <c r="I40" s="321"/>
      <c r="J40" s="320">
        <v>5.5500000000000002E-3</v>
      </c>
      <c r="K40" s="321"/>
      <c r="L40" s="320">
        <v>1.81125E-2</v>
      </c>
      <c r="M40" s="321"/>
      <c r="N40" s="320">
        <v>1.3950000000000001E-2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8.8562999999999992E-3</v>
      </c>
      <c r="I42" s="321"/>
      <c r="J42" s="320">
        <v>9.6523000000000008E-3</v>
      </c>
      <c r="K42" s="321"/>
      <c r="L42" s="320">
        <f>+L39</f>
        <v>1.8056300000000001E-2</v>
      </c>
      <c r="M42" s="321"/>
      <c r="N42" s="320">
        <v>1.8810299999999999E-2</v>
      </c>
      <c r="O42" s="321"/>
      <c r="P42" s="320"/>
      <c r="Q42" s="294"/>
      <c r="R42" s="321">
        <f>SUMPRODUCT(D42:N42,D34:N34)/R34</f>
        <v>1.1072613383862435E-2</v>
      </c>
      <c r="S42" s="295"/>
      <c r="T42" s="255"/>
    </row>
    <row r="43" spans="1:20" s="256" customFormat="1" ht="15.6" x14ac:dyDescent="0.3">
      <c r="A43" s="291"/>
      <c r="B43" s="292" t="s">
        <v>290</v>
      </c>
      <c r="C43" s="292"/>
      <c r="D43" s="320">
        <f>+D40</f>
        <v>0</v>
      </c>
      <c r="E43" s="292"/>
      <c r="F43" s="320">
        <v>0</v>
      </c>
      <c r="G43" s="321"/>
      <c r="H43" s="320">
        <f>+H40</f>
        <v>8.9125000000000003E-3</v>
      </c>
      <c r="I43" s="321"/>
      <c r="J43" s="320">
        <v>9.7085000000000001E-3</v>
      </c>
      <c r="K43" s="321"/>
      <c r="L43" s="320">
        <f>+L40</f>
        <v>1.81125E-2</v>
      </c>
      <c r="M43" s="321"/>
      <c r="N43" s="320">
        <v>1.8866500000000001E-2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0.2499996497679246</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41470</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90</v>
      </c>
      <c r="O55" s="329"/>
      <c r="P55" s="330">
        <v>41289</v>
      </c>
      <c r="Q55" s="331"/>
      <c r="R55" s="330">
        <v>41378</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41379</v>
      </c>
      <c r="Q56" s="331"/>
      <c r="R56" s="330">
        <v>41469</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41456</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319</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434853</v>
      </c>
      <c r="K66" s="336"/>
      <c r="L66" s="336">
        <f>2997+17</f>
        <v>3014</v>
      </c>
      <c r="M66" s="336"/>
      <c r="N66" s="336">
        <v>17</v>
      </c>
      <c r="O66" s="336"/>
      <c r="P66" s="336">
        <v>0</v>
      </c>
      <c r="Q66" s="336"/>
      <c r="R66" s="337">
        <f>+J66-L66+N66-P66</f>
        <v>431856</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434853</v>
      </c>
      <c r="K69" s="336"/>
      <c r="L69" s="336">
        <f>SUM(L66:L68)</f>
        <v>3014</v>
      </c>
      <c r="M69" s="336"/>
      <c r="N69" s="336">
        <f>SUM(N66:N68)</f>
        <v>17</v>
      </c>
      <c r="O69" s="336"/>
      <c r="P69" s="336">
        <f>SUM(P66:P68)</f>
        <v>0</v>
      </c>
      <c r="Q69" s="336"/>
      <c r="R69" s="336">
        <f>SUM(R66:R68)</f>
        <v>431856</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434853</v>
      </c>
      <c r="K82" s="336"/>
      <c r="L82" s="336"/>
      <c r="M82" s="336"/>
      <c r="N82" s="336"/>
      <c r="O82" s="336"/>
      <c r="P82" s="336"/>
      <c r="Q82" s="336"/>
      <c r="R82" s="336">
        <f>SUM(R69:R81)</f>
        <v>431856</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41453</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3014-214</f>
        <v>2800</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3103+417-834-99</f>
        <v>2587</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v>68</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22</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213</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2800</v>
      </c>
      <c r="Q94" s="335"/>
      <c r="R94" s="336">
        <f>SUM(R86:R93)</f>
        <v>2890</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137</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2800</v>
      </c>
      <c r="Q98" s="335"/>
      <c r="R98" s="336">
        <f>R94+R96+R95+R97</f>
        <v>3027</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-109-131-6</f>
        <v>-246</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-55</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-378</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-425</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-254</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-143</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214</v>
      </c>
      <c r="Q113" s="335"/>
      <c r="R113" s="337">
        <v>-214</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-221</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-1080</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-17</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-1179</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-1218</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-390</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-210</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-3014</v>
      </c>
      <c r="Q128" s="336"/>
      <c r="R128" s="336">
        <f>SUM(R99:R127)</f>
        <v>-3027</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JUNE 2013</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294</v>
      </c>
      <c r="C149" s="335"/>
      <c r="D149" s="335"/>
      <c r="E149" s="335"/>
      <c r="F149" s="335"/>
      <c r="G149" s="335"/>
      <c r="H149" s="335"/>
      <c r="I149" s="335"/>
      <c r="J149" s="335"/>
      <c r="K149" s="335"/>
      <c r="L149" s="335"/>
      <c r="M149" s="335"/>
      <c r="N149" s="335"/>
      <c r="O149" s="335"/>
      <c r="P149" s="335"/>
      <c r="Q149" s="335"/>
      <c r="R149" s="337">
        <v>1698</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214</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214</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-214</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431856</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431856</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+'March 13'!O177</f>
        <v>89010</v>
      </c>
      <c r="P175" s="337">
        <f>+'March 13'!P177</f>
        <v>8469</v>
      </c>
      <c r="Q175" s="335"/>
      <c r="R175" s="337">
        <f>O175+P175</f>
        <v>97479</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17</v>
      </c>
      <c r="P176" s="336">
        <v>0</v>
      </c>
      <c r="Q176" s="335"/>
      <c r="R176" s="337">
        <f>O176+P176</f>
        <v>17</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89027</v>
      </c>
      <c r="P177" s="337">
        <f>P176+P175</f>
        <v>8469</v>
      </c>
      <c r="Q177" s="335"/>
      <c r="R177" s="337">
        <f>O177+P177</f>
        <v>97496</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62504</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3.391033623910336</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1.55</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4.8362720403022674</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2.9</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JUNE 2013</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41453</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2.3029999999999998E-2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1.1072613383862435E-2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1.1957386616137563E-2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6.9609730184683099E-3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12.67</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6.9310778584947101E-3</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0.1069</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72</v>
      </c>
      <c r="P208" s="371">
        <f>+P258</f>
        <v>10110</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214</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'March 13'!P214+P213</f>
        <v>4550</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3</v>
      </c>
      <c r="P220" s="371">
        <v>506</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3.04</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3640</v>
      </c>
      <c r="O225" s="280">
        <f t="shared" ref="O225:O232" si="2">N225/$N$234</f>
        <v>0.99290780141843971</v>
      </c>
      <c r="P225" s="269">
        <f t="shared" ref="P225:P232" si="3">+P237+P249+P261</f>
        <v>428061</v>
      </c>
      <c r="Q225" s="280">
        <f t="shared" ref="Q225:Q232" si="4">P225/$P$234</f>
        <v>0.99121234856063134</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12</v>
      </c>
      <c r="O226" s="399">
        <f t="shared" si="2"/>
        <v>3.2733224222585926E-3</v>
      </c>
      <c r="P226" s="337">
        <f t="shared" si="3"/>
        <v>2456</v>
      </c>
      <c r="Q226" s="399">
        <f t="shared" si="4"/>
        <v>5.6870808788114556E-3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5</v>
      </c>
      <c r="O227" s="399">
        <f t="shared" si="2"/>
        <v>1.363884342607747E-3</v>
      </c>
      <c r="P227" s="337">
        <f t="shared" si="3"/>
        <v>648</v>
      </c>
      <c r="Q227" s="399">
        <f t="shared" si="4"/>
        <v>1.5005001667222407E-3</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1</v>
      </c>
      <c r="O228" s="399">
        <f t="shared" si="2"/>
        <v>2.7277686852154935E-4</v>
      </c>
      <c r="P228" s="337">
        <f t="shared" si="3"/>
        <v>46</v>
      </c>
      <c r="Q228" s="399">
        <f t="shared" si="4"/>
        <v>1.0651698714386277E-4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2</v>
      </c>
      <c r="O230" s="399">
        <f t="shared" si="2"/>
        <v>5.455537370430987E-4</v>
      </c>
      <c r="P230" s="337">
        <f t="shared" si="3"/>
        <v>37</v>
      </c>
      <c r="Q230" s="399">
        <f t="shared" si="4"/>
        <v>8.567670705049832E-5</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3</v>
      </c>
      <c r="O231" s="399">
        <f t="shared" si="2"/>
        <v>8.1833060556464816E-4</v>
      </c>
      <c r="P231" s="337">
        <f t="shared" si="3"/>
        <v>239</v>
      </c>
      <c r="Q231" s="399">
        <f t="shared" si="4"/>
        <v>5.5342521581267835E-4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3</v>
      </c>
      <c r="O232" s="561">
        <f t="shared" si="2"/>
        <v>8.1833060556464816E-4</v>
      </c>
      <c r="P232" s="562">
        <f t="shared" si="3"/>
        <v>369</v>
      </c>
      <c r="Q232" s="561">
        <f t="shared" si="4"/>
        <v>8.5445148382794266E-4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3666</v>
      </c>
      <c r="O234" s="399">
        <f>SUM(O225:O233)</f>
        <v>1</v>
      </c>
      <c r="P234" s="337">
        <f>SUM(P225:P233)</f>
        <v>431856</v>
      </c>
      <c r="Q234" s="399">
        <f>SUM(Q225:Q233)</f>
        <v>0.99999999999999989</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3575</v>
      </c>
      <c r="O237" s="280">
        <f t="shared" ref="O237:O244" si="5">N237/$N$246</f>
        <v>0.99471341124095713</v>
      </c>
      <c r="P237" s="269">
        <v>418759</v>
      </c>
      <c r="Q237" s="280">
        <f t="shared" ref="Q237:Q244" si="6">P237/$P$246</f>
        <v>0.99291753804422567</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11</v>
      </c>
      <c r="O238" s="399">
        <f t="shared" si="5"/>
        <v>3.060656649972176E-3</v>
      </c>
      <c r="P238" s="337">
        <v>2353</v>
      </c>
      <c r="Q238" s="399">
        <f t="shared" si="6"/>
        <v>5.57918747302879E-3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3</v>
      </c>
      <c r="O239" s="399">
        <f t="shared" si="5"/>
        <v>8.3472454090150253E-4</v>
      </c>
      <c r="P239" s="337">
        <v>337</v>
      </c>
      <c r="Q239" s="399">
        <f t="shared" si="6"/>
        <v>7.9905914934581476E-4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1</v>
      </c>
      <c r="O240" s="399">
        <f t="shared" si="5"/>
        <v>2.7824151363383418E-4</v>
      </c>
      <c r="P240" s="337">
        <v>46</v>
      </c>
      <c r="Q240" s="399">
        <f t="shared" si="6"/>
        <v>1.090703883380044E-4</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2</v>
      </c>
      <c r="O242" s="399">
        <f t="shared" si="5"/>
        <v>5.5648302726766835E-4</v>
      </c>
      <c r="P242" s="337">
        <v>37</v>
      </c>
      <c r="Q242" s="399">
        <f t="shared" si="6"/>
        <v>8.7730529750133966E-5</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1</v>
      </c>
      <c r="O243" s="399">
        <f t="shared" si="5"/>
        <v>2.7824151363383418E-4</v>
      </c>
      <c r="P243" s="337">
        <v>24</v>
      </c>
      <c r="Q243" s="399">
        <f t="shared" si="6"/>
        <v>5.6906289567654462E-5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2.7824151363383418E-4</v>
      </c>
      <c r="P244" s="337">
        <v>190</v>
      </c>
      <c r="Q244" s="399">
        <f t="shared" si="6"/>
        <v>4.5050812574393118E-4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3594</v>
      </c>
      <c r="O246" s="399">
        <f>SUM(O237:O245)</f>
        <v>1</v>
      </c>
      <c r="P246" s="337">
        <f>SUM(P237:P245)</f>
        <v>421746</v>
      </c>
      <c r="Q246" s="399">
        <f>SUM(Q237:Q245)</f>
        <v>0.99999999999999989</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65</v>
      </c>
      <c r="O249" s="280">
        <f t="shared" ref="O249:O256" si="7">N249/$N$258</f>
        <v>0.90277777777777779</v>
      </c>
      <c r="P249" s="269">
        <v>9302</v>
      </c>
      <c r="Q249" s="280">
        <f t="shared" ref="Q249:Q256" si="8">P249/$P$258</f>
        <v>0.92007912957467852</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1</v>
      </c>
      <c r="O250" s="399">
        <f t="shared" si="7"/>
        <v>1.3888888888888888E-2</v>
      </c>
      <c r="P250" s="337">
        <v>103</v>
      </c>
      <c r="Q250" s="399">
        <f t="shared" si="8"/>
        <v>1.0187932739861523E-2</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2</v>
      </c>
      <c r="O251" s="399">
        <f t="shared" si="7"/>
        <v>2.7777777777777776E-2</v>
      </c>
      <c r="P251" s="337">
        <v>311</v>
      </c>
      <c r="Q251" s="399">
        <f t="shared" si="8"/>
        <v>3.0761622156280911E-2</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7"/>
        <v>0</v>
      </c>
      <c r="P254" s="337">
        <v>0</v>
      </c>
      <c r="Q254" s="399">
        <f t="shared" si="8"/>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2</v>
      </c>
      <c r="O255" s="399">
        <f t="shared" si="7"/>
        <v>2.7777777777777776E-2</v>
      </c>
      <c r="P255" s="337">
        <v>215</v>
      </c>
      <c r="Q255" s="399">
        <f t="shared" si="8"/>
        <v>2.1266073194856579E-2</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2</v>
      </c>
      <c r="O256" s="399">
        <f t="shared" si="7"/>
        <v>2.7777777777777776E-2</v>
      </c>
      <c r="P256" s="337">
        <v>179</v>
      </c>
      <c r="Q256" s="399">
        <f t="shared" si="8"/>
        <v>1.7705242334322455E-2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72</v>
      </c>
      <c r="O258" s="399">
        <f>SUM(O249:O257)</f>
        <v>1</v>
      </c>
      <c r="P258" s="337">
        <f>SUM(P249:P257)</f>
        <v>10110</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3666</v>
      </c>
      <c r="O272" s="399"/>
      <c r="P272" s="407">
        <f>+P270+P258+P246</f>
        <v>431856</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JUNE 2013</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v>
      </c>
      <c r="P16" s="247" t="s">
        <v>161</v>
      </c>
      <c r="Q16" s="246">
        <v>0.12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41565</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169956.43100000001</v>
      </c>
      <c r="I31" s="301"/>
      <c r="J31" s="302">
        <f>J30*J37</f>
        <v>252427.0926</v>
      </c>
      <c r="K31" s="301"/>
      <c r="L31" s="303">
        <f>L30*L37</f>
        <v>56141.267</v>
      </c>
      <c r="M31" s="301"/>
      <c r="N31" s="302">
        <f>N30*N37</f>
        <v>43185.590000000004</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169111.764</v>
      </c>
      <c r="I32" s="306"/>
      <c r="J32" s="308">
        <f>J36*J30</f>
        <v>251172.55439999999</v>
      </c>
      <c r="K32" s="307"/>
      <c r="L32" s="307">
        <f>L36*L30</f>
        <v>55862.248000000007</v>
      </c>
      <c r="M32" s="307"/>
      <c r="N32" s="308">
        <f>N36*N30</f>
        <v>42970.96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169956.43100000001</v>
      </c>
      <c r="I34" s="301"/>
      <c r="J34" s="301">
        <f>J33*J37</f>
        <v>175528.77300000002</v>
      </c>
      <c r="K34" s="301"/>
      <c r="L34" s="301">
        <f>L33*L37</f>
        <v>56141.267</v>
      </c>
      <c r="M34" s="301"/>
      <c r="N34" s="301">
        <f>N33*N37</f>
        <v>30229.913</v>
      </c>
      <c r="O34" s="301"/>
      <c r="P34" s="301"/>
      <c r="Q34" s="304"/>
      <c r="R34" s="301">
        <f>SUM(C34:N34)</f>
        <v>431856.38400000002</v>
      </c>
      <c r="S34" s="305"/>
      <c r="T34" s="255"/>
    </row>
    <row r="35" spans="1:20" s="256" customFormat="1" ht="15.6" x14ac:dyDescent="0.3">
      <c r="A35" s="296"/>
      <c r="B35" s="297" t="s">
        <v>287</v>
      </c>
      <c r="C35" s="306"/>
      <c r="D35" s="307">
        <f>D36*D33</f>
        <v>0</v>
      </c>
      <c r="E35" s="306"/>
      <c r="F35" s="307">
        <f>F36*F33</f>
        <v>0</v>
      </c>
      <c r="G35" s="307"/>
      <c r="H35" s="307">
        <f>H36*H33</f>
        <v>169111.764</v>
      </c>
      <c r="I35" s="306"/>
      <c r="J35" s="307">
        <f>J36*J33</f>
        <v>174656.41199999998</v>
      </c>
      <c r="K35" s="307"/>
      <c r="L35" s="307">
        <f>L36*L33</f>
        <v>55862.248000000007</v>
      </c>
      <c r="M35" s="307"/>
      <c r="N35" s="307">
        <f>N36*N33</f>
        <v>30079.672000000002</v>
      </c>
      <c r="O35" s="307"/>
      <c r="P35" s="307"/>
      <c r="Q35" s="309"/>
      <c r="R35" s="307">
        <f>SUM(C35:N35)</f>
        <v>429710.09600000002</v>
      </c>
      <c r="S35" s="305"/>
      <c r="T35" s="255"/>
    </row>
    <row r="36" spans="1:20" ht="15.6" x14ac:dyDescent="0.3">
      <c r="A36" s="310"/>
      <c r="B36" s="311" t="s">
        <v>149</v>
      </c>
      <c r="C36" s="312"/>
      <c r="D36" s="313">
        <v>0</v>
      </c>
      <c r="E36" s="314"/>
      <c r="F36" s="313">
        <v>0</v>
      </c>
      <c r="G36" s="315"/>
      <c r="H36" s="313">
        <v>0.55446479999999998</v>
      </c>
      <c r="I36" s="315"/>
      <c r="J36" s="313">
        <v>0.55446479999999998</v>
      </c>
      <c r="K36" s="315"/>
      <c r="L36" s="313">
        <v>0.85941920000000005</v>
      </c>
      <c r="M36" s="313"/>
      <c r="N36" s="313">
        <v>0.85941920000000005</v>
      </c>
      <c r="O36" s="316"/>
      <c r="P36" s="316"/>
      <c r="Q36" s="317"/>
      <c r="R36" s="316"/>
      <c r="S36" s="318"/>
      <c r="T36" s="5"/>
    </row>
    <row r="37" spans="1:20" ht="15.6" x14ac:dyDescent="0.3">
      <c r="A37" s="310"/>
      <c r="B37" s="311" t="s">
        <v>150</v>
      </c>
      <c r="C37" s="312"/>
      <c r="D37" s="313">
        <v>0</v>
      </c>
      <c r="E37" s="314"/>
      <c r="F37" s="313">
        <v>0</v>
      </c>
      <c r="G37" s="315"/>
      <c r="H37" s="313">
        <v>0.55723420000000001</v>
      </c>
      <c r="I37" s="315"/>
      <c r="J37" s="313">
        <v>0.55723420000000001</v>
      </c>
      <c r="K37" s="315"/>
      <c r="L37" s="313">
        <v>0.86371180000000003</v>
      </c>
      <c r="M37" s="313"/>
      <c r="N37" s="313">
        <v>0.86371180000000003</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8.8938000000000003E-3</v>
      </c>
      <c r="I39" s="321"/>
      <c r="J39" s="320">
        <v>5.7800000000000004E-3</v>
      </c>
      <c r="K39" s="321"/>
      <c r="L39" s="320">
        <v>1.80938E-2</v>
      </c>
      <c r="M39" s="321"/>
      <c r="N39" s="320">
        <v>1.418E-2</v>
      </c>
      <c r="O39" s="321"/>
      <c r="P39" s="320"/>
      <c r="Q39" s="294"/>
      <c r="R39" s="321"/>
      <c r="S39" s="295"/>
      <c r="T39" s="255"/>
    </row>
    <row r="40" spans="1:20" s="256" customFormat="1" ht="15.6" x14ac:dyDescent="0.3">
      <c r="A40" s="291"/>
      <c r="B40" s="292" t="s">
        <v>14</v>
      </c>
      <c r="C40" s="292"/>
      <c r="D40" s="320">
        <v>0</v>
      </c>
      <c r="E40" s="292"/>
      <c r="F40" s="320">
        <v>0</v>
      </c>
      <c r="G40" s="321"/>
      <c r="H40" s="320">
        <v>8.8562999999999992E-3</v>
      </c>
      <c r="I40" s="321"/>
      <c r="J40" s="320">
        <v>5.7099999999999998E-3</v>
      </c>
      <c r="K40" s="321"/>
      <c r="L40" s="320">
        <v>1.8056300000000001E-2</v>
      </c>
      <c r="M40" s="321"/>
      <c r="N40" s="320">
        <v>1.4109999999999999E-2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8.8938000000000003E-3</v>
      </c>
      <c r="I42" s="321"/>
      <c r="J42" s="320">
        <v>9.6898000000000001E-3</v>
      </c>
      <c r="K42" s="321"/>
      <c r="L42" s="320">
        <f>+L39</f>
        <v>1.80938E-2</v>
      </c>
      <c r="M42" s="321"/>
      <c r="N42" s="320">
        <v>1.8847800000000001E-2</v>
      </c>
      <c r="O42" s="321"/>
      <c r="P42" s="320"/>
      <c r="Q42" s="294"/>
      <c r="R42" s="321">
        <f>SUMPRODUCT(D42:N42,D34:N34)/R34</f>
        <v>1.1110113453201146E-2</v>
      </c>
      <c r="S42" s="295"/>
      <c r="T42" s="255"/>
    </row>
    <row r="43" spans="1:20" s="256" customFormat="1" ht="15.6" x14ac:dyDescent="0.3">
      <c r="A43" s="291"/>
      <c r="B43" s="292" t="s">
        <v>290</v>
      </c>
      <c r="C43" s="292"/>
      <c r="D43" s="320">
        <f>+D40</f>
        <v>0</v>
      </c>
      <c r="E43" s="292"/>
      <c r="F43" s="320">
        <v>0</v>
      </c>
      <c r="G43" s="321"/>
      <c r="H43" s="320">
        <f>+H40</f>
        <v>8.8562999999999992E-3</v>
      </c>
      <c r="I43" s="321"/>
      <c r="J43" s="320">
        <v>9.6523000000000008E-3</v>
      </c>
      <c r="K43" s="321"/>
      <c r="L43" s="320">
        <f>+L40</f>
        <v>1.8056300000000001E-2</v>
      </c>
      <c r="M43" s="321"/>
      <c r="N43" s="320">
        <v>1.8810299999999999E-2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0.2499996392918</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41562</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41379</v>
      </c>
      <c r="Q55" s="331"/>
      <c r="R55" s="330">
        <v>41469</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41470</v>
      </c>
      <c r="Q56" s="331"/>
      <c r="R56" s="330">
        <v>41561</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41548</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323</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431856</v>
      </c>
      <c r="K66" s="336"/>
      <c r="L66" s="336">
        <f>2146+124</f>
        <v>2270</v>
      </c>
      <c r="M66" s="336"/>
      <c r="N66" s="336">
        <v>124</v>
      </c>
      <c r="O66" s="336"/>
      <c r="P66" s="336">
        <v>0</v>
      </c>
      <c r="Q66" s="336"/>
      <c r="R66" s="337">
        <f>+J66-L66+N66-P66</f>
        <v>429710</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431856</v>
      </c>
      <c r="K69" s="336"/>
      <c r="L69" s="336">
        <f>SUM(L66:L68)</f>
        <v>2270</v>
      </c>
      <c r="M69" s="336"/>
      <c r="N69" s="336">
        <f>SUM(N66:N68)</f>
        <v>124</v>
      </c>
      <c r="O69" s="336"/>
      <c r="P69" s="336">
        <f>SUM(P66:P68)</f>
        <v>0</v>
      </c>
      <c r="Q69" s="336"/>
      <c r="R69" s="336">
        <f>SUM(R66:R68)</f>
        <v>429710</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431856</v>
      </c>
      <c r="K82" s="336"/>
      <c r="L82" s="336"/>
      <c r="M82" s="336"/>
      <c r="N82" s="336"/>
      <c r="O82" s="336"/>
      <c r="P82" s="336"/>
      <c r="Q82" s="336"/>
      <c r="R82" s="336">
        <f>SUM(R69:R81)</f>
        <v>429710</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41547</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2270-46</f>
        <v>2224</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3048+438-879-120</f>
        <v>2487</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22+2</f>
        <v>24</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22</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197</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2224</v>
      </c>
      <c r="Q94" s="335"/>
      <c r="R94" s="336">
        <f>SUM(R86:R93)</f>
        <v>2730</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81</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2224</v>
      </c>
      <c r="Q98" s="335"/>
      <c r="R98" s="336">
        <f>R94+R96+R95+R97</f>
        <v>2811</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-109-106-6</f>
        <v>-221</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-381</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-429</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-256</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-144</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46</v>
      </c>
      <c r="Q113" s="335"/>
      <c r="R113" s="337">
        <v>-46</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-222</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-1101</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-124</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-845</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-872</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-279</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-150</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-2270</v>
      </c>
      <c r="Q128" s="336"/>
      <c r="R128" s="336">
        <f>SUM(R99:R127)</f>
        <v>-2811</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SEPTEMBER 2013</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294</v>
      </c>
      <c r="C149" s="335"/>
      <c r="D149" s="335"/>
      <c r="E149" s="335"/>
      <c r="F149" s="335"/>
      <c r="G149" s="335"/>
      <c r="H149" s="335"/>
      <c r="I149" s="335"/>
      <c r="J149" s="335"/>
      <c r="K149" s="335"/>
      <c r="L149" s="335"/>
      <c r="M149" s="335"/>
      <c r="N149" s="335"/>
      <c r="O149" s="335"/>
      <c r="P149" s="335"/>
      <c r="Q149" s="335"/>
      <c r="R149" s="337">
        <v>1698</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46</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46</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-46</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429710</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429710</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+'June 13'!O177</f>
        <v>89027</v>
      </c>
      <c r="P175" s="337">
        <f>+'June 13'!P177</f>
        <v>8469</v>
      </c>
      <c r="Q175" s="335"/>
      <c r="R175" s="337">
        <f>O175+P175</f>
        <v>97496</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124</v>
      </c>
      <c r="P176" s="336">
        <v>0</v>
      </c>
      <c r="Q176" s="335"/>
      <c r="R176" s="337">
        <f>O176+P176</f>
        <v>124</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89151</v>
      </c>
      <c r="P177" s="337">
        <f>P176+P175</f>
        <v>8469</v>
      </c>
      <c r="Q177" s="335"/>
      <c r="R177" s="337">
        <f>O177+P177</f>
        <v>97620</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62380</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3.1938271604938273</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1.56</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4.4424999999999999</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2.92</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SEPTEMBER 2013</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41547</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2.3089999999999999E-2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1.1110113453201146E-2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1.1979886546798853E-2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6.5091141491608311E-3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12.45</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5.2563817568819235E-3</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0.1046</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73</v>
      </c>
      <c r="P208" s="371">
        <f>+P258</f>
        <v>10616</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46</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'June 13'!P214+P213</f>
        <v>4596</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2</v>
      </c>
      <c r="P220" s="371">
        <v>176</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4.79</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3626</v>
      </c>
      <c r="O225" s="280">
        <f t="shared" ref="O225:O232" si="2">N225/$N$234</f>
        <v>0.99478737997256517</v>
      </c>
      <c r="P225" s="269">
        <f t="shared" ref="P225:P232" si="3">+P237+P249+P261</f>
        <v>427390</v>
      </c>
      <c r="Q225" s="280">
        <f t="shared" ref="Q225:Q232" si="4">P225/$P$234</f>
        <v>0.99460100998347722</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5</v>
      </c>
      <c r="O226" s="399">
        <f t="shared" si="2"/>
        <v>1.3717421124828531E-3</v>
      </c>
      <c r="P226" s="337">
        <f t="shared" si="3"/>
        <v>370</v>
      </c>
      <c r="Q226" s="399">
        <f t="shared" si="4"/>
        <v>8.6104582160061432E-4</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6</v>
      </c>
      <c r="O227" s="399">
        <f t="shared" si="2"/>
        <v>1.6460905349794238E-3</v>
      </c>
      <c r="P227" s="337">
        <f t="shared" si="3"/>
        <v>1259</v>
      </c>
      <c r="Q227" s="399">
        <f t="shared" si="4"/>
        <v>2.9298829443112798E-3</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0</v>
      </c>
      <c r="O228" s="399">
        <f t="shared" si="2"/>
        <v>0</v>
      </c>
      <c r="P228" s="337">
        <f t="shared" si="3"/>
        <v>0</v>
      </c>
      <c r="Q228" s="399">
        <f t="shared" si="4"/>
        <v>0</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2</v>
      </c>
      <c r="O229" s="399">
        <f t="shared" si="2"/>
        <v>5.4869684499314131E-4</v>
      </c>
      <c r="P229" s="337">
        <f t="shared" si="3"/>
        <v>37</v>
      </c>
      <c r="Q229" s="399">
        <f t="shared" si="4"/>
        <v>8.6104582160061437E-5</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1</v>
      </c>
      <c r="O230" s="399">
        <f t="shared" si="2"/>
        <v>2.7434842249657066E-4</v>
      </c>
      <c r="P230" s="337">
        <f t="shared" si="3"/>
        <v>124</v>
      </c>
      <c r="Q230" s="399">
        <f t="shared" si="4"/>
        <v>2.8856670777966536E-4</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2</v>
      </c>
      <c r="O231" s="399">
        <f t="shared" si="2"/>
        <v>5.4869684499314131E-4</v>
      </c>
      <c r="P231" s="337">
        <f t="shared" si="3"/>
        <v>160</v>
      </c>
      <c r="Q231" s="399">
        <f t="shared" si="4"/>
        <v>3.7234413907053594E-4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3</v>
      </c>
      <c r="O232" s="561">
        <f t="shared" si="2"/>
        <v>8.2304526748971192E-4</v>
      </c>
      <c r="P232" s="562">
        <f t="shared" si="3"/>
        <v>370</v>
      </c>
      <c r="Q232" s="561">
        <f t="shared" si="4"/>
        <v>8.6104582160061432E-4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3645</v>
      </c>
      <c r="O234" s="399">
        <f>SUM(O225:O233)</f>
        <v>0.99999999999999989</v>
      </c>
      <c r="P234" s="337">
        <f>SUM(P225:P233)</f>
        <v>429710</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3561</v>
      </c>
      <c r="O237" s="280">
        <f t="shared" ref="O237:O244" si="5">N237/$N$246</f>
        <v>0.99692049272116456</v>
      </c>
      <c r="P237" s="269">
        <v>418101</v>
      </c>
      <c r="Q237" s="280">
        <f t="shared" ref="Q237:Q244" si="6">P237/$P$246</f>
        <v>0.99763060315824137</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4</v>
      </c>
      <c r="O238" s="399">
        <f t="shared" si="5"/>
        <v>1.1198208286674132E-3</v>
      </c>
      <c r="P238" s="337">
        <v>267</v>
      </c>
      <c r="Q238" s="399">
        <f t="shared" si="6"/>
        <v>6.3708857678706923E-4</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3</v>
      </c>
      <c r="O239" s="399">
        <f t="shared" si="5"/>
        <v>8.3986562150055986E-4</v>
      </c>
      <c r="P239" s="337">
        <v>474</v>
      </c>
      <c r="Q239" s="399">
        <f t="shared" si="6"/>
        <v>1.1310111812624375E-3</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2</v>
      </c>
      <c r="O241" s="399">
        <f t="shared" si="5"/>
        <v>5.5991041433370661E-4</v>
      </c>
      <c r="P241" s="337">
        <v>37</v>
      </c>
      <c r="Q241" s="399">
        <f t="shared" si="6"/>
        <v>8.8285682925548929E-5</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1</v>
      </c>
      <c r="O243" s="399">
        <f t="shared" si="5"/>
        <v>2.7995520716685331E-4</v>
      </c>
      <c r="P243" s="337">
        <v>24</v>
      </c>
      <c r="Q243" s="399">
        <f t="shared" si="6"/>
        <v>5.7266388924680381E-5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2.7995520716685331E-4</v>
      </c>
      <c r="P244" s="337">
        <v>191</v>
      </c>
      <c r="Q244" s="399">
        <f t="shared" si="6"/>
        <v>4.557450118589147E-4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3572</v>
      </c>
      <c r="O246" s="399">
        <f>SUM(O237:O245)</f>
        <v>0.99999999999999989</v>
      </c>
      <c r="P246" s="337">
        <f>SUM(P237:P245)</f>
        <v>419094</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65</v>
      </c>
      <c r="O249" s="280">
        <f t="shared" ref="O249:O256" si="7">N249/$N$258</f>
        <v>0.8904109589041096</v>
      </c>
      <c r="P249" s="269">
        <v>9289</v>
      </c>
      <c r="Q249" s="280">
        <f t="shared" ref="Q249:Q256" si="8">P249/$P$258</f>
        <v>0.875</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1</v>
      </c>
      <c r="O250" s="399">
        <f t="shared" si="7"/>
        <v>1.3698630136986301E-2</v>
      </c>
      <c r="P250" s="337">
        <v>103</v>
      </c>
      <c r="Q250" s="399">
        <f t="shared" si="8"/>
        <v>9.7023360964581772E-3</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3</v>
      </c>
      <c r="O251" s="399">
        <f t="shared" si="7"/>
        <v>4.1095890410958902E-2</v>
      </c>
      <c r="P251" s="337">
        <v>785</v>
      </c>
      <c r="Q251" s="399">
        <f t="shared" si="8"/>
        <v>7.3944988696307459E-2</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1</v>
      </c>
      <c r="O254" s="399">
        <f t="shared" si="7"/>
        <v>1.3698630136986301E-2</v>
      </c>
      <c r="P254" s="337">
        <v>124</v>
      </c>
      <c r="Q254" s="399">
        <f t="shared" si="8"/>
        <v>1.1680482290881688E-2</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1</v>
      </c>
      <c r="O255" s="399">
        <f t="shared" si="7"/>
        <v>1.3698630136986301E-2</v>
      </c>
      <c r="P255" s="337">
        <v>136</v>
      </c>
      <c r="Q255" s="399">
        <f t="shared" si="8"/>
        <v>1.281085154483798E-2</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2</v>
      </c>
      <c r="O256" s="399">
        <f t="shared" si="7"/>
        <v>2.7397260273972601E-2</v>
      </c>
      <c r="P256" s="337">
        <v>179</v>
      </c>
      <c r="Q256" s="399">
        <f t="shared" si="8"/>
        <v>1.6861341371514696E-2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73</v>
      </c>
      <c r="O258" s="399">
        <f>SUM(O249:O257)</f>
        <v>1</v>
      </c>
      <c r="P258" s="337">
        <f>SUM(P249:P257)</f>
        <v>10616</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3645</v>
      </c>
      <c r="O272" s="399"/>
      <c r="P272" s="407">
        <f>+P270+P258+P246</f>
        <v>429710</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SEPTEMBER 2013</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0.87980000000000003</v>
      </c>
      <c r="P16" s="247" t="s">
        <v>161</v>
      </c>
      <c r="Q16" s="246">
        <v>0.1202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41661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169111.764</v>
      </c>
      <c r="I31" s="301"/>
      <c r="J31" s="302">
        <f>J30*J37</f>
        <v>251172.55439999999</v>
      </c>
      <c r="K31" s="301"/>
      <c r="L31" s="303">
        <f>L30*L37</f>
        <v>55862.248000000007</v>
      </c>
      <c r="M31" s="301"/>
      <c r="N31" s="302">
        <f>N30*N37</f>
        <v>42970.96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167817.527</v>
      </c>
      <c r="I32" s="306"/>
      <c r="J32" s="308">
        <f>J36*J30</f>
        <v>249250.29419999997</v>
      </c>
      <c r="K32" s="307"/>
      <c r="L32" s="307">
        <f>L36*L30</f>
        <v>55434.729999999996</v>
      </c>
      <c r="M32" s="307"/>
      <c r="N32" s="308">
        <f>N36*N30</f>
        <v>42642.1</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169111.764</v>
      </c>
      <c r="I34" s="301"/>
      <c r="J34" s="301">
        <f>J33*J37</f>
        <v>174656.41199999998</v>
      </c>
      <c r="K34" s="301"/>
      <c r="L34" s="301">
        <f>L33*L37</f>
        <v>55862.248000000007</v>
      </c>
      <c r="M34" s="301"/>
      <c r="N34" s="301">
        <f>N33*N37</f>
        <v>30079.672000000002</v>
      </c>
      <c r="O34" s="301"/>
      <c r="P34" s="301"/>
      <c r="Q34" s="304"/>
      <c r="R34" s="301">
        <f>SUM(C34:N34)</f>
        <v>429710.09600000002</v>
      </c>
      <c r="S34" s="305"/>
      <c r="T34" s="255"/>
    </row>
    <row r="35" spans="1:20" s="256" customFormat="1" ht="15.6" x14ac:dyDescent="0.3">
      <c r="A35" s="296"/>
      <c r="B35" s="297" t="s">
        <v>287</v>
      </c>
      <c r="C35" s="306"/>
      <c r="D35" s="307">
        <f>D36*D33</f>
        <v>0</v>
      </c>
      <c r="E35" s="306"/>
      <c r="F35" s="307">
        <f>F36*F33</f>
        <v>0</v>
      </c>
      <c r="G35" s="307"/>
      <c r="H35" s="307">
        <f>H36*H33</f>
        <v>167817.527</v>
      </c>
      <c r="I35" s="306"/>
      <c r="J35" s="307">
        <f>J36*J33</f>
        <v>173319.74099999998</v>
      </c>
      <c r="K35" s="307"/>
      <c r="L35" s="307">
        <f>L36*L33</f>
        <v>55434.729999999996</v>
      </c>
      <c r="M35" s="307"/>
      <c r="N35" s="307">
        <f>N36*N33</f>
        <v>29849.47</v>
      </c>
      <c r="O35" s="307"/>
      <c r="P35" s="307"/>
      <c r="Q35" s="309"/>
      <c r="R35" s="307">
        <f>SUM(C35:N35)</f>
        <v>426421.46799999999</v>
      </c>
      <c r="S35" s="305"/>
      <c r="T35" s="255"/>
    </row>
    <row r="36" spans="1:20" ht="15.6" x14ac:dyDescent="0.3">
      <c r="A36" s="310"/>
      <c r="B36" s="311" t="s">
        <v>149</v>
      </c>
      <c r="C36" s="312"/>
      <c r="D36" s="313">
        <v>0</v>
      </c>
      <c r="E36" s="314"/>
      <c r="F36" s="313">
        <v>0</v>
      </c>
      <c r="G36" s="315"/>
      <c r="H36" s="313">
        <v>0.55022139999999997</v>
      </c>
      <c r="I36" s="315"/>
      <c r="J36" s="313">
        <v>0.55022139999999997</v>
      </c>
      <c r="K36" s="315"/>
      <c r="L36" s="313">
        <v>0.85284199999999999</v>
      </c>
      <c r="M36" s="313"/>
      <c r="N36" s="313">
        <v>0.85284199999999999</v>
      </c>
      <c r="O36" s="316"/>
      <c r="P36" s="316"/>
      <c r="Q36" s="317"/>
      <c r="R36" s="316"/>
      <c r="S36" s="318"/>
      <c r="T36" s="5"/>
    </row>
    <row r="37" spans="1:20" ht="15.6" x14ac:dyDescent="0.3">
      <c r="A37" s="310"/>
      <c r="B37" s="311" t="s">
        <v>150</v>
      </c>
      <c r="C37" s="312"/>
      <c r="D37" s="313">
        <v>0</v>
      </c>
      <c r="E37" s="314"/>
      <c r="F37" s="313">
        <v>0</v>
      </c>
      <c r="G37" s="315"/>
      <c r="H37" s="313">
        <v>0.55446479999999998</v>
      </c>
      <c r="I37" s="315"/>
      <c r="J37" s="313">
        <v>0.55446479999999998</v>
      </c>
      <c r="K37" s="315"/>
      <c r="L37" s="313">
        <v>0.85941920000000005</v>
      </c>
      <c r="M37" s="313"/>
      <c r="N37" s="313">
        <v>0.85941920000000005</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8.9949999999999995E-3</v>
      </c>
      <c r="I39" s="321"/>
      <c r="J39" s="320">
        <v>5.8700000000000002E-3</v>
      </c>
      <c r="K39" s="321"/>
      <c r="L39" s="320">
        <v>1.8194999999999999E-2</v>
      </c>
      <c r="M39" s="321"/>
      <c r="N39" s="320">
        <v>1.427E-2</v>
      </c>
      <c r="O39" s="321"/>
      <c r="P39" s="320"/>
      <c r="Q39" s="294"/>
      <c r="R39" s="321"/>
      <c r="S39" s="295"/>
      <c r="T39" s="255"/>
    </row>
    <row r="40" spans="1:20" s="256" customFormat="1" ht="15.6" x14ac:dyDescent="0.3">
      <c r="A40" s="291"/>
      <c r="B40" s="292" t="s">
        <v>14</v>
      </c>
      <c r="C40" s="292"/>
      <c r="D40" s="320">
        <v>0</v>
      </c>
      <c r="E40" s="292"/>
      <c r="F40" s="320">
        <v>0</v>
      </c>
      <c r="G40" s="321"/>
      <c r="H40" s="320">
        <v>8.8938000000000003E-3</v>
      </c>
      <c r="I40" s="321"/>
      <c r="J40" s="320">
        <v>5.7800000000000004E-3</v>
      </c>
      <c r="K40" s="321"/>
      <c r="L40" s="320">
        <v>1.80938E-2</v>
      </c>
      <c r="M40" s="321"/>
      <c r="N40" s="320">
        <v>1.418E-2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8.9949999999999995E-3</v>
      </c>
      <c r="I42" s="321"/>
      <c r="J42" s="320">
        <v>9.7909999999999994E-3</v>
      </c>
      <c r="K42" s="321"/>
      <c r="L42" s="320">
        <f>+L39</f>
        <v>1.8194999999999999E-2</v>
      </c>
      <c r="M42" s="321"/>
      <c r="N42" s="320">
        <v>1.8949000000000001E-2</v>
      </c>
      <c r="O42" s="321"/>
      <c r="P42" s="320"/>
      <c r="Q42" s="294"/>
      <c r="R42" s="321">
        <f>SUMPRODUCT(D42:N42,D34:N34)/R34</f>
        <v>1.1211313392459831E-2</v>
      </c>
      <c r="S42" s="295"/>
      <c r="T42" s="255"/>
    </row>
    <row r="43" spans="1:20" s="256" customFormat="1" ht="15.6" x14ac:dyDescent="0.3">
      <c r="A43" s="291"/>
      <c r="B43" s="292" t="s">
        <v>290</v>
      </c>
      <c r="C43" s="292"/>
      <c r="D43" s="320">
        <f>+D40</f>
        <v>0</v>
      </c>
      <c r="E43" s="292"/>
      <c r="F43" s="320">
        <v>0</v>
      </c>
      <c r="G43" s="321"/>
      <c r="H43" s="320">
        <f>+H40</f>
        <v>8.8938000000000003E-3</v>
      </c>
      <c r="I43" s="321"/>
      <c r="J43" s="320">
        <v>9.6898000000000001E-3</v>
      </c>
      <c r="K43" s="321"/>
      <c r="L43" s="320">
        <f>+L40</f>
        <v>1.80938E-2</v>
      </c>
      <c r="M43" s="321"/>
      <c r="N43" s="320">
        <v>1.8847800000000001E-2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0.24999965702955679</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41654</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41470</v>
      </c>
      <c r="Q55" s="331"/>
      <c r="R55" s="330">
        <v>41561</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41562</v>
      </c>
      <c r="Q56" s="331"/>
      <c r="R56" s="330">
        <v>41653</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41641</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324</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429710</v>
      </c>
      <c r="K66" s="336"/>
      <c r="L66" s="336">
        <f>3289+295</f>
        <v>3584</v>
      </c>
      <c r="M66" s="336"/>
      <c r="N66" s="336">
        <v>295</v>
      </c>
      <c r="O66" s="336"/>
      <c r="P66" s="336">
        <v>0</v>
      </c>
      <c r="Q66" s="336"/>
      <c r="R66" s="337">
        <f>+J66-L66+N66-P66</f>
        <v>426421</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429710</v>
      </c>
      <c r="K69" s="336"/>
      <c r="L69" s="336">
        <f>SUM(L66:L68)</f>
        <v>3584</v>
      </c>
      <c r="M69" s="336"/>
      <c r="N69" s="336">
        <f>SUM(N66:N68)</f>
        <v>295</v>
      </c>
      <c r="O69" s="336"/>
      <c r="P69" s="336">
        <f>SUM(P66:P68)</f>
        <v>0</v>
      </c>
      <c r="Q69" s="336"/>
      <c r="R69" s="336">
        <f>SUM(R66:R68)</f>
        <v>426421</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429710</v>
      </c>
      <c r="K82" s="336"/>
      <c r="L82" s="336"/>
      <c r="M82" s="336"/>
      <c r="N82" s="336"/>
      <c r="O82" s="336"/>
      <c r="P82" s="336"/>
      <c r="Q82" s="336"/>
      <c r="R82" s="336">
        <f>SUM(R69:R81)</f>
        <v>426421</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41639</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3584+16</f>
        <v>3600</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3324+461-1092-144</f>
        <v>2549</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22+8</f>
        <v>30</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23</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205</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3600</v>
      </c>
      <c r="Q94" s="335"/>
      <c r="R94" s="336">
        <f>SUM(R86:R93)</f>
        <v>2807</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-85</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3600</v>
      </c>
      <c r="Q98" s="335"/>
      <c r="R98" s="336">
        <f>R94+R96+R95+R97</f>
        <v>2722</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-109-114-6</f>
        <v>-229</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-383</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-431</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-256</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-144</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-16</v>
      </c>
      <c r="Q113" s="335"/>
      <c r="R113" s="337">
        <v>16</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-221</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-1063</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-2</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-293</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-1294</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-1337</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-428</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-230</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-3584</v>
      </c>
      <c r="Q128" s="336"/>
      <c r="R128" s="336">
        <f>SUM(R99:R127)</f>
        <v>-2722</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DECEMBER 2013</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294</v>
      </c>
      <c r="C149" s="335"/>
      <c r="D149" s="335"/>
      <c r="E149" s="335"/>
      <c r="F149" s="335"/>
      <c r="G149" s="335"/>
      <c r="H149" s="335"/>
      <c r="I149" s="335"/>
      <c r="J149" s="335"/>
      <c r="K149" s="335"/>
      <c r="L149" s="335"/>
      <c r="M149" s="335"/>
      <c r="N149" s="335"/>
      <c r="O149" s="335"/>
      <c r="P149" s="335"/>
      <c r="Q149" s="335"/>
      <c r="R149" s="337">
        <v>1698</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-16</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-16</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16</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85</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426421</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426421</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+'Sept 13'!O177</f>
        <v>89151</v>
      </c>
      <c r="P175" s="337">
        <f>+'Sept 13'!P177</f>
        <v>8469</v>
      </c>
      <c r="Q175" s="335"/>
      <c r="R175" s="337">
        <f>O175+P175</f>
        <v>97620</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293</v>
      </c>
      <c r="P176" s="336">
        <f>-P95-P120</f>
        <v>2</v>
      </c>
      <c r="Q176" s="335"/>
      <c r="R176" s="337">
        <f>O176+P176</f>
        <v>295</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89444</v>
      </c>
      <c r="P177" s="337">
        <f>P176+P175</f>
        <v>8471</v>
      </c>
      <c r="Q177" s="335"/>
      <c r="R177" s="337">
        <f>O177+P177</f>
        <v>97915</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62085</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3.058968058968059</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1.57</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4.1900000000000004</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2.93</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DECEMBER 2013</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41639</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2.308E-2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1.1211313392459831E-2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1.1868686607540169E-2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6.334504665937493E-3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12.21</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8.3405087151800054E-3</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0.1027</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67</v>
      </c>
      <c r="P208" s="371">
        <f>+P258</f>
        <v>9470</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-16</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'Sept 13'!P214+P213</f>
        <v>4580</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3</v>
      </c>
      <c r="P220" s="371">
        <v>359</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0.66</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3579</v>
      </c>
      <c r="O225" s="280">
        <f t="shared" ref="O225:O232" si="2">N225/$N$234</f>
        <v>0.99113818886734972</v>
      </c>
      <c r="P225" s="269">
        <f t="shared" ref="P225:P232" si="3">+P237+P249+P261</f>
        <v>421444</v>
      </c>
      <c r="Q225" s="280">
        <f t="shared" ref="Q225:Q232" si="4">P225/$P$234</f>
        <v>0.98832843598228037</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18</v>
      </c>
      <c r="O226" s="399">
        <f t="shared" si="2"/>
        <v>4.9847687621157573E-3</v>
      </c>
      <c r="P226" s="337">
        <f t="shared" si="3"/>
        <v>3298</v>
      </c>
      <c r="Q226" s="399">
        <f t="shared" si="4"/>
        <v>7.7341406731844817E-3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6</v>
      </c>
      <c r="O227" s="399">
        <f t="shared" si="2"/>
        <v>1.6615895873719191E-3</v>
      </c>
      <c r="P227" s="337">
        <f t="shared" si="3"/>
        <v>967</v>
      </c>
      <c r="Q227" s="399">
        <f t="shared" si="4"/>
        <v>2.2677119560246799E-3</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2</v>
      </c>
      <c r="O228" s="399">
        <f t="shared" si="2"/>
        <v>5.538631957906397E-4</v>
      </c>
      <c r="P228" s="337">
        <f t="shared" si="3"/>
        <v>69</v>
      </c>
      <c r="Q228" s="399">
        <f t="shared" si="4"/>
        <v>1.6181191826856558E-4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1</v>
      </c>
      <c r="O229" s="399">
        <f t="shared" si="2"/>
        <v>2.7693159789531985E-4</v>
      </c>
      <c r="P229" s="337">
        <f t="shared" si="3"/>
        <v>14</v>
      </c>
      <c r="Q229" s="399">
        <f t="shared" si="4"/>
        <v>3.283140370666548E-5</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2</v>
      </c>
      <c r="O231" s="399">
        <f t="shared" si="2"/>
        <v>5.538631957906397E-4</v>
      </c>
      <c r="P231" s="337">
        <f t="shared" si="3"/>
        <v>260</v>
      </c>
      <c r="Q231" s="399">
        <f t="shared" si="4"/>
        <v>6.0972606883807315E-4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3</v>
      </c>
      <c r="O232" s="561">
        <f t="shared" si="2"/>
        <v>8.3079479368595955E-4</v>
      </c>
      <c r="P232" s="562">
        <f t="shared" si="3"/>
        <v>369</v>
      </c>
      <c r="Q232" s="561">
        <f t="shared" si="4"/>
        <v>8.653419976971115E-4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3611</v>
      </c>
      <c r="O234" s="399">
        <f>SUM(O225:O233)</f>
        <v>1</v>
      </c>
      <c r="P234" s="337">
        <f>SUM(P225:P233)</f>
        <v>426421</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3521</v>
      </c>
      <c r="O237" s="280">
        <f t="shared" ref="O237:O244" si="5">N237/$N$246</f>
        <v>0.99351015801354403</v>
      </c>
      <c r="P237" s="269">
        <v>413157</v>
      </c>
      <c r="Q237" s="280">
        <f t="shared" ref="Q237:Q244" si="6">P237/$P$246</f>
        <v>0.99090060942412894</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16</v>
      </c>
      <c r="O238" s="399">
        <f t="shared" si="5"/>
        <v>4.5146726862302479E-3</v>
      </c>
      <c r="P238" s="337">
        <v>3057</v>
      </c>
      <c r="Q238" s="399">
        <f t="shared" si="6"/>
        <v>7.3317967818760481E-3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3</v>
      </c>
      <c r="O239" s="399">
        <f t="shared" si="5"/>
        <v>8.4650112866817154E-4</v>
      </c>
      <c r="P239" s="337">
        <v>464</v>
      </c>
      <c r="Q239" s="399">
        <f t="shared" si="6"/>
        <v>1.1128405975762139E-3</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2</v>
      </c>
      <c r="O240" s="399">
        <f t="shared" si="5"/>
        <v>5.6433408577878099E-4</v>
      </c>
      <c r="P240" s="337">
        <v>69</v>
      </c>
      <c r="Q240" s="399">
        <f t="shared" si="6"/>
        <v>1.6548707162232493E-4</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1</v>
      </c>
      <c r="O241" s="399">
        <f t="shared" si="5"/>
        <v>2.821670428893905E-4</v>
      </c>
      <c r="P241" s="337">
        <v>14</v>
      </c>
      <c r="Q241" s="399">
        <f t="shared" si="6"/>
        <v>3.357708699583404E-5</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0</v>
      </c>
      <c r="O243" s="399">
        <f t="shared" si="5"/>
        <v>0</v>
      </c>
      <c r="P243" s="337">
        <v>0</v>
      </c>
      <c r="Q243" s="399">
        <f t="shared" si="6"/>
        <v>0</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2.821670428893905E-4</v>
      </c>
      <c r="P244" s="337">
        <v>190</v>
      </c>
      <c r="Q244" s="399">
        <f t="shared" si="6"/>
        <v>4.5568903780060488E-4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3544</v>
      </c>
      <c r="O246" s="399">
        <f>SUM(O237:O245)</f>
        <v>1</v>
      </c>
      <c r="P246" s="337">
        <f>SUM(P237:P245)</f>
        <v>416951</v>
      </c>
      <c r="Q246" s="399">
        <f>SUM(Q237:Q245)</f>
        <v>0.99999999999999989</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58</v>
      </c>
      <c r="O249" s="280">
        <f t="shared" ref="O249:O256" si="7">N249/$N$258</f>
        <v>0.86567164179104472</v>
      </c>
      <c r="P249" s="269">
        <v>8287</v>
      </c>
      <c r="Q249" s="280">
        <f t="shared" ref="Q249:Q256" si="8">P249/$P$258</f>
        <v>0.87507919746568108</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2</v>
      </c>
      <c r="O250" s="399">
        <f t="shared" si="7"/>
        <v>2.9850746268656716E-2</v>
      </c>
      <c r="P250" s="337">
        <v>241</v>
      </c>
      <c r="Q250" s="399">
        <f t="shared" si="8"/>
        <v>2.5448785638859557E-2</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3</v>
      </c>
      <c r="O251" s="399">
        <f t="shared" si="7"/>
        <v>4.4776119402985072E-2</v>
      </c>
      <c r="P251" s="337">
        <v>503</v>
      </c>
      <c r="Q251" s="399">
        <f t="shared" si="8"/>
        <v>5.3115100316789864E-2</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7"/>
        <v>0</v>
      </c>
      <c r="P252" s="337">
        <v>0</v>
      </c>
      <c r="Q252" s="399">
        <f t="shared" si="8"/>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7"/>
        <v>0</v>
      </c>
      <c r="P254" s="337">
        <v>0</v>
      </c>
      <c r="Q254" s="399">
        <f t="shared" si="8"/>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2</v>
      </c>
      <c r="O255" s="399">
        <f t="shared" si="7"/>
        <v>2.9850746268656716E-2</v>
      </c>
      <c r="P255" s="337">
        <v>260</v>
      </c>
      <c r="Q255" s="399">
        <f t="shared" si="8"/>
        <v>2.7455121436114043E-2</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2</v>
      </c>
      <c r="O256" s="399">
        <f t="shared" si="7"/>
        <v>2.9850746268656716E-2</v>
      </c>
      <c r="P256" s="337">
        <v>179</v>
      </c>
      <c r="Q256" s="399">
        <f t="shared" si="8"/>
        <v>1.8901795142555439E-2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67</v>
      </c>
      <c r="O258" s="399">
        <f>SUM(O249:O257)</f>
        <v>0.99999999999999989</v>
      </c>
      <c r="P258" s="337">
        <f>SUM(P249:P257)</f>
        <v>9470</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3611</v>
      </c>
      <c r="O272" s="399"/>
      <c r="P272" s="407">
        <f>+P270+P258+P246</f>
        <v>426421</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DECEMBER 2013</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0.87980000000000003</v>
      </c>
      <c r="P16" s="247" t="s">
        <v>161</v>
      </c>
      <c r="Q16" s="246">
        <v>0.1202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41751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167817.527</v>
      </c>
      <c r="I31" s="301"/>
      <c r="J31" s="302">
        <f>J30*J37</f>
        <v>249250.29419999997</v>
      </c>
      <c r="K31" s="301"/>
      <c r="L31" s="303">
        <f>L30*L37</f>
        <v>55434.729999999996</v>
      </c>
      <c r="M31" s="301"/>
      <c r="N31" s="302">
        <f>N30*N37</f>
        <v>42642.1</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166101.353</v>
      </c>
      <c r="I32" s="306"/>
      <c r="J32" s="308">
        <f>J36*J30</f>
        <v>246701.35380000001</v>
      </c>
      <c r="K32" s="307"/>
      <c r="L32" s="307">
        <f>L36*L30</f>
        <v>54867.826000000001</v>
      </c>
      <c r="M32" s="307"/>
      <c r="N32" s="308">
        <f>N36*N30</f>
        <v>42206.02</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167817.527</v>
      </c>
      <c r="I34" s="301"/>
      <c r="J34" s="301">
        <f>J33*J37</f>
        <v>173319.74099999998</v>
      </c>
      <c r="K34" s="301"/>
      <c r="L34" s="301">
        <f>L33*L37</f>
        <v>55434.729999999996</v>
      </c>
      <c r="M34" s="301"/>
      <c r="N34" s="301">
        <f>N33*N37</f>
        <v>29849.47</v>
      </c>
      <c r="O34" s="301"/>
      <c r="P34" s="301"/>
      <c r="Q34" s="304"/>
      <c r="R34" s="301">
        <f>SUM(C34:N34)</f>
        <v>426421.46799999999</v>
      </c>
      <c r="S34" s="305"/>
      <c r="T34" s="255"/>
    </row>
    <row r="35" spans="1:20" s="256" customFormat="1" ht="15.6" x14ac:dyDescent="0.3">
      <c r="A35" s="296"/>
      <c r="B35" s="297" t="s">
        <v>287</v>
      </c>
      <c r="C35" s="306"/>
      <c r="D35" s="307">
        <f>D36*D33</f>
        <v>0</v>
      </c>
      <c r="E35" s="306"/>
      <c r="F35" s="307">
        <f>F36*F33</f>
        <v>0</v>
      </c>
      <c r="G35" s="307"/>
      <c r="H35" s="307">
        <f>H36*H33</f>
        <v>166101.353</v>
      </c>
      <c r="I35" s="306"/>
      <c r="J35" s="307">
        <f>J36*J33</f>
        <v>171547.299</v>
      </c>
      <c r="K35" s="307"/>
      <c r="L35" s="307">
        <f>L36*L33</f>
        <v>54867.826000000001</v>
      </c>
      <c r="M35" s="307"/>
      <c r="N35" s="307">
        <f>N36*N33</f>
        <v>29544.214</v>
      </c>
      <c r="O35" s="307"/>
      <c r="P35" s="307"/>
      <c r="Q35" s="309"/>
      <c r="R35" s="307">
        <f>SUM(C35:N35)</f>
        <v>422060.69199999998</v>
      </c>
      <c r="S35" s="305"/>
      <c r="T35" s="255"/>
    </row>
    <row r="36" spans="1:20" ht="15.6" x14ac:dyDescent="0.3">
      <c r="A36" s="310"/>
      <c r="B36" s="311" t="s">
        <v>149</v>
      </c>
      <c r="C36" s="312"/>
      <c r="D36" s="313">
        <v>0</v>
      </c>
      <c r="E36" s="314"/>
      <c r="F36" s="313">
        <v>0</v>
      </c>
      <c r="G36" s="315"/>
      <c r="H36" s="313">
        <v>0.54459460000000004</v>
      </c>
      <c r="I36" s="315"/>
      <c r="J36" s="313">
        <v>0.54459460000000004</v>
      </c>
      <c r="K36" s="315"/>
      <c r="L36" s="313">
        <v>0.84412039999999999</v>
      </c>
      <c r="M36" s="313"/>
      <c r="N36" s="313">
        <v>0.84412039999999999</v>
      </c>
      <c r="O36" s="316"/>
      <c r="P36" s="316"/>
      <c r="Q36" s="317"/>
      <c r="R36" s="316"/>
      <c r="S36" s="318"/>
      <c r="T36" s="5"/>
    </row>
    <row r="37" spans="1:20" ht="15.6" x14ac:dyDescent="0.3">
      <c r="A37" s="310"/>
      <c r="B37" s="311" t="s">
        <v>150</v>
      </c>
      <c r="C37" s="312"/>
      <c r="D37" s="313">
        <v>0</v>
      </c>
      <c r="E37" s="314"/>
      <c r="F37" s="313">
        <v>0</v>
      </c>
      <c r="G37" s="315"/>
      <c r="H37" s="313">
        <v>0.55022139999999997</v>
      </c>
      <c r="I37" s="315"/>
      <c r="J37" s="313">
        <v>0.55022139999999997</v>
      </c>
      <c r="K37" s="315"/>
      <c r="L37" s="313">
        <v>0.85284199999999999</v>
      </c>
      <c r="M37" s="313"/>
      <c r="N37" s="313">
        <v>0.85284199999999999</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8.9937999999999997E-3</v>
      </c>
      <c r="I39" s="321"/>
      <c r="J39" s="320">
        <v>6.4200000000000004E-3</v>
      </c>
      <c r="K39" s="321"/>
      <c r="L39" s="320">
        <v>1.81938E-2</v>
      </c>
      <c r="M39" s="321"/>
      <c r="N39" s="320">
        <v>1.482E-2</v>
      </c>
      <c r="O39" s="321"/>
      <c r="P39" s="320"/>
      <c r="Q39" s="294"/>
      <c r="R39" s="321"/>
      <c r="S39" s="295"/>
      <c r="T39" s="255"/>
    </row>
    <row r="40" spans="1:20" s="256" customFormat="1" ht="15.6" x14ac:dyDescent="0.3">
      <c r="A40" s="291"/>
      <c r="B40" s="292" t="s">
        <v>14</v>
      </c>
      <c r="C40" s="292"/>
      <c r="D40" s="320">
        <v>0</v>
      </c>
      <c r="E40" s="292"/>
      <c r="F40" s="320">
        <v>0</v>
      </c>
      <c r="G40" s="321"/>
      <c r="H40" s="320">
        <v>8.9949999999999995E-3</v>
      </c>
      <c r="I40" s="321"/>
      <c r="J40" s="320">
        <v>5.8700000000000002E-3</v>
      </c>
      <c r="K40" s="321"/>
      <c r="L40" s="320">
        <v>1.8194999999999999E-2</v>
      </c>
      <c r="M40" s="321"/>
      <c r="N40" s="320">
        <v>1.427E-2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8.9937999999999997E-3</v>
      </c>
      <c r="I42" s="321"/>
      <c r="J42" s="320">
        <v>9.7897999999999995E-3</v>
      </c>
      <c r="K42" s="321"/>
      <c r="L42" s="320">
        <f>+L39</f>
        <v>1.81938E-2</v>
      </c>
      <c r="M42" s="321"/>
      <c r="N42" s="320">
        <v>1.8947800000000001E-2</v>
      </c>
      <c r="O42" s="321"/>
      <c r="P42" s="320"/>
      <c r="Q42" s="294"/>
      <c r="R42" s="321">
        <f>SUMPRODUCT(D42:N42,D34:N34)/R34</f>
        <v>1.1210113495304604E-2</v>
      </c>
      <c r="S42" s="295"/>
      <c r="T42" s="255"/>
    </row>
    <row r="43" spans="1:20" s="256" customFormat="1" ht="15.6" x14ac:dyDescent="0.3">
      <c r="A43" s="291"/>
      <c r="B43" s="292" t="s">
        <v>290</v>
      </c>
      <c r="C43" s="292"/>
      <c r="D43" s="320">
        <f>+D40</f>
        <v>0</v>
      </c>
      <c r="E43" s="292"/>
      <c r="F43" s="320">
        <v>0</v>
      </c>
      <c r="G43" s="321"/>
      <c r="H43" s="320">
        <f>+H40</f>
        <v>8.9949999999999995E-3</v>
      </c>
      <c r="I43" s="321"/>
      <c r="J43" s="320">
        <v>9.7909999999999994E-3</v>
      </c>
      <c r="K43" s="321"/>
      <c r="L43" s="320">
        <f>+L40</f>
        <v>1.8194999999999999E-2</v>
      </c>
      <c r="M43" s="321"/>
      <c r="N43" s="320">
        <v>1.8949000000000001E-2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0.24999963571600459</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41744</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41562</v>
      </c>
      <c r="Q55" s="331"/>
      <c r="R55" s="330">
        <v>41653</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90</v>
      </c>
      <c r="O56" s="292"/>
      <c r="P56" s="330">
        <v>41654</v>
      </c>
      <c r="Q56" s="331"/>
      <c r="R56" s="330">
        <v>41743</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41730</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325</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426421</v>
      </c>
      <c r="K66" s="336"/>
      <c r="L66" s="336">
        <f>4360+118</f>
        <v>4478</v>
      </c>
      <c r="M66" s="336"/>
      <c r="N66" s="336">
        <v>118</v>
      </c>
      <c r="O66" s="336"/>
      <c r="P66" s="336">
        <v>0</v>
      </c>
      <c r="Q66" s="336"/>
      <c r="R66" s="337">
        <f>+J66-L66+N66-P66</f>
        <v>422061</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426421</v>
      </c>
      <c r="K69" s="336"/>
      <c r="L69" s="336">
        <f>SUM(L66:L68)</f>
        <v>4478</v>
      </c>
      <c r="M69" s="336"/>
      <c r="N69" s="336">
        <f>SUM(N66:N68)</f>
        <v>118</v>
      </c>
      <c r="O69" s="336"/>
      <c r="P69" s="336">
        <f>SUM(P66:P68)</f>
        <v>0</v>
      </c>
      <c r="Q69" s="336"/>
      <c r="R69" s="336">
        <f>SUM(R66:R68)</f>
        <v>422061</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426421</v>
      </c>
      <c r="K82" s="336"/>
      <c r="L82" s="336"/>
      <c r="M82" s="336"/>
      <c r="N82" s="336"/>
      <c r="O82" s="336"/>
      <c r="P82" s="336"/>
      <c r="Q82" s="336"/>
      <c r="R82" s="336">
        <f>SUM(R69:R81)</f>
        <v>422061</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41729</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4478-18</f>
        <v>4460</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3213+286-1049-82</f>
        <v>2368</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69+111</f>
        <v>180</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23</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199</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4460</v>
      </c>
      <c r="Q94" s="335"/>
      <c r="R94" s="336">
        <f>SUM(R86:R93)</f>
        <v>2770</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-5</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4460</v>
      </c>
      <c r="Q98" s="335"/>
      <c r="R98" s="336">
        <f>R94+R96+R95+R97</f>
        <v>2765</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-106-96-6</f>
        <v>-208</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-1</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-372</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-418</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-249</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-139</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18</v>
      </c>
      <c r="Q113" s="335"/>
      <c r="R113" s="337">
        <v>-18</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-214</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-1136</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-3</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-115</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-1716</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-1772</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-567</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-305</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-4478</v>
      </c>
      <c r="Q128" s="336"/>
      <c r="R128" s="336">
        <f>SUM(R99:R127)</f>
        <v>-2765</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MARCH 2014</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18</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18</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-18</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5</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422061</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422061</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+'Dec 13'!O177</f>
        <v>89444</v>
      </c>
      <c r="P175" s="337">
        <f>+'Dec 13'!P177</f>
        <v>8471</v>
      </c>
      <c r="Q175" s="335"/>
      <c r="R175" s="337">
        <f>O175+P175</f>
        <v>97915</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115</v>
      </c>
      <c r="P176" s="336">
        <f>-P95-P120</f>
        <v>3</v>
      </c>
      <c r="Q176" s="335"/>
      <c r="R176" s="337">
        <f>O176+P176</f>
        <v>118</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89559</v>
      </c>
      <c r="P177" s="337">
        <f>P176+P175</f>
        <v>8474</v>
      </c>
      <c r="Q177" s="335"/>
      <c r="R177" s="337">
        <f>O177+P177</f>
        <v>98033</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61967</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3.2329113924050632</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1.58</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4.5463917525773194</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2.95</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MARCH 2014</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41729</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2.307E-2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1.1210113495304604E-2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1.1859886504695397E-2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6.4842022320664317E-3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11.98</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1.0501358985603429E-2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0.1011</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64</v>
      </c>
      <c r="P208" s="371">
        <f>+P258</f>
        <v>9011</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18</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'Dec 13'!P214+P213</f>
        <v>4598</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3</v>
      </c>
      <c r="P220" s="371">
        <v>459</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9.7200000000000006</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3557</v>
      </c>
      <c r="O225" s="280">
        <f t="shared" ref="O225:O232" si="2">N225/$N$234</f>
        <v>0.99385303157306515</v>
      </c>
      <c r="P225" s="269">
        <f t="shared" ref="P225:P232" si="3">+P237+P249+P261</f>
        <v>419005</v>
      </c>
      <c r="Q225" s="280">
        <f t="shared" ref="Q225:Q232" si="4">P225/$P$234</f>
        <v>0.99275934047448122</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12</v>
      </c>
      <c r="O226" s="399">
        <f t="shared" si="2"/>
        <v>3.3528918692372171E-3</v>
      </c>
      <c r="P226" s="337">
        <f t="shared" si="3"/>
        <v>2181</v>
      </c>
      <c r="Q226" s="399">
        <f t="shared" si="4"/>
        <v>5.1674994846716473E-3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1</v>
      </c>
      <c r="O227" s="399">
        <f t="shared" si="2"/>
        <v>2.7940765576976809E-4</v>
      </c>
      <c r="P227" s="337">
        <f t="shared" si="3"/>
        <v>21</v>
      </c>
      <c r="Q227" s="399">
        <f t="shared" si="4"/>
        <v>4.9755840980332228E-5</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4</v>
      </c>
      <c r="O228" s="399">
        <f t="shared" si="2"/>
        <v>1.1176306230790724E-3</v>
      </c>
      <c r="P228" s="337">
        <f t="shared" si="3"/>
        <v>204</v>
      </c>
      <c r="Q228" s="399">
        <f t="shared" si="4"/>
        <v>4.8334245523751305E-4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4</v>
      </c>
      <c r="O231" s="399">
        <f t="shared" si="2"/>
        <v>1.1176306230790724E-3</v>
      </c>
      <c r="P231" s="337">
        <f t="shared" si="3"/>
        <v>460</v>
      </c>
      <c r="Q231" s="399">
        <f t="shared" si="4"/>
        <v>1.0898898500453726E-3</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1</v>
      </c>
      <c r="O232" s="561">
        <f t="shared" si="2"/>
        <v>2.7940765576976809E-4</v>
      </c>
      <c r="P232" s="562">
        <f t="shared" si="3"/>
        <v>190</v>
      </c>
      <c r="Q232" s="561">
        <f t="shared" si="4"/>
        <v>4.5017189458395826E-4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3579</v>
      </c>
      <c r="O234" s="399">
        <f>SUM(O225:O233)</f>
        <v>1.0000000000000002</v>
      </c>
      <c r="P234" s="337">
        <f>SUM(P225:P233)</f>
        <v>422061</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3498</v>
      </c>
      <c r="O237" s="280">
        <f t="shared" ref="O237:O244" si="5">N237/$N$246</f>
        <v>0.99516358463726884</v>
      </c>
      <c r="P237" s="269">
        <v>410575</v>
      </c>
      <c r="Q237" s="280">
        <f t="shared" ref="Q237:Q244" si="6">P237/$P$246</f>
        <v>0.99400798934753665</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12</v>
      </c>
      <c r="O238" s="399">
        <f t="shared" si="5"/>
        <v>3.4139402560455193E-3</v>
      </c>
      <c r="P238" s="337">
        <v>2181</v>
      </c>
      <c r="Q238" s="399">
        <f t="shared" si="6"/>
        <v>5.2802324173828836E-3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1</v>
      </c>
      <c r="O239" s="399">
        <f t="shared" si="5"/>
        <v>2.8449502133712662E-4</v>
      </c>
      <c r="P239" s="337">
        <v>21</v>
      </c>
      <c r="Q239" s="399">
        <f t="shared" si="6"/>
        <v>5.0841302505749911E-5</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3</v>
      </c>
      <c r="O240" s="399">
        <f t="shared" si="5"/>
        <v>8.5348506401137982E-4</v>
      </c>
      <c r="P240" s="337">
        <v>83</v>
      </c>
      <c r="Q240" s="399">
        <f t="shared" si="6"/>
        <v>2.0094419561796393E-4</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0</v>
      </c>
      <c r="O243" s="399">
        <f t="shared" si="5"/>
        <v>0</v>
      </c>
      <c r="P243" s="337">
        <v>0</v>
      </c>
      <c r="Q243" s="399">
        <f t="shared" si="6"/>
        <v>0</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2.8449502133712662E-4</v>
      </c>
      <c r="P244" s="337">
        <v>190</v>
      </c>
      <c r="Q244" s="399">
        <f t="shared" si="6"/>
        <v>4.5999273695678487E-4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3515</v>
      </c>
      <c r="O246" s="399">
        <f>SUM(O237:O245)</f>
        <v>0.99999999999999989</v>
      </c>
      <c r="P246" s="337">
        <f>SUM(P237:P245)</f>
        <v>413050</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59</v>
      </c>
      <c r="O249" s="280">
        <f t="shared" ref="O249:O256" si="7">N249/$N$258</f>
        <v>0.921875</v>
      </c>
      <c r="P249" s="269">
        <v>8430</v>
      </c>
      <c r="Q249" s="280">
        <f t="shared" ref="Q249:Q256" si="8">P249/$P$258</f>
        <v>0.93552324936189102</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si="7"/>
        <v>0</v>
      </c>
      <c r="P250" s="337">
        <v>0</v>
      </c>
      <c r="Q250" s="399">
        <f t="shared" si="8"/>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0</v>
      </c>
      <c r="O251" s="399">
        <f t="shared" si="7"/>
        <v>0</v>
      </c>
      <c r="P251" s="337">
        <v>0</v>
      </c>
      <c r="Q251" s="399">
        <f t="shared" si="8"/>
        <v>0</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1</v>
      </c>
      <c r="O252" s="399">
        <f t="shared" si="7"/>
        <v>1.5625E-2</v>
      </c>
      <c r="P252" s="337">
        <v>121</v>
      </c>
      <c r="Q252" s="399">
        <f t="shared" si="8"/>
        <v>1.342803240483853E-2</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7"/>
        <v>0</v>
      </c>
      <c r="P254" s="337">
        <v>0</v>
      </c>
      <c r="Q254" s="399">
        <f t="shared" si="8"/>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4</v>
      </c>
      <c r="O255" s="399">
        <f t="shared" si="7"/>
        <v>6.25E-2</v>
      </c>
      <c r="P255" s="337">
        <v>460</v>
      </c>
      <c r="Q255" s="399">
        <f t="shared" si="8"/>
        <v>5.1048718233270444E-2</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7"/>
        <v>0</v>
      </c>
      <c r="P256" s="337">
        <v>0</v>
      </c>
      <c r="Q256" s="399">
        <f t="shared" si="8"/>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64</v>
      </c>
      <c r="O258" s="399">
        <f>SUM(O249:O257)</f>
        <v>1</v>
      </c>
      <c r="P258" s="337">
        <f>SUM(P249:P257)</f>
        <v>9011</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3579</v>
      </c>
      <c r="O272" s="399"/>
      <c r="P272" s="407">
        <f>+P270+P258+P246</f>
        <v>422061</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MARCH 2014</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0.88029999999999997</v>
      </c>
      <c r="P16" s="247" t="s">
        <v>161</v>
      </c>
      <c r="Q16" s="246">
        <v>0.1197</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41842</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166101.353</v>
      </c>
      <c r="I31" s="301"/>
      <c r="J31" s="302">
        <f>J30*J37</f>
        <v>246701.35380000001</v>
      </c>
      <c r="K31" s="301"/>
      <c r="L31" s="303">
        <f>L30*L37</f>
        <v>54867.826000000001</v>
      </c>
      <c r="M31" s="301"/>
      <c r="N31" s="302">
        <f>N30*N37</f>
        <v>42206.02</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164941.49900000001</v>
      </c>
      <c r="I32" s="306"/>
      <c r="J32" s="308">
        <f>J36*J30</f>
        <v>244978.68540000002</v>
      </c>
      <c r="K32" s="307"/>
      <c r="L32" s="307">
        <f>L36*L30</f>
        <v>54484.677000000003</v>
      </c>
      <c r="M32" s="307"/>
      <c r="N32" s="308">
        <f>N36*N30</f>
        <v>41911.29</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166101.353</v>
      </c>
      <c r="I34" s="301"/>
      <c r="J34" s="301">
        <f>J33*J37</f>
        <v>171547.299</v>
      </c>
      <c r="K34" s="301"/>
      <c r="L34" s="301">
        <f>L33*L37</f>
        <v>54867.826000000001</v>
      </c>
      <c r="M34" s="301"/>
      <c r="N34" s="301">
        <f>N33*N37</f>
        <v>29544.214</v>
      </c>
      <c r="O34" s="301"/>
      <c r="P34" s="301"/>
      <c r="Q34" s="304"/>
      <c r="R34" s="301">
        <f>SUM(C34:N34)</f>
        <v>422060.69199999998</v>
      </c>
      <c r="S34" s="305"/>
      <c r="T34" s="255"/>
    </row>
    <row r="35" spans="1:20" s="256" customFormat="1" ht="15.6" x14ac:dyDescent="0.3">
      <c r="A35" s="296"/>
      <c r="B35" s="297" t="s">
        <v>287</v>
      </c>
      <c r="C35" s="306"/>
      <c r="D35" s="307">
        <f>D36*D33</f>
        <v>0</v>
      </c>
      <c r="E35" s="306"/>
      <c r="F35" s="307">
        <f>F36*F33</f>
        <v>0</v>
      </c>
      <c r="G35" s="307"/>
      <c r="H35" s="307">
        <f>H36*H33</f>
        <v>164941.49900000001</v>
      </c>
      <c r="I35" s="306"/>
      <c r="J35" s="307">
        <f>J36*J33</f>
        <v>170349.41700000002</v>
      </c>
      <c r="K35" s="307"/>
      <c r="L35" s="307">
        <f>L36*L33</f>
        <v>54484.677000000003</v>
      </c>
      <c r="M35" s="307"/>
      <c r="N35" s="307">
        <f>N36*N33</f>
        <v>29337.903000000002</v>
      </c>
      <c r="O35" s="307"/>
      <c r="P35" s="307"/>
      <c r="Q35" s="309"/>
      <c r="R35" s="307">
        <f>SUM(C35:N35)</f>
        <v>419113.49600000004</v>
      </c>
      <c r="S35" s="305"/>
      <c r="T35" s="255"/>
    </row>
    <row r="36" spans="1:20" ht="15.6" x14ac:dyDescent="0.3">
      <c r="A36" s="310"/>
      <c r="B36" s="311" t="s">
        <v>149</v>
      </c>
      <c r="C36" s="312"/>
      <c r="D36" s="313">
        <v>0</v>
      </c>
      <c r="E36" s="314"/>
      <c r="F36" s="313">
        <v>0</v>
      </c>
      <c r="G36" s="315"/>
      <c r="H36" s="313">
        <v>0.54079180000000004</v>
      </c>
      <c r="I36" s="313"/>
      <c r="J36" s="313">
        <v>0.54079180000000004</v>
      </c>
      <c r="K36" s="315"/>
      <c r="L36" s="313">
        <v>0.83822580000000002</v>
      </c>
      <c r="M36" s="313"/>
      <c r="N36" s="313">
        <v>0.83822580000000002</v>
      </c>
      <c r="O36" s="316"/>
      <c r="P36" s="316"/>
      <c r="Q36" s="317"/>
      <c r="R36" s="316"/>
      <c r="S36" s="318"/>
      <c r="T36" s="5"/>
    </row>
    <row r="37" spans="1:20" ht="15.6" x14ac:dyDescent="0.3">
      <c r="A37" s="310"/>
      <c r="B37" s="311" t="s">
        <v>150</v>
      </c>
      <c r="C37" s="312"/>
      <c r="D37" s="313">
        <v>0</v>
      </c>
      <c r="E37" s="314"/>
      <c r="F37" s="313">
        <v>0</v>
      </c>
      <c r="G37" s="315"/>
      <c r="H37" s="313">
        <v>0.54459460000000004</v>
      </c>
      <c r="I37" s="315"/>
      <c r="J37" s="313">
        <v>0.54459460000000004</v>
      </c>
      <c r="K37" s="315"/>
      <c r="L37" s="313">
        <v>0.84412039999999999</v>
      </c>
      <c r="M37" s="313"/>
      <c r="N37" s="313">
        <v>0.84412039999999999</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9.0530999999999997E-3</v>
      </c>
      <c r="I39" s="321"/>
      <c r="J39" s="320">
        <v>6.8799999999999998E-3</v>
      </c>
      <c r="K39" s="321"/>
      <c r="L39" s="320">
        <v>1.8253100000000001E-2</v>
      </c>
      <c r="M39" s="321"/>
      <c r="N39" s="320">
        <v>1.528E-2</v>
      </c>
      <c r="O39" s="321"/>
      <c r="P39" s="320"/>
      <c r="Q39" s="294"/>
      <c r="R39" s="321"/>
      <c r="S39" s="295"/>
      <c r="T39" s="255"/>
    </row>
    <row r="40" spans="1:20" s="256" customFormat="1" ht="15.6" x14ac:dyDescent="0.3">
      <c r="A40" s="291"/>
      <c r="B40" s="292" t="s">
        <v>14</v>
      </c>
      <c r="C40" s="292"/>
      <c r="D40" s="320">
        <v>0</v>
      </c>
      <c r="E40" s="292"/>
      <c r="F40" s="320">
        <v>0</v>
      </c>
      <c r="G40" s="321"/>
      <c r="H40" s="320">
        <v>8.9937999999999997E-3</v>
      </c>
      <c r="I40" s="321"/>
      <c r="J40" s="320">
        <v>6.4200000000000004E-3</v>
      </c>
      <c r="K40" s="321"/>
      <c r="L40" s="320">
        <v>1.81938E-2</v>
      </c>
      <c r="M40" s="321"/>
      <c r="N40" s="320">
        <v>1.482E-2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9.0530999999999997E-3</v>
      </c>
      <c r="I42" s="321"/>
      <c r="J42" s="320">
        <v>9.8490999999999995E-3</v>
      </c>
      <c r="K42" s="321"/>
      <c r="L42" s="320">
        <f>+L39</f>
        <v>1.8253100000000001E-2</v>
      </c>
      <c r="M42" s="321"/>
      <c r="N42" s="320">
        <v>1.9007099999999999E-2</v>
      </c>
      <c r="O42" s="321"/>
      <c r="P42" s="320"/>
      <c r="Q42" s="294"/>
      <c r="R42" s="321">
        <f>SUMPRODUCT(D42:N42,D34:N34)/R34</f>
        <v>1.1269413371727117E-2</v>
      </c>
      <c r="S42" s="295"/>
      <c r="T42" s="255"/>
    </row>
    <row r="43" spans="1:20" s="256" customFormat="1" ht="15.6" x14ac:dyDescent="0.3">
      <c r="A43" s="291"/>
      <c r="B43" s="292" t="s">
        <v>290</v>
      </c>
      <c r="C43" s="292"/>
      <c r="D43" s="320">
        <f>+D40</f>
        <v>0</v>
      </c>
      <c r="E43" s="292"/>
      <c r="F43" s="320">
        <v>0</v>
      </c>
      <c r="G43" s="321"/>
      <c r="H43" s="320">
        <f>+H40</f>
        <v>8.9937999999999997E-3</v>
      </c>
      <c r="I43" s="321"/>
      <c r="J43" s="320">
        <v>9.7897999999999995E-3</v>
      </c>
      <c r="K43" s="321"/>
      <c r="L43" s="320">
        <f>+L40</f>
        <v>1.81938E-2</v>
      </c>
      <c r="M43" s="321"/>
      <c r="N43" s="320">
        <v>1.8947800000000001E-2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0.2499995556097917</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41835</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90</v>
      </c>
      <c r="O55" s="329"/>
      <c r="P55" s="330">
        <v>41654</v>
      </c>
      <c r="Q55" s="331"/>
      <c r="R55" s="330">
        <v>41743</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41744</v>
      </c>
      <c r="Q56" s="331"/>
      <c r="R56" s="330">
        <v>41834</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41821</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327</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422061</v>
      </c>
      <c r="K66" s="336"/>
      <c r="L66" s="336">
        <f>2948+371+170</f>
        <v>3489</v>
      </c>
      <c r="M66" s="336"/>
      <c r="N66" s="336">
        <f>371+170</f>
        <v>541</v>
      </c>
      <c r="O66" s="336"/>
      <c r="P66" s="336">
        <v>0</v>
      </c>
      <c r="Q66" s="336"/>
      <c r="R66" s="337">
        <f>+J66-L66+N66-P66</f>
        <v>419113</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422061</v>
      </c>
      <c r="K69" s="336"/>
      <c r="L69" s="336">
        <f>SUM(L66:L68)</f>
        <v>3489</v>
      </c>
      <c r="M69" s="336"/>
      <c r="N69" s="336">
        <f>SUM(N66:N68)</f>
        <v>541</v>
      </c>
      <c r="O69" s="336"/>
      <c r="P69" s="336">
        <f>SUM(P66:P68)</f>
        <v>0</v>
      </c>
      <c r="Q69" s="336"/>
      <c r="R69" s="336">
        <f>SUM(R66:R68)</f>
        <v>419113</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422061</v>
      </c>
      <c r="K82" s="336"/>
      <c r="L82" s="336"/>
      <c r="M82" s="336"/>
      <c r="N82" s="336"/>
      <c r="O82" s="336"/>
      <c r="P82" s="336"/>
      <c r="Q82" s="336"/>
      <c r="R82" s="336">
        <f>SUM(R69:R81)</f>
        <v>419113</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41820</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3489+31</f>
        <v>3520</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3194+376-991-73</f>
        <v>2506</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15+2</f>
        <v>17</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24</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205</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3520</v>
      </c>
      <c r="Q94" s="335"/>
      <c r="R94" s="336">
        <f>SUM(R86:R93)</f>
        <v>2752</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-152</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3520</v>
      </c>
      <c r="Q98" s="335"/>
      <c r="R98" s="336">
        <f>R94+R96+R95+R97</f>
        <v>2600</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-106-104-6</f>
        <v>-216</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-375</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-421</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-250</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-140</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-31</v>
      </c>
      <c r="Q113" s="335"/>
      <c r="R113" s="337">
        <v>31</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-215</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-1004</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-10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-531</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-1160</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-1198</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-383</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-207</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-3489</v>
      </c>
      <c r="Q128" s="336"/>
      <c r="R128" s="336">
        <f>SUM(R99:R127)</f>
        <v>-2600</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JUNE 2014</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-31</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-31</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31</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152</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419113</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419113</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+'March 14'!O177</f>
        <v>89559</v>
      </c>
      <c r="P175" s="337">
        <f>+'March 14'!P177</f>
        <v>8474</v>
      </c>
      <c r="Q175" s="335"/>
      <c r="R175" s="337">
        <f>O175+P175</f>
        <v>98033</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f>361+170</f>
        <v>531</v>
      </c>
      <c r="P176" s="336">
        <f>-P95-P120</f>
        <v>10</v>
      </c>
      <c r="Q176" s="335"/>
      <c r="R176" s="337">
        <f>O176+P176</f>
        <v>541</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90090</v>
      </c>
      <c r="P177" s="337">
        <f>P176+P175</f>
        <v>8484</v>
      </c>
      <c r="Q177" s="335"/>
      <c r="R177" s="337">
        <f>O177+P177</f>
        <v>98574</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61426</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2.9924623115577891</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1.58</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4.0666666666666664</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2.96</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JUNE 2014</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41820</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2.308E-2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1.1269413371727117E-2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1.1810586628272883E-2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6.160246978517323E-3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11.8</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8.2665775800180551E-3</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9.9400000000000002E-2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67</v>
      </c>
      <c r="P208" s="371">
        <f>+P258</f>
        <v>9044</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-31</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'March 14'!P214+P213</f>
        <v>4567</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0</v>
      </c>
      <c r="P220" s="371">
        <v>0</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3524</v>
      </c>
      <c r="O225" s="280">
        <f t="shared" ref="O225:O232" si="2">N225/$N$234</f>
        <v>0.99351564702565553</v>
      </c>
      <c r="P225" s="269">
        <f t="shared" ref="P225:P232" si="3">+P237+P249+P261</f>
        <v>416145</v>
      </c>
      <c r="Q225" s="280">
        <f t="shared" ref="Q225:Q232" si="4">P225/$P$234</f>
        <v>0.99291837762130974</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4</v>
      </c>
      <c r="O226" s="399">
        <f t="shared" si="2"/>
        <v>1.1277135607555681E-3</v>
      </c>
      <c r="P226" s="337">
        <f t="shared" si="3"/>
        <v>366</v>
      </c>
      <c r="Q226" s="399">
        <f t="shared" si="4"/>
        <v>8.7327284049886302E-4</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2</v>
      </c>
      <c r="O227" s="399">
        <f t="shared" si="2"/>
        <v>5.6385678037778404E-4</v>
      </c>
      <c r="P227" s="337">
        <f t="shared" si="3"/>
        <v>44</v>
      </c>
      <c r="Q227" s="399">
        <f t="shared" si="4"/>
        <v>1.0498362016926222E-4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10</v>
      </c>
      <c r="O228" s="399">
        <f t="shared" si="2"/>
        <v>2.81928390188892E-3</v>
      </c>
      <c r="P228" s="337">
        <f t="shared" si="3"/>
        <v>1858</v>
      </c>
      <c r="Q228" s="399">
        <f t="shared" si="4"/>
        <v>4.4331719607838462E-3</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2</v>
      </c>
      <c r="O229" s="399">
        <f t="shared" si="2"/>
        <v>5.6385678037778404E-4</v>
      </c>
      <c r="P229" s="337">
        <f t="shared" si="3"/>
        <v>50</v>
      </c>
      <c r="Q229" s="399">
        <f t="shared" si="4"/>
        <v>1.1929956837416162E-4</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3</v>
      </c>
      <c r="O231" s="399">
        <f t="shared" si="2"/>
        <v>8.4578517056667607E-4</v>
      </c>
      <c r="P231" s="337">
        <f t="shared" si="3"/>
        <v>324</v>
      </c>
      <c r="Q231" s="399">
        <f t="shared" si="4"/>
        <v>7.7306120306456735E-4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2</v>
      </c>
      <c r="O232" s="561">
        <f t="shared" si="2"/>
        <v>5.6385678037778404E-4</v>
      </c>
      <c r="P232" s="562">
        <f t="shared" si="3"/>
        <v>326</v>
      </c>
      <c r="Q232" s="561">
        <f t="shared" si="4"/>
        <v>7.7783318579953376E-4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3547</v>
      </c>
      <c r="O234" s="399">
        <f>SUM(O225:O233)</f>
        <v>0.99999999999999989</v>
      </c>
      <c r="P234" s="337">
        <f>SUM(P225:P233)</f>
        <v>419113</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3463</v>
      </c>
      <c r="O237" s="280">
        <f t="shared" ref="O237:O244" si="5">N237/$N$246</f>
        <v>0.99511494252873567</v>
      </c>
      <c r="P237" s="269">
        <v>407729</v>
      </c>
      <c r="Q237" s="280">
        <f t="shared" ref="Q237:Q244" si="6">P237/$P$246</f>
        <v>0.99429364326491398</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3</v>
      </c>
      <c r="O238" s="399">
        <f t="shared" si="5"/>
        <v>8.6206896551724137E-4</v>
      </c>
      <c r="P238" s="337">
        <v>264</v>
      </c>
      <c r="Q238" s="399">
        <f t="shared" si="6"/>
        <v>6.4379409318919502E-4</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2</v>
      </c>
      <c r="O239" s="399">
        <f t="shared" si="5"/>
        <v>5.7471264367816091E-4</v>
      </c>
      <c r="P239" s="337">
        <v>44</v>
      </c>
      <c r="Q239" s="399">
        <f t="shared" si="6"/>
        <v>1.072990155315325E-4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9</v>
      </c>
      <c r="O240" s="399">
        <f t="shared" si="5"/>
        <v>2.5862068965517241E-3</v>
      </c>
      <c r="P240" s="337">
        <v>1792</v>
      </c>
      <c r="Q240" s="399">
        <f t="shared" si="6"/>
        <v>4.369996268920596E-3</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2</v>
      </c>
      <c r="O241" s="399">
        <f t="shared" si="5"/>
        <v>5.7471264367816091E-4</v>
      </c>
      <c r="P241" s="337">
        <v>50</v>
      </c>
      <c r="Q241" s="399">
        <f t="shared" si="6"/>
        <v>1.2193069946765057E-4</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0</v>
      </c>
      <c r="O243" s="399">
        <f t="shared" si="5"/>
        <v>0</v>
      </c>
      <c r="P243" s="337">
        <v>0</v>
      </c>
      <c r="Q243" s="399">
        <f t="shared" si="6"/>
        <v>0</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2.8735632183908046E-4</v>
      </c>
      <c r="P244" s="337">
        <v>190</v>
      </c>
      <c r="Q244" s="399">
        <f t="shared" si="6"/>
        <v>4.6333665797707214E-4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3480</v>
      </c>
      <c r="O246" s="399">
        <f>SUM(O237:O245)</f>
        <v>1</v>
      </c>
      <c r="P246" s="337">
        <f>SUM(P237:P245)</f>
        <v>410069</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61</v>
      </c>
      <c r="O249" s="280">
        <f t="shared" ref="O249:O256" si="7">N249/$N$258</f>
        <v>0.91044776119402981</v>
      </c>
      <c r="P249" s="269">
        <v>8416</v>
      </c>
      <c r="Q249" s="280">
        <f t="shared" ref="Q249:Q256" si="8">P249/$P$258</f>
        <v>0.93056169836355596</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1</v>
      </c>
      <c r="O250" s="399">
        <f t="shared" si="7"/>
        <v>1.4925373134328358E-2</v>
      </c>
      <c r="P250" s="337">
        <v>102</v>
      </c>
      <c r="Q250" s="399">
        <f t="shared" si="8"/>
        <v>1.1278195488721804E-2</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0</v>
      </c>
      <c r="O251" s="399">
        <f t="shared" si="7"/>
        <v>0</v>
      </c>
      <c r="P251" s="337">
        <v>0</v>
      </c>
      <c r="Q251" s="399">
        <f t="shared" si="8"/>
        <v>0</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1</v>
      </c>
      <c r="O252" s="399">
        <f t="shared" si="7"/>
        <v>1.4925373134328358E-2</v>
      </c>
      <c r="P252" s="337">
        <v>66</v>
      </c>
      <c r="Q252" s="399">
        <f t="shared" si="8"/>
        <v>7.29765590446705E-3</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7"/>
        <v>0</v>
      </c>
      <c r="P253" s="337">
        <v>0</v>
      </c>
      <c r="Q253" s="399">
        <f t="shared" si="8"/>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7"/>
        <v>0</v>
      </c>
      <c r="P254" s="337">
        <v>0</v>
      </c>
      <c r="Q254" s="399">
        <f t="shared" si="8"/>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3</v>
      </c>
      <c r="O255" s="399">
        <f t="shared" si="7"/>
        <v>4.4776119402985072E-2</v>
      </c>
      <c r="P255" s="337">
        <v>324</v>
      </c>
      <c r="Q255" s="399">
        <f t="shared" si="8"/>
        <v>3.5824856258292792E-2</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1</v>
      </c>
      <c r="O256" s="399">
        <f t="shared" si="7"/>
        <v>1.4925373134328358E-2</v>
      </c>
      <c r="P256" s="337">
        <v>136</v>
      </c>
      <c r="Q256" s="399">
        <f t="shared" si="8"/>
        <v>1.5037593984962405E-2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67</v>
      </c>
      <c r="O258" s="399">
        <f>SUM(O249:O257)</f>
        <v>1</v>
      </c>
      <c r="P258" s="337">
        <f>SUM(P249:P257)</f>
        <v>9044</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3547</v>
      </c>
      <c r="O272" s="399"/>
      <c r="P272" s="407">
        <f>+P270+P258+P246</f>
        <v>419113</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JUNE 2014</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v>
      </c>
      <c r="P16" s="247" t="s">
        <v>161</v>
      </c>
      <c r="Q16" s="246">
        <v>0.12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41934</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164941.49900000001</v>
      </c>
      <c r="I31" s="301"/>
      <c r="J31" s="302">
        <f>J30*J37</f>
        <v>244978.68540000002</v>
      </c>
      <c r="K31" s="301"/>
      <c r="L31" s="303">
        <f>L30*L37</f>
        <v>54484.677000000003</v>
      </c>
      <c r="M31" s="301"/>
      <c r="N31" s="302">
        <f>N30*N37</f>
        <v>41911.29</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163104.057</v>
      </c>
      <c r="I32" s="306"/>
      <c r="J32" s="308">
        <f>J36*J30</f>
        <v>242249.63219999999</v>
      </c>
      <c r="K32" s="307"/>
      <c r="L32" s="307">
        <f>L36*L30</f>
        <v>53877.706999999995</v>
      </c>
      <c r="M32" s="307"/>
      <c r="N32" s="308">
        <f>N36*N30</f>
        <v>41444.39</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164941.49900000001</v>
      </c>
      <c r="I34" s="301"/>
      <c r="J34" s="301">
        <f>J33*J37</f>
        <v>170349.41700000002</v>
      </c>
      <c r="K34" s="301"/>
      <c r="L34" s="301">
        <f>L33*L37</f>
        <v>54484.677000000003</v>
      </c>
      <c r="M34" s="301"/>
      <c r="N34" s="301">
        <f>N33*N37</f>
        <v>29337.903000000002</v>
      </c>
      <c r="O34" s="301"/>
      <c r="P34" s="301"/>
      <c r="Q34" s="304"/>
      <c r="R34" s="301">
        <f>SUM(C34:N34)</f>
        <v>419113.49600000004</v>
      </c>
      <c r="S34" s="305"/>
      <c r="T34" s="255"/>
    </row>
    <row r="35" spans="1:20" s="256" customFormat="1" ht="15.6" x14ac:dyDescent="0.3">
      <c r="A35" s="296"/>
      <c r="B35" s="297" t="s">
        <v>287</v>
      </c>
      <c r="C35" s="306"/>
      <c r="D35" s="307">
        <f>D36*D33</f>
        <v>0</v>
      </c>
      <c r="E35" s="306"/>
      <c r="F35" s="307">
        <f>F36*F33</f>
        <v>0</v>
      </c>
      <c r="G35" s="307"/>
      <c r="H35" s="307">
        <f>H36*H33</f>
        <v>163104.057</v>
      </c>
      <c r="I35" s="306"/>
      <c r="J35" s="307">
        <f>J36*J33</f>
        <v>168451.731</v>
      </c>
      <c r="K35" s="307"/>
      <c r="L35" s="307">
        <f>L36*L33</f>
        <v>53877.706999999995</v>
      </c>
      <c r="M35" s="307"/>
      <c r="N35" s="307">
        <f>N36*N33</f>
        <v>29011.072999999997</v>
      </c>
      <c r="O35" s="307"/>
      <c r="P35" s="307"/>
      <c r="Q35" s="309"/>
      <c r="R35" s="307">
        <f>SUM(C35:N35)</f>
        <v>414444.56799999997</v>
      </c>
      <c r="S35" s="305"/>
      <c r="T35" s="255"/>
    </row>
    <row r="36" spans="1:20" ht="15.6" x14ac:dyDescent="0.3">
      <c r="A36" s="310"/>
      <c r="B36" s="311" t="s">
        <v>149</v>
      </c>
      <c r="C36" s="312"/>
      <c r="D36" s="313">
        <v>0</v>
      </c>
      <c r="E36" s="314"/>
      <c r="F36" s="313">
        <v>0</v>
      </c>
      <c r="G36" s="315"/>
      <c r="H36" s="313">
        <v>0.5347674</v>
      </c>
      <c r="I36" s="313"/>
      <c r="J36" s="313">
        <v>0.5347674</v>
      </c>
      <c r="K36" s="315"/>
      <c r="L36" s="313">
        <v>0.82888779999999995</v>
      </c>
      <c r="M36" s="313"/>
      <c r="N36" s="313">
        <v>0.82888779999999995</v>
      </c>
      <c r="O36" s="316"/>
      <c r="P36" s="316"/>
      <c r="Q36" s="317"/>
      <c r="R36" s="316"/>
      <c r="S36" s="318"/>
      <c r="T36" s="5"/>
    </row>
    <row r="37" spans="1:20" ht="15.6" x14ac:dyDescent="0.3">
      <c r="A37" s="310"/>
      <c r="B37" s="311" t="s">
        <v>150</v>
      </c>
      <c r="C37" s="312"/>
      <c r="D37" s="313">
        <v>0</v>
      </c>
      <c r="E37" s="314"/>
      <c r="F37" s="313">
        <v>0</v>
      </c>
      <c r="G37" s="315"/>
      <c r="H37" s="313">
        <v>0.54079180000000004</v>
      </c>
      <c r="I37" s="313"/>
      <c r="J37" s="313">
        <v>0.54079180000000004</v>
      </c>
      <c r="K37" s="315"/>
      <c r="L37" s="313">
        <v>0.83822580000000002</v>
      </c>
      <c r="M37" s="313"/>
      <c r="N37" s="313">
        <v>0.83822580000000002</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9.3749999999999997E-3</v>
      </c>
      <c r="I39" s="321"/>
      <c r="J39" s="320">
        <v>5.6299999999999996E-3</v>
      </c>
      <c r="K39" s="321"/>
      <c r="L39" s="320">
        <v>1.8575000000000001E-2</v>
      </c>
      <c r="M39" s="321"/>
      <c r="N39" s="320">
        <v>1.4030000000000001E-2</v>
      </c>
      <c r="O39" s="321"/>
      <c r="P39" s="320"/>
      <c r="Q39" s="294"/>
      <c r="R39" s="321"/>
      <c r="S39" s="295"/>
      <c r="T39" s="255"/>
    </row>
    <row r="40" spans="1:20" s="256" customFormat="1" ht="15.6" x14ac:dyDescent="0.3">
      <c r="A40" s="291"/>
      <c r="B40" s="292" t="s">
        <v>14</v>
      </c>
      <c r="C40" s="292"/>
      <c r="D40" s="320">
        <v>0</v>
      </c>
      <c r="E40" s="292"/>
      <c r="F40" s="320">
        <v>0</v>
      </c>
      <c r="G40" s="321"/>
      <c r="H40" s="320">
        <v>9.0530999999999997E-3</v>
      </c>
      <c r="I40" s="321"/>
      <c r="J40" s="320">
        <v>6.8799999999999998E-3</v>
      </c>
      <c r="K40" s="321"/>
      <c r="L40" s="320">
        <v>1.8253100000000001E-2</v>
      </c>
      <c r="M40" s="321"/>
      <c r="N40" s="320">
        <v>1.528E-2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9.3749999999999997E-3</v>
      </c>
      <c r="I42" s="321"/>
      <c r="J42" s="320">
        <v>1.0170999999999999E-2</v>
      </c>
      <c r="K42" s="321"/>
      <c r="L42" s="320">
        <f>+L39</f>
        <v>1.8575000000000001E-2</v>
      </c>
      <c r="M42" s="321"/>
      <c r="N42" s="320">
        <v>1.9328999999999999E-2</v>
      </c>
      <c r="O42" s="321"/>
      <c r="P42" s="320"/>
      <c r="Q42" s="294"/>
      <c r="R42" s="321">
        <f>SUMPRODUCT(D42:N42,D34:N34)/R34</f>
        <v>1.1591312907265578E-2</v>
      </c>
      <c r="S42" s="295"/>
      <c r="T42" s="255"/>
    </row>
    <row r="43" spans="1:20" s="256" customFormat="1" ht="15.6" x14ac:dyDescent="0.3">
      <c r="A43" s="291"/>
      <c r="B43" s="292" t="s">
        <v>290</v>
      </c>
      <c r="C43" s="292"/>
      <c r="D43" s="320">
        <f>+D40</f>
        <v>0</v>
      </c>
      <c r="E43" s="292"/>
      <c r="F43" s="320">
        <v>0</v>
      </c>
      <c r="G43" s="321"/>
      <c r="H43" s="320">
        <f>+H40</f>
        <v>9.0530999999999997E-3</v>
      </c>
      <c r="I43" s="321"/>
      <c r="J43" s="320">
        <v>9.8490999999999995E-3</v>
      </c>
      <c r="K43" s="321"/>
      <c r="L43" s="320">
        <f>+L40</f>
        <v>1.8253100000000001E-2</v>
      </c>
      <c r="M43" s="321"/>
      <c r="N43" s="320">
        <v>1.9007099999999999E-2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0.24999949631402604</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41927</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41744</v>
      </c>
      <c r="Q55" s="331"/>
      <c r="R55" s="330">
        <v>41834</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41835</v>
      </c>
      <c r="Q56" s="331"/>
      <c r="R56" s="330">
        <v>41926</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41913</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328</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419113</v>
      </c>
      <c r="K66" s="336"/>
      <c r="L66" s="336">
        <f>4668+314</f>
        <v>4982</v>
      </c>
      <c r="M66" s="336"/>
      <c r="N66" s="336">
        <v>314</v>
      </c>
      <c r="O66" s="336"/>
      <c r="P66" s="336">
        <v>0</v>
      </c>
      <c r="Q66" s="336"/>
      <c r="R66" s="337">
        <f>+J66-L66+N66-P66</f>
        <v>414445</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419113</v>
      </c>
      <c r="K69" s="336"/>
      <c r="L69" s="336">
        <f>SUM(L66:L68)</f>
        <v>4982</v>
      </c>
      <c r="M69" s="336"/>
      <c r="N69" s="336">
        <f>SUM(N66:N68)</f>
        <v>314</v>
      </c>
      <c r="O69" s="336"/>
      <c r="P69" s="336">
        <f>SUM(P66:P68)</f>
        <v>0</v>
      </c>
      <c r="Q69" s="336"/>
      <c r="R69" s="336">
        <f>SUM(R66:R68)</f>
        <v>414445</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419113</v>
      </c>
      <c r="K82" s="336"/>
      <c r="L82" s="336"/>
      <c r="M82" s="336"/>
      <c r="N82" s="336"/>
      <c r="O82" s="336"/>
      <c r="P82" s="336"/>
      <c r="Q82" s="336"/>
      <c r="R82" s="336">
        <f>SUM(R69:R81)</f>
        <v>414445</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41912</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4982-1</f>
        <v>4981</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3301+393-1162-84</f>
        <v>2448</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62+4</f>
        <v>66</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24</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229</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4981</v>
      </c>
      <c r="Q94" s="335"/>
      <c r="R94" s="336">
        <f>SUM(R86:R93)</f>
        <v>2767</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-20</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4981</v>
      </c>
      <c r="Q98" s="335"/>
      <c r="R98" s="336">
        <f>R94+R96+R95+R97</f>
        <v>2747</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-106-80-6</f>
        <v>-192</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-390</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-436</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-255</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-143</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1</v>
      </c>
      <c r="Q113" s="335"/>
      <c r="R113" s="337">
        <v>-1</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-216</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-1104</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-314</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-1837</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-1898</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-607</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-326</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-4982</v>
      </c>
      <c r="Q128" s="336"/>
      <c r="R128" s="336">
        <f>SUM(R99:R127)</f>
        <v>-2747</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SEPTEMBER 2014</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1</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1</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-1</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20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414445</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414445</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+'June 14'!O177</f>
        <v>90090</v>
      </c>
      <c r="P175" s="337">
        <f>+'June 14'!P177</f>
        <v>8484</v>
      </c>
      <c r="Q175" s="335"/>
      <c r="R175" s="337">
        <f>O175+P175</f>
        <v>98574</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314</v>
      </c>
      <c r="P176" s="336">
        <f>-P95-P120</f>
        <v>0</v>
      </c>
      <c r="Q176" s="335"/>
      <c r="R176" s="337">
        <f>O176+P176</f>
        <v>314</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90404</v>
      </c>
      <c r="P177" s="337">
        <f>P176+P175</f>
        <v>8484</v>
      </c>
      <c r="Q177" s="335"/>
      <c r="R177" s="337">
        <f>O177+P177</f>
        <v>98888</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61112</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3.0907990314769975</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1.59</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4.3391959798994977</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2.98</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SEPTEMBER 2014</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41912</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2.3199999999999998E-2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1.1591312907265578E-2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1.160868709273442E-2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6.5543182864764397E-3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11.62</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1.1887008992801464E-2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9.8100000000000007E-2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1</v>
      </c>
      <c r="P207" s="277">
        <v>45</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63</v>
      </c>
      <c r="P208" s="371">
        <f>+P258</f>
        <v>8766</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1</v>
      </c>
      <c r="P209" s="371">
        <f>+P270</f>
        <v>47</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1</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'June 14'!P214+P213</f>
        <v>4568</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4</v>
      </c>
      <c r="P220" s="371">
        <v>240</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3.16</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3479</v>
      </c>
      <c r="O225" s="280">
        <f t="shared" ref="O225:O232" si="2">N225/$N$234</f>
        <v>0.99542203147353359</v>
      </c>
      <c r="P225" s="269">
        <f t="shared" ref="P225:P232" si="3">+P237+P249+P261</f>
        <v>413426</v>
      </c>
      <c r="Q225" s="280">
        <f t="shared" ref="Q225:Q232" si="4">P225/$P$234</f>
        <v>0.99754129015912851</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7</v>
      </c>
      <c r="O226" s="399">
        <f t="shared" si="2"/>
        <v>2.0028612303290413E-3</v>
      </c>
      <c r="P226" s="337">
        <f t="shared" si="3"/>
        <v>415</v>
      </c>
      <c r="Q226" s="399">
        <f t="shared" si="4"/>
        <v>1.0013391402960586E-3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2</v>
      </c>
      <c r="O227" s="399">
        <f t="shared" si="2"/>
        <v>5.7224606580829761E-4</v>
      </c>
      <c r="P227" s="337">
        <f t="shared" si="3"/>
        <v>53</v>
      </c>
      <c r="Q227" s="399">
        <f t="shared" si="4"/>
        <v>1.2788186611009905E-4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2</v>
      </c>
      <c r="O228" s="399">
        <f t="shared" si="2"/>
        <v>5.7224606580829761E-4</v>
      </c>
      <c r="P228" s="337">
        <f t="shared" si="3"/>
        <v>145</v>
      </c>
      <c r="Q228" s="399">
        <f t="shared" si="4"/>
        <v>3.4986548275404457E-4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1</v>
      </c>
      <c r="O229" s="399">
        <f t="shared" si="2"/>
        <v>2.861230329041488E-4</v>
      </c>
      <c r="P229" s="337">
        <f t="shared" si="3"/>
        <v>45</v>
      </c>
      <c r="Q229" s="399">
        <f t="shared" si="4"/>
        <v>1.08578942923669E-4</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1</v>
      </c>
      <c r="O230" s="399">
        <f t="shared" si="2"/>
        <v>2.861230329041488E-4</v>
      </c>
      <c r="P230" s="337">
        <f t="shared" si="3"/>
        <v>30</v>
      </c>
      <c r="Q230" s="399">
        <f t="shared" si="4"/>
        <v>7.238596194911267E-5</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1</v>
      </c>
      <c r="O231" s="399">
        <f t="shared" si="2"/>
        <v>2.861230329041488E-4</v>
      </c>
      <c r="P231" s="337">
        <f t="shared" si="3"/>
        <v>5</v>
      </c>
      <c r="Q231" s="399">
        <f t="shared" si="4"/>
        <v>1.2064326991518779E-5</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2</v>
      </c>
      <c r="O232" s="561">
        <f t="shared" si="2"/>
        <v>5.7224606580829761E-4</v>
      </c>
      <c r="P232" s="562">
        <f t="shared" si="3"/>
        <v>326</v>
      </c>
      <c r="Q232" s="561">
        <f t="shared" si="4"/>
        <v>7.8659411984702428E-4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3495</v>
      </c>
      <c r="O234" s="399">
        <f>SUM(O225:O233)</f>
        <v>0.99999999999999978</v>
      </c>
      <c r="P234" s="337">
        <f>SUM(P225:P233)</f>
        <v>414445</v>
      </c>
      <c r="Q234" s="399">
        <f>SUM(Q225:Q233)</f>
        <v>1.0000000000000002</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3418</v>
      </c>
      <c r="O237" s="280">
        <f t="shared" ref="O237:O244" si="5">N237/$N$246</f>
        <v>0.99621101719615268</v>
      </c>
      <c r="P237" s="269">
        <v>404894</v>
      </c>
      <c r="Q237" s="280">
        <f t="shared" ref="Q237:Q244" si="6">P237/$P$246</f>
        <v>0.99818061691385296</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7</v>
      </c>
      <c r="O238" s="399">
        <f t="shared" si="5"/>
        <v>2.0402215097639173E-3</v>
      </c>
      <c r="P238" s="337">
        <v>415</v>
      </c>
      <c r="Q238" s="399">
        <f t="shared" si="6"/>
        <v>1.0230948248658883E-3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2</v>
      </c>
      <c r="O239" s="399">
        <f t="shared" si="5"/>
        <v>5.8292043136111925E-4</v>
      </c>
      <c r="P239" s="337">
        <v>53</v>
      </c>
      <c r="Q239" s="399">
        <f t="shared" si="6"/>
        <v>1.306603029346797E-4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1</v>
      </c>
      <c r="O241" s="399">
        <f t="shared" si="5"/>
        <v>2.9146021568055963E-4</v>
      </c>
      <c r="P241" s="337">
        <v>45</v>
      </c>
      <c r="Q241" s="399">
        <f t="shared" si="6"/>
        <v>1.1093799305774693E-4</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1</v>
      </c>
      <c r="O242" s="399">
        <f t="shared" si="5"/>
        <v>2.9146021568055963E-4</v>
      </c>
      <c r="P242" s="337">
        <v>30</v>
      </c>
      <c r="Q242" s="399">
        <f t="shared" si="6"/>
        <v>7.3958662038497942E-5</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1</v>
      </c>
      <c r="O243" s="399">
        <f t="shared" si="5"/>
        <v>2.9146021568055963E-4</v>
      </c>
      <c r="P243" s="337">
        <v>5</v>
      </c>
      <c r="Q243" s="399">
        <f t="shared" si="6"/>
        <v>1.2326443673082992E-5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2.9146021568055963E-4</v>
      </c>
      <c r="P244" s="337">
        <v>190</v>
      </c>
      <c r="Q244" s="399">
        <f t="shared" si="6"/>
        <v>4.6840485957715366E-4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3431</v>
      </c>
      <c r="O246" s="399">
        <f>SUM(O237:O245)</f>
        <v>1</v>
      </c>
      <c r="P246" s="337">
        <f>SUM(P237:P245)</f>
        <v>405632</v>
      </c>
      <c r="Q246" s="399">
        <f>SUM(Q237:Q245)</f>
        <v>0.99999999999999989</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61</v>
      </c>
      <c r="O249" s="280">
        <f>N249/$N$258</f>
        <v>0.96825396825396826</v>
      </c>
      <c r="P249" s="269">
        <v>8532</v>
      </c>
      <c r="Q249" s="280">
        <f t="shared" ref="Q249:Q256" si="7">P249/$P$258</f>
        <v>0.97330595482546201</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0</v>
      </c>
      <c r="O251" s="399">
        <f t="shared" si="8"/>
        <v>0</v>
      </c>
      <c r="P251" s="337">
        <v>0</v>
      </c>
      <c r="Q251" s="399">
        <f t="shared" si="7"/>
        <v>0</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1</v>
      </c>
      <c r="O252" s="399">
        <f t="shared" si="8"/>
        <v>1.5873015873015872E-2</v>
      </c>
      <c r="P252" s="337">
        <v>98</v>
      </c>
      <c r="Q252" s="399">
        <f t="shared" si="7"/>
        <v>1.1179557380789414E-2</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1</v>
      </c>
      <c r="O256" s="399">
        <f t="shared" si="8"/>
        <v>1.5873015873015872E-2</v>
      </c>
      <c r="P256" s="337">
        <v>136</v>
      </c>
      <c r="Q256" s="399">
        <f t="shared" si="7"/>
        <v>1.5514487793748574E-2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63</v>
      </c>
      <c r="O258" s="399">
        <f>SUM(O249:O257)</f>
        <v>1</v>
      </c>
      <c r="P258" s="337">
        <f>SUM(P249:P257)</f>
        <v>8766</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f>+N261/$N$270</f>
        <v>0</v>
      </c>
      <c r="P261" s="269">
        <v>0</v>
      </c>
      <c r="Q261" s="280">
        <f>+P261/$P$270</f>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f t="shared" ref="O262:O268" si="9">N262/$N$270</f>
        <v>0</v>
      </c>
      <c r="P262" s="337">
        <v>0</v>
      </c>
      <c r="Q262" s="399">
        <f t="shared" ref="Q262:Q268" si="10">P262/$P$270</f>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f t="shared" si="9"/>
        <v>0</v>
      </c>
      <c r="P263" s="337">
        <v>0</v>
      </c>
      <c r="Q263" s="399">
        <f t="shared" si="10"/>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1</v>
      </c>
      <c r="O264" s="399">
        <f t="shared" si="9"/>
        <v>1</v>
      </c>
      <c r="P264" s="337">
        <v>47</v>
      </c>
      <c r="Q264" s="399">
        <f t="shared" si="10"/>
        <v>1</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f t="shared" si="9"/>
        <v>0</v>
      </c>
      <c r="P265" s="337">
        <v>0</v>
      </c>
      <c r="Q265" s="399">
        <f t="shared" si="10"/>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f t="shared" si="9"/>
        <v>0</v>
      </c>
      <c r="P266" s="337">
        <v>0</v>
      </c>
      <c r="Q266" s="399">
        <f t="shared" si="10"/>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f t="shared" si="9"/>
        <v>0</v>
      </c>
      <c r="P267" s="337">
        <v>0</v>
      </c>
      <c r="Q267" s="399">
        <f t="shared" si="10"/>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f t="shared" si="9"/>
        <v>0</v>
      </c>
      <c r="P268" s="337">
        <v>0</v>
      </c>
      <c r="Q268" s="399">
        <f t="shared" si="10"/>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1</v>
      </c>
      <c r="O270" s="399">
        <f>SUM(O261:O268)</f>
        <v>1</v>
      </c>
      <c r="P270" s="337">
        <f>SUM(P261:P268)</f>
        <v>47</v>
      </c>
      <c r="Q270" s="399">
        <f>SUM(Q261:Q268)</f>
        <v>1</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3495</v>
      </c>
      <c r="O272" s="399"/>
      <c r="P272" s="407">
        <f>+P270+P258+P246</f>
        <v>414445</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SEPTEMBER 2014</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7"/>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9.36328125" style="1" customWidth="1"/>
    <col min="5" max="5" width="2.08984375" style="1" customWidth="1"/>
    <col min="6" max="6" width="35.54296875" style="1" customWidth="1"/>
    <col min="7" max="7" width="5.08984375" style="1" customWidth="1"/>
    <col min="8" max="8" width="27.63281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t="s">
        <v>246</v>
      </c>
      <c r="I9" s="8"/>
      <c r="J9" s="8"/>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0.8266</v>
      </c>
      <c r="P16" s="17" t="s">
        <v>161</v>
      </c>
      <c r="Q16" s="140">
        <v>0.1734</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38735</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35383.9</v>
      </c>
      <c r="E31" s="32"/>
      <c r="F31" s="125">
        <f>F37*F30</f>
        <v>233552.55</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30361.35</v>
      </c>
      <c r="E32" s="36"/>
      <c r="F32" s="126">
        <f>F36*F30</f>
        <v>200410.31999999998</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35383.9</v>
      </c>
      <c r="E34" s="32"/>
      <c r="F34" s="31">
        <f>+F31*0.696969697</f>
        <v>162779.05000707734</v>
      </c>
      <c r="G34" s="31"/>
      <c r="H34" s="31">
        <v>305000</v>
      </c>
      <c r="I34" s="31"/>
      <c r="J34" s="31">
        <v>315000</v>
      </c>
      <c r="K34" s="31"/>
      <c r="L34" s="31">
        <v>65000</v>
      </c>
      <c r="M34" s="31"/>
      <c r="N34" s="31">
        <v>35000</v>
      </c>
      <c r="O34" s="31"/>
      <c r="P34" s="31"/>
      <c r="Q34" s="147"/>
      <c r="R34" s="31">
        <f>SUM(C34:N34)</f>
        <v>918162.95000707731</v>
      </c>
      <c r="S34" s="34"/>
      <c r="T34" s="5"/>
    </row>
    <row r="35" spans="1:20" ht="15.6" x14ac:dyDescent="0.3">
      <c r="A35" s="28"/>
      <c r="B35" s="29" t="s">
        <v>287</v>
      </c>
      <c r="C35" s="36"/>
      <c r="D35" s="35">
        <f>D36*D33</f>
        <v>30361.35</v>
      </c>
      <c r="E35" s="36"/>
      <c r="F35" s="35">
        <f>F36*F33</f>
        <v>139679.91999999998</v>
      </c>
      <c r="G35" s="35"/>
      <c r="H35" s="35">
        <v>305000</v>
      </c>
      <c r="I35" s="35"/>
      <c r="J35" s="35">
        <v>315000</v>
      </c>
      <c r="K35" s="35"/>
      <c r="L35" s="35">
        <v>65000</v>
      </c>
      <c r="M35" s="35"/>
      <c r="N35" s="35">
        <v>35000</v>
      </c>
      <c r="O35" s="35"/>
      <c r="P35" s="35"/>
      <c r="Q35" s="37"/>
      <c r="R35" s="35">
        <f>SUM(C35:N35)</f>
        <v>890041.27</v>
      </c>
      <c r="S35" s="34"/>
      <c r="T35" s="5"/>
    </row>
    <row r="36" spans="1:20" ht="15.6" x14ac:dyDescent="0.3">
      <c r="A36" s="28"/>
      <c r="B36" s="123" t="s">
        <v>149</v>
      </c>
      <c r="C36" s="127"/>
      <c r="D36" s="138">
        <v>0.60722699999999996</v>
      </c>
      <c r="E36" s="139"/>
      <c r="F36" s="138">
        <v>0.60730399999999995</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0.70767800000000003</v>
      </c>
      <c r="E37" s="139"/>
      <c r="F37" s="138">
        <v>0.707735</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4.6899999999999997E-2</v>
      </c>
      <c r="E39" s="25"/>
      <c r="F39" s="38">
        <v>2.2950000000000002E-2</v>
      </c>
      <c r="G39" s="39"/>
      <c r="H39" s="38">
        <v>4.7699999999999999E-2</v>
      </c>
      <c r="I39" s="39"/>
      <c r="J39" s="38">
        <v>2.3650000000000001E-2</v>
      </c>
      <c r="K39" s="39"/>
      <c r="L39" s="38">
        <v>5.2299999999999999E-2</v>
      </c>
      <c r="M39" s="39"/>
      <c r="N39" s="38">
        <v>2.785E-2</v>
      </c>
      <c r="O39" s="39"/>
      <c r="P39" s="38"/>
      <c r="Q39" s="146"/>
      <c r="R39" s="39"/>
      <c r="S39" s="25"/>
      <c r="T39" s="5"/>
    </row>
    <row r="40" spans="1:20" ht="15.6" x14ac:dyDescent="0.3">
      <c r="A40" s="24"/>
      <c r="B40" s="25" t="s">
        <v>14</v>
      </c>
      <c r="C40" s="25"/>
      <c r="D40" s="38">
        <v>4.7699999999999999E-2</v>
      </c>
      <c r="E40" s="25"/>
      <c r="F40" s="38">
        <v>2.2290000000000001E-2</v>
      </c>
      <c r="G40" s="39"/>
      <c r="H40" s="38">
        <v>4.8500000000000001E-2</v>
      </c>
      <c r="I40" s="39"/>
      <c r="J40" s="38">
        <v>2.299E-2</v>
      </c>
      <c r="K40" s="39"/>
      <c r="L40" s="38">
        <v>5.3100000000000001E-2</v>
      </c>
      <c r="M40" s="39"/>
      <c r="N40" s="38">
        <v>2.7189999999999999E-2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4.6899999999999997E-2</v>
      </c>
      <c r="E42" s="25"/>
      <c r="F42" s="38">
        <v>4.7113000000000002E-2</v>
      </c>
      <c r="G42" s="39"/>
      <c r="H42" s="38">
        <f>+H39</f>
        <v>4.7699999999999999E-2</v>
      </c>
      <c r="I42" s="39"/>
      <c r="J42" s="38">
        <v>4.8098000000000002E-2</v>
      </c>
      <c r="K42" s="39"/>
      <c r="L42" s="38">
        <f>+L39</f>
        <v>5.2299999999999999E-2</v>
      </c>
      <c r="M42" s="39"/>
      <c r="N42" s="38">
        <v>5.2677000000000002E-2</v>
      </c>
      <c r="O42" s="39"/>
      <c r="P42" s="38"/>
      <c r="Q42" s="146"/>
      <c r="R42" s="39">
        <f>SUMPRODUCT(D42:N42,D34:N34)/R34</f>
        <v>4.8217017788228317E-2</v>
      </c>
      <c r="S42" s="25"/>
      <c r="T42" s="5"/>
    </row>
    <row r="43" spans="1:20" ht="15.6" x14ac:dyDescent="0.3">
      <c r="A43" s="24"/>
      <c r="B43" s="25" t="s">
        <v>290</v>
      </c>
      <c r="C43" s="25"/>
      <c r="D43" s="38">
        <f>+D40</f>
        <v>4.7699999999999999E-2</v>
      </c>
      <c r="E43" s="25"/>
      <c r="F43" s="38">
        <v>4.7912999999999997E-2</v>
      </c>
      <c r="G43" s="39"/>
      <c r="H43" s="38">
        <f>+H40</f>
        <v>4.8500000000000001E-2</v>
      </c>
      <c r="I43" s="39"/>
      <c r="J43" s="38">
        <v>4.8897999999999997E-2</v>
      </c>
      <c r="K43" s="39"/>
      <c r="L43" s="38">
        <f>+L40</f>
        <v>5.3100000000000001E-2</v>
      </c>
      <c r="M43" s="39"/>
      <c r="N43" s="38">
        <v>5.3476999999999997E-2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0.12657566610412643</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38733</v>
      </c>
      <c r="S54" s="25"/>
      <c r="T54" s="5"/>
    </row>
    <row r="55" spans="1:21" ht="15.6" x14ac:dyDescent="0.3">
      <c r="A55" s="24"/>
      <c r="B55" s="25" t="s">
        <v>140</v>
      </c>
      <c r="C55" s="25"/>
      <c r="D55" s="25"/>
      <c r="E55" s="25"/>
      <c r="F55" s="25"/>
      <c r="G55" s="25"/>
      <c r="H55" s="58"/>
      <c r="I55" s="58"/>
      <c r="J55" s="58"/>
      <c r="K55" s="58"/>
      <c r="L55" s="58"/>
      <c r="M55" s="58"/>
      <c r="N55" s="25">
        <f>+R55-P55+1</f>
        <v>94</v>
      </c>
      <c r="O55" s="58"/>
      <c r="P55" s="45">
        <v>38548</v>
      </c>
      <c r="Q55" s="46"/>
      <c r="R55" s="45">
        <v>38641</v>
      </c>
      <c r="S55" s="25"/>
      <c r="T55" s="5"/>
    </row>
    <row r="56" spans="1:21" ht="15.6" x14ac:dyDescent="0.3">
      <c r="A56" s="24"/>
      <c r="B56" s="25" t="s">
        <v>141</v>
      </c>
      <c r="C56" s="25"/>
      <c r="D56" s="25"/>
      <c r="E56" s="25"/>
      <c r="F56" s="25"/>
      <c r="G56" s="25"/>
      <c r="H56" s="25"/>
      <c r="I56" s="25"/>
      <c r="J56" s="25"/>
      <c r="K56" s="25"/>
      <c r="L56" s="25"/>
      <c r="M56" s="25"/>
      <c r="N56" s="25">
        <f>+R56-P56+1</f>
        <v>91</v>
      </c>
      <c r="O56" s="25"/>
      <c r="P56" s="45">
        <v>38642</v>
      </c>
      <c r="Q56" s="46"/>
      <c r="R56" s="45">
        <v>38732</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38720</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251</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918163</v>
      </c>
      <c r="K67" s="34"/>
      <c r="L67" s="34">
        <f>28122+7118</f>
        <v>35240</v>
      </c>
      <c r="M67" s="34"/>
      <c r="N67" s="34">
        <v>7118</v>
      </c>
      <c r="O67" s="34"/>
      <c r="P67" s="34">
        <v>0</v>
      </c>
      <c r="Q67" s="34"/>
      <c r="R67" s="53">
        <f>+J67-L67+N67-P67</f>
        <v>890041</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918163</v>
      </c>
      <c r="K70" s="34"/>
      <c r="L70" s="34">
        <f>SUM(L67:L69)</f>
        <v>35240</v>
      </c>
      <c r="M70" s="34"/>
      <c r="N70" s="34">
        <f>SUM(N67:N69)</f>
        <v>7118</v>
      </c>
      <c r="O70" s="34"/>
      <c r="P70" s="34">
        <f>SUM(P67:P69)</f>
        <v>0</v>
      </c>
      <c r="Q70" s="34"/>
      <c r="R70" s="54">
        <f>SUM(R67:R69)</f>
        <v>890041</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918163</v>
      </c>
      <c r="K83" s="34"/>
      <c r="L83" s="34"/>
      <c r="M83" s="34"/>
      <c r="N83" s="34"/>
      <c r="O83" s="34"/>
      <c r="P83" s="54"/>
      <c r="Q83" s="34"/>
      <c r="R83" s="54">
        <f>SUM(R70:R82)</f>
        <v>890041</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+P187</f>
        <v>38716</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v>35240</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4629+799+4308+852+4471+747-2190-259</f>
        <v>13357</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218+14+123+23+121+30</f>
        <v>529</v>
      </c>
      <c r="S90" s="25"/>
      <c r="T90" s="5"/>
    </row>
    <row r="91" spans="1:20" ht="15.6" x14ac:dyDescent="0.3">
      <c r="A91" s="24"/>
      <c r="B91" s="25" t="s">
        <v>253</v>
      </c>
      <c r="C91" s="25"/>
      <c r="D91" s="25"/>
      <c r="E91" s="25"/>
      <c r="F91" s="25"/>
      <c r="G91" s="25"/>
      <c r="H91" s="40"/>
      <c r="I91" s="57"/>
      <c r="J91" s="128"/>
      <c r="K91" s="25"/>
      <c r="L91" s="25"/>
      <c r="M91" s="25"/>
      <c r="N91" s="25"/>
      <c r="O91" s="25"/>
      <c r="P91" s="34"/>
      <c r="Q91" s="25"/>
      <c r="R91" s="53">
        <f>358+99+219</f>
        <v>676</v>
      </c>
      <c r="S91" s="25"/>
      <c r="T91" s="5"/>
    </row>
    <row r="92" spans="1:20" ht="15.6" x14ac:dyDescent="0.3">
      <c r="A92" s="24"/>
      <c r="B92" s="25" t="s">
        <v>154</v>
      </c>
      <c r="C92" s="25"/>
      <c r="D92" s="25"/>
      <c r="E92" s="25"/>
      <c r="F92" s="25"/>
      <c r="G92" s="25"/>
      <c r="H92" s="25"/>
      <c r="I92" s="25"/>
      <c r="J92" s="25"/>
      <c r="K92" s="25"/>
      <c r="L92" s="25"/>
      <c r="M92" s="25"/>
      <c r="N92" s="25"/>
      <c r="O92" s="25"/>
      <c r="P92" s="34"/>
      <c r="Q92" s="25"/>
      <c r="R92" s="53">
        <v>0</v>
      </c>
      <c r="S92" s="25"/>
      <c r="T92" s="5"/>
    </row>
    <row r="93" spans="1:20" ht="15.6" x14ac:dyDescent="0.3">
      <c r="A93" s="24"/>
      <c r="B93" s="25" t="s">
        <v>199</v>
      </c>
      <c r="C93" s="25"/>
      <c r="D93" s="25"/>
      <c r="E93" s="25"/>
      <c r="F93" s="25"/>
      <c r="G93" s="25"/>
      <c r="H93" s="25"/>
      <c r="I93" s="25"/>
      <c r="J93" s="25"/>
      <c r="K93" s="25"/>
      <c r="L93" s="25"/>
      <c r="M93" s="25"/>
      <c r="N93" s="25"/>
      <c r="O93" s="25"/>
      <c r="P93" s="34"/>
      <c r="Q93" s="25"/>
      <c r="R93" s="53">
        <v>89</v>
      </c>
      <c r="S93" s="25"/>
      <c r="T93" s="5"/>
    </row>
    <row r="94" spans="1:20" ht="15.6" x14ac:dyDescent="0.3">
      <c r="A94" s="24"/>
      <c r="B94" s="25" t="s">
        <v>35</v>
      </c>
      <c r="C94" s="25"/>
      <c r="D94" s="25"/>
      <c r="E94" s="25"/>
      <c r="F94" s="25"/>
      <c r="G94" s="25"/>
      <c r="H94" s="25"/>
      <c r="I94" s="25"/>
      <c r="J94" s="25"/>
      <c r="K94" s="25"/>
      <c r="L94" s="25"/>
      <c r="M94" s="25"/>
      <c r="N94" s="25"/>
      <c r="O94" s="25"/>
      <c r="P94" s="34">
        <f>SUM(P87:P93)</f>
        <v>35240</v>
      </c>
      <c r="Q94" s="25"/>
      <c r="R94" s="54">
        <f>SUM(R87:R93)</f>
        <v>14651</v>
      </c>
      <c r="S94" s="25"/>
      <c r="T94" s="5"/>
    </row>
    <row r="95" spans="1:20" ht="15.6" x14ac:dyDescent="0.3">
      <c r="A95" s="24"/>
      <c r="B95" s="25" t="s">
        <v>235</v>
      </c>
      <c r="C95" s="25"/>
      <c r="D95" s="25"/>
      <c r="E95" s="25"/>
      <c r="F95" s="25"/>
      <c r="G95" s="25"/>
      <c r="H95" s="25"/>
      <c r="I95" s="25"/>
      <c r="J95" s="25"/>
      <c r="K95" s="25"/>
      <c r="L95" s="25"/>
      <c r="M95" s="25"/>
      <c r="N95" s="25"/>
      <c r="O95" s="25"/>
      <c r="P95" s="34">
        <v>-25</v>
      </c>
      <c r="Q95" s="25"/>
      <c r="R95" s="54">
        <f>-P95</f>
        <v>25</v>
      </c>
      <c r="S95" s="25"/>
      <c r="T95" s="5"/>
    </row>
    <row r="96" spans="1:20" ht="15.6" x14ac:dyDescent="0.3">
      <c r="A96" s="24"/>
      <c r="B96" s="25" t="s">
        <v>36</v>
      </c>
      <c r="C96" s="25"/>
      <c r="D96" s="25"/>
      <c r="E96" s="25"/>
      <c r="F96" s="25"/>
      <c r="G96" s="25"/>
      <c r="H96" s="25"/>
      <c r="I96" s="25"/>
      <c r="J96" s="25"/>
      <c r="K96" s="25"/>
      <c r="L96" s="25"/>
      <c r="M96" s="25"/>
      <c r="N96" s="25"/>
      <c r="O96" s="25"/>
      <c r="P96" s="34">
        <f>-R96</f>
        <v>0</v>
      </c>
      <c r="Q96" s="25"/>
      <c r="R96" s="53">
        <v>0</v>
      </c>
      <c r="S96" s="25"/>
      <c r="T96" s="5"/>
    </row>
    <row r="97" spans="1:21" ht="15.6" x14ac:dyDescent="0.3">
      <c r="A97" s="24"/>
      <c r="B97" s="25" t="s">
        <v>37</v>
      </c>
      <c r="C97" s="25"/>
      <c r="D97" s="25"/>
      <c r="E97" s="25"/>
      <c r="F97" s="25"/>
      <c r="G97" s="25"/>
      <c r="H97" s="25"/>
      <c r="I97" s="25"/>
      <c r="J97" s="25"/>
      <c r="K97" s="25"/>
      <c r="L97" s="25"/>
      <c r="M97" s="25"/>
      <c r="N97" s="25"/>
      <c r="O97" s="25"/>
      <c r="P97" s="34">
        <f>P94+P96+P95</f>
        <v>35215</v>
      </c>
      <c r="Q97" s="25"/>
      <c r="R97" s="54">
        <f>R94+R96+R95</f>
        <v>14676</v>
      </c>
      <c r="S97" s="25"/>
      <c r="T97" s="5"/>
    </row>
    <row r="98" spans="1:21" ht="15.6" x14ac:dyDescent="0.3">
      <c r="A98" s="24"/>
      <c r="B98" s="119" t="s">
        <v>38</v>
      </c>
      <c r="C98" s="25"/>
      <c r="D98" s="25"/>
      <c r="E98" s="25"/>
      <c r="F98" s="25"/>
      <c r="G98" s="25"/>
      <c r="H98" s="25"/>
      <c r="I98" s="25"/>
      <c r="J98" s="25"/>
      <c r="K98" s="25"/>
      <c r="L98" s="25"/>
      <c r="M98" s="25"/>
      <c r="N98" s="25"/>
      <c r="O98" s="25"/>
      <c r="P98" s="34"/>
      <c r="Q98" s="25"/>
      <c r="R98" s="53"/>
      <c r="S98" s="25"/>
      <c r="T98" s="5"/>
    </row>
    <row r="99" spans="1:21" ht="15.6" x14ac:dyDescent="0.3">
      <c r="A99" s="24">
        <v>1</v>
      </c>
      <c r="B99" s="25" t="s">
        <v>39</v>
      </c>
      <c r="C99" s="25"/>
      <c r="D99" s="25"/>
      <c r="E99" s="25"/>
      <c r="F99" s="25"/>
      <c r="G99" s="25"/>
      <c r="H99" s="25"/>
      <c r="I99" s="25"/>
      <c r="J99" s="25"/>
      <c r="K99" s="25"/>
      <c r="L99" s="25"/>
      <c r="M99" s="25"/>
      <c r="N99" s="25"/>
      <c r="O99" s="25"/>
      <c r="P99" s="25"/>
      <c r="Q99" s="25"/>
      <c r="R99" s="53">
        <v>0</v>
      </c>
      <c r="S99" s="25"/>
      <c r="T99" s="5"/>
    </row>
    <row r="100" spans="1:21" ht="15.6" x14ac:dyDescent="0.3">
      <c r="A100" s="24">
        <f>+A99+1</f>
        <v>2</v>
      </c>
      <c r="B100" s="25" t="s">
        <v>40</v>
      </c>
      <c r="C100" s="25"/>
      <c r="D100" s="25"/>
      <c r="E100" s="25"/>
      <c r="F100" s="25"/>
      <c r="G100" s="25"/>
      <c r="H100" s="25"/>
      <c r="I100" s="25"/>
      <c r="J100" s="25"/>
      <c r="K100" s="25"/>
      <c r="L100" s="25"/>
      <c r="M100" s="25"/>
      <c r="N100" s="25"/>
      <c r="O100" s="25"/>
      <c r="P100" s="25"/>
      <c r="Q100" s="25"/>
      <c r="R100" s="53">
        <v>-2</v>
      </c>
      <c r="S100" s="25"/>
      <c r="T100" s="5"/>
    </row>
    <row r="101" spans="1:21" ht="15.6" x14ac:dyDescent="0.3">
      <c r="A101" s="24">
        <f>+A100+1</f>
        <v>3</v>
      </c>
      <c r="B101" s="25" t="s">
        <v>174</v>
      </c>
      <c r="C101" s="25"/>
      <c r="D101" s="25"/>
      <c r="E101" s="25"/>
      <c r="F101" s="25"/>
      <c r="G101" s="25"/>
      <c r="H101" s="25"/>
      <c r="I101" s="25"/>
      <c r="J101" s="25"/>
      <c r="K101" s="25"/>
      <c r="L101" s="25"/>
      <c r="M101" s="25"/>
      <c r="N101" s="25"/>
      <c r="O101" s="25"/>
      <c r="P101" s="25"/>
      <c r="Q101" s="25"/>
      <c r="R101" s="53">
        <f>-229-42-17</f>
        <v>-288</v>
      </c>
      <c r="S101" s="25"/>
      <c r="T101" s="5"/>
    </row>
    <row r="102" spans="1:21" ht="15.6" x14ac:dyDescent="0.3">
      <c r="A102" s="24" t="s">
        <v>146</v>
      </c>
      <c r="B102" s="25" t="s">
        <v>131</v>
      </c>
      <c r="C102" s="25"/>
      <c r="D102" s="25"/>
      <c r="E102" s="25"/>
      <c r="F102" s="25"/>
      <c r="G102" s="25"/>
      <c r="H102" s="25"/>
      <c r="I102" s="25"/>
      <c r="J102" s="25"/>
      <c r="K102" s="25"/>
      <c r="L102" s="25"/>
      <c r="M102" s="25"/>
      <c r="N102" s="25"/>
      <c r="O102" s="25"/>
      <c r="P102" s="25"/>
      <c r="Q102" s="25"/>
      <c r="R102" s="53">
        <v>-349</v>
      </c>
      <c r="S102" s="25"/>
      <c r="T102" s="5"/>
    </row>
    <row r="103" spans="1:21" ht="15.6" x14ac:dyDescent="0.3">
      <c r="A103" s="24" t="s">
        <v>147</v>
      </c>
      <c r="B103" s="25" t="s">
        <v>218</v>
      </c>
      <c r="C103" s="25"/>
      <c r="D103" s="25"/>
      <c r="E103" s="25"/>
      <c r="F103" s="25"/>
      <c r="G103" s="25"/>
      <c r="H103" s="25"/>
      <c r="I103" s="25"/>
      <c r="J103" s="25"/>
      <c r="K103" s="25"/>
      <c r="L103" s="25"/>
      <c r="M103" s="25"/>
      <c r="N103" s="25"/>
      <c r="O103" s="25"/>
      <c r="P103" s="25"/>
      <c r="Q103" s="25"/>
      <c r="R103" s="53">
        <v>-2</v>
      </c>
      <c r="S103" s="25"/>
      <c r="T103" s="5"/>
    </row>
    <row r="104" spans="1:21" ht="15.6" x14ac:dyDescent="0.3">
      <c r="A104" s="24" t="s">
        <v>176</v>
      </c>
      <c r="B104" s="25" t="s">
        <v>230</v>
      </c>
      <c r="C104" s="25"/>
      <c r="D104" s="25"/>
      <c r="E104" s="25"/>
      <c r="F104" s="25"/>
      <c r="G104" s="25"/>
      <c r="H104" s="25"/>
      <c r="I104" s="25"/>
      <c r="J104" s="25"/>
      <c r="K104" s="25"/>
      <c r="L104" s="25"/>
      <c r="M104" s="25"/>
      <c r="N104" s="25"/>
      <c r="O104" s="25"/>
      <c r="P104" s="25"/>
      <c r="Q104" s="25"/>
      <c r="R104" s="53">
        <v>-413</v>
      </c>
      <c r="S104" s="25"/>
      <c r="T104" s="5"/>
      <c r="U104" s="110"/>
    </row>
    <row r="105" spans="1:21" ht="15.6" x14ac:dyDescent="0.3">
      <c r="A105" s="24" t="s">
        <v>177</v>
      </c>
      <c r="B105" s="25" t="s">
        <v>231</v>
      </c>
      <c r="C105" s="25"/>
      <c r="D105" s="25"/>
      <c r="E105" s="25"/>
      <c r="F105" s="25"/>
      <c r="G105" s="25"/>
      <c r="H105" s="25"/>
      <c r="I105" s="25"/>
      <c r="J105" s="25"/>
      <c r="K105" s="25"/>
      <c r="L105" s="25"/>
      <c r="M105" s="25"/>
      <c r="N105" s="25"/>
      <c r="O105" s="25"/>
      <c r="P105" s="25"/>
      <c r="Q105" s="25"/>
      <c r="R105" s="53">
        <v>-1912</v>
      </c>
      <c r="S105" s="25"/>
      <c r="T105" s="5"/>
      <c r="U105" s="110"/>
    </row>
    <row r="106" spans="1:21" ht="15.6" x14ac:dyDescent="0.3">
      <c r="A106" s="24" t="s">
        <v>248</v>
      </c>
      <c r="B106" s="25" t="s">
        <v>232</v>
      </c>
      <c r="C106" s="25"/>
      <c r="D106" s="25"/>
      <c r="E106" s="25"/>
      <c r="F106" s="25"/>
      <c r="G106" s="25"/>
      <c r="H106" s="25"/>
      <c r="I106" s="25"/>
      <c r="J106" s="25"/>
      <c r="K106" s="25"/>
      <c r="L106" s="25"/>
      <c r="M106" s="25"/>
      <c r="N106" s="25"/>
      <c r="O106" s="25"/>
      <c r="P106" s="25"/>
      <c r="Q106" s="25"/>
      <c r="R106" s="53">
        <v>-3628</v>
      </c>
      <c r="S106" s="25"/>
      <c r="T106" s="5"/>
    </row>
    <row r="107" spans="1:21" ht="15.6" x14ac:dyDescent="0.3">
      <c r="A107" s="24" t="s">
        <v>205</v>
      </c>
      <c r="B107" s="25" t="s">
        <v>233</v>
      </c>
      <c r="C107" s="25"/>
      <c r="D107" s="25"/>
      <c r="E107" s="25"/>
      <c r="F107" s="25"/>
      <c r="G107" s="25"/>
      <c r="H107" s="25"/>
      <c r="I107" s="25"/>
      <c r="J107" s="25"/>
      <c r="K107" s="25"/>
      <c r="L107" s="25"/>
      <c r="M107" s="25"/>
      <c r="N107" s="25"/>
      <c r="O107" s="25"/>
      <c r="P107" s="25"/>
      <c r="Q107" s="25"/>
      <c r="R107" s="53">
        <v>-3777</v>
      </c>
      <c r="S107" s="25"/>
      <c r="T107" s="5"/>
      <c r="U107" s="110"/>
    </row>
    <row r="108" spans="1:21" ht="15.6" x14ac:dyDescent="0.3">
      <c r="A108" s="24" t="s">
        <v>249</v>
      </c>
      <c r="B108" s="25" t="s">
        <v>234</v>
      </c>
      <c r="C108" s="25"/>
      <c r="D108" s="25"/>
      <c r="E108" s="25"/>
      <c r="F108" s="25"/>
      <c r="G108" s="25"/>
      <c r="H108" s="25"/>
      <c r="I108" s="25"/>
      <c r="J108" s="25"/>
      <c r="K108" s="25"/>
      <c r="L108" s="25"/>
      <c r="M108" s="25"/>
      <c r="N108" s="25"/>
      <c r="O108" s="25"/>
      <c r="P108" s="25"/>
      <c r="Q108" s="25"/>
      <c r="R108" s="53">
        <v>-847</v>
      </c>
      <c r="S108" s="25"/>
      <c r="T108" s="5"/>
      <c r="U108" s="110"/>
    </row>
    <row r="109" spans="1:21" ht="15.6" x14ac:dyDescent="0.3">
      <c r="A109" s="24" t="s">
        <v>250</v>
      </c>
      <c r="B109" s="25" t="s">
        <v>168</v>
      </c>
      <c r="C109" s="25"/>
      <c r="D109" s="25"/>
      <c r="E109" s="25"/>
      <c r="F109" s="25"/>
      <c r="G109" s="25"/>
      <c r="H109" s="25"/>
      <c r="I109" s="25"/>
      <c r="J109" s="25"/>
      <c r="K109" s="25"/>
      <c r="L109" s="25"/>
      <c r="M109" s="25"/>
      <c r="N109" s="25"/>
      <c r="O109" s="25"/>
      <c r="P109" s="25"/>
      <c r="Q109" s="25"/>
      <c r="R109" s="53">
        <v>-460</v>
      </c>
      <c r="S109" s="25"/>
      <c r="T109" s="5"/>
    </row>
    <row r="110" spans="1:21" ht="15.6" x14ac:dyDescent="0.3">
      <c r="A110" s="24">
        <v>6</v>
      </c>
      <c r="B110" s="25" t="s">
        <v>41</v>
      </c>
      <c r="C110" s="25"/>
      <c r="D110" s="25"/>
      <c r="E110" s="25"/>
      <c r="F110" s="25"/>
      <c r="G110" s="25"/>
      <c r="H110" s="25"/>
      <c r="I110" s="25"/>
      <c r="J110" s="25"/>
      <c r="K110" s="25"/>
      <c r="L110" s="25"/>
      <c r="M110" s="25"/>
      <c r="N110" s="25"/>
      <c r="O110" s="25"/>
      <c r="P110" s="25"/>
      <c r="Q110" s="25"/>
      <c r="R110" s="53">
        <v>-8</v>
      </c>
      <c r="S110" s="25"/>
      <c r="T110" s="5"/>
    </row>
    <row r="111" spans="1:21" ht="15.6" x14ac:dyDescent="0.3">
      <c r="A111" s="24">
        <f t="shared" ref="A111:A116" si="0">+A110+1</f>
        <v>7</v>
      </c>
      <c r="B111" s="25" t="s">
        <v>53</v>
      </c>
      <c r="C111" s="25"/>
      <c r="D111" s="25"/>
      <c r="E111" s="25"/>
      <c r="F111" s="25"/>
      <c r="G111" s="25"/>
      <c r="H111" s="25"/>
      <c r="I111" s="25"/>
      <c r="J111" s="25"/>
      <c r="K111" s="25"/>
      <c r="L111" s="25"/>
      <c r="M111" s="25"/>
      <c r="N111" s="25"/>
      <c r="O111" s="25"/>
      <c r="P111" s="25"/>
      <c r="Q111" s="25"/>
      <c r="R111" s="53">
        <v>0</v>
      </c>
      <c r="S111" s="25"/>
      <c r="T111" s="5"/>
    </row>
    <row r="112" spans="1:21" ht="15.6" x14ac:dyDescent="0.3">
      <c r="A112" s="24">
        <f t="shared" si="0"/>
        <v>8</v>
      </c>
      <c r="B112" s="25" t="s">
        <v>144</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9</v>
      </c>
      <c r="B113" s="25" t="s">
        <v>42</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10</v>
      </c>
      <c r="B114" s="25" t="s">
        <v>43</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11</v>
      </c>
      <c r="B115" s="25" t="s">
        <v>175</v>
      </c>
      <c r="C115" s="25"/>
      <c r="D115" s="25"/>
      <c r="E115" s="25"/>
      <c r="F115" s="25"/>
      <c r="G115" s="25"/>
      <c r="H115" s="25"/>
      <c r="I115" s="25"/>
      <c r="J115" s="25"/>
      <c r="K115" s="25"/>
      <c r="L115" s="25"/>
      <c r="M115" s="25"/>
      <c r="N115" s="25"/>
      <c r="O115" s="25"/>
      <c r="P115" s="25"/>
      <c r="Q115" s="25"/>
      <c r="R115" s="53">
        <v>-465</v>
      </c>
      <c r="S115" s="25"/>
      <c r="T115" s="5"/>
    </row>
    <row r="116" spans="1:20" ht="15.6" x14ac:dyDescent="0.3">
      <c r="A116" s="24">
        <f t="shared" si="0"/>
        <v>12</v>
      </c>
      <c r="B116" s="25" t="s">
        <v>145</v>
      </c>
      <c r="C116" s="25"/>
      <c r="D116" s="25"/>
      <c r="E116" s="25"/>
      <c r="F116" s="25"/>
      <c r="G116" s="25"/>
      <c r="H116" s="25"/>
      <c r="I116" s="25"/>
      <c r="J116" s="25"/>
      <c r="K116" s="25"/>
      <c r="L116" s="25"/>
      <c r="M116" s="25"/>
      <c r="N116" s="25"/>
      <c r="O116" s="25"/>
      <c r="P116" s="25"/>
      <c r="Q116" s="25"/>
      <c r="R116" s="53">
        <f>-R97-SUM(R99:R115)</f>
        <v>-2525</v>
      </c>
      <c r="S116" s="25"/>
      <c r="T116" s="5"/>
    </row>
    <row r="117" spans="1:20" ht="15.6" x14ac:dyDescent="0.3">
      <c r="A117" s="24"/>
      <c r="B117" s="119" t="s">
        <v>44</v>
      </c>
      <c r="C117" s="25"/>
      <c r="D117" s="25"/>
      <c r="E117" s="25"/>
      <c r="F117" s="25"/>
      <c r="G117" s="25"/>
      <c r="H117" s="25"/>
      <c r="I117" s="25"/>
      <c r="J117" s="25"/>
      <c r="K117" s="25"/>
      <c r="L117" s="25"/>
      <c r="M117" s="25"/>
      <c r="N117" s="25"/>
      <c r="O117" s="25"/>
      <c r="P117" s="25"/>
      <c r="Q117" s="25"/>
      <c r="R117" s="59"/>
      <c r="S117" s="25"/>
      <c r="T117" s="5"/>
    </row>
    <row r="118" spans="1:20" ht="15.6" x14ac:dyDescent="0.3">
      <c r="A118" s="24"/>
      <c r="B118" s="25" t="s">
        <v>45</v>
      </c>
      <c r="C118" s="25"/>
      <c r="D118" s="25"/>
      <c r="E118" s="25"/>
      <c r="F118" s="25"/>
      <c r="G118" s="25"/>
      <c r="H118" s="25"/>
      <c r="I118" s="25"/>
      <c r="J118" s="25"/>
      <c r="K118" s="25"/>
      <c r="L118" s="25"/>
      <c r="M118" s="25"/>
      <c r="N118" s="25"/>
      <c r="O118" s="25"/>
      <c r="P118" s="34">
        <v>-727</v>
      </c>
      <c r="Q118" s="34"/>
      <c r="R118" s="53"/>
      <c r="S118" s="25"/>
      <c r="T118" s="5"/>
    </row>
    <row r="119" spans="1:20" ht="15.6" x14ac:dyDescent="0.3">
      <c r="A119" s="24"/>
      <c r="B119" s="25" t="s">
        <v>46</v>
      </c>
      <c r="C119" s="25"/>
      <c r="D119" s="25"/>
      <c r="E119" s="25"/>
      <c r="F119" s="25"/>
      <c r="G119" s="25"/>
      <c r="H119" s="25"/>
      <c r="I119" s="25"/>
      <c r="J119" s="25"/>
      <c r="K119" s="25"/>
      <c r="L119" s="25"/>
      <c r="M119" s="25"/>
      <c r="N119" s="25"/>
      <c r="O119" s="25"/>
      <c r="P119" s="34">
        <f>-O173</f>
        <v>-6366</v>
      </c>
      <c r="Q119" s="34"/>
      <c r="R119" s="53"/>
      <c r="S119" s="25"/>
      <c r="T119" s="5"/>
    </row>
    <row r="120" spans="1:20" ht="15.6" x14ac:dyDescent="0.3">
      <c r="A120" s="24"/>
      <c r="B120" s="25" t="s">
        <v>219</v>
      </c>
      <c r="C120" s="25"/>
      <c r="D120" s="25"/>
      <c r="E120" s="25"/>
      <c r="F120" s="25"/>
      <c r="G120" s="25"/>
      <c r="H120" s="25"/>
      <c r="I120" s="25"/>
      <c r="J120" s="25"/>
      <c r="K120" s="25"/>
      <c r="L120" s="25"/>
      <c r="M120" s="25"/>
      <c r="N120" s="25"/>
      <c r="O120" s="25"/>
      <c r="P120" s="34">
        <v>-5023</v>
      </c>
      <c r="Q120" s="34"/>
      <c r="R120" s="53"/>
      <c r="S120" s="25"/>
      <c r="T120" s="5"/>
    </row>
    <row r="121" spans="1:20" ht="15.6" x14ac:dyDescent="0.3">
      <c r="A121" s="24"/>
      <c r="B121" s="25" t="s">
        <v>220</v>
      </c>
      <c r="C121" s="25"/>
      <c r="D121" s="25"/>
      <c r="E121" s="25"/>
      <c r="F121" s="25"/>
      <c r="G121" s="25"/>
      <c r="H121" s="25"/>
      <c r="I121" s="25"/>
      <c r="J121" s="25"/>
      <c r="K121" s="25"/>
      <c r="L121" s="25"/>
      <c r="M121" s="25"/>
      <c r="N121" s="25"/>
      <c r="O121" s="25"/>
      <c r="P121" s="34">
        <v>-23099</v>
      </c>
      <c r="Q121" s="34"/>
      <c r="R121" s="53"/>
      <c r="S121" s="25"/>
      <c r="T121" s="5"/>
    </row>
    <row r="122" spans="1:20" ht="15.6" x14ac:dyDescent="0.3">
      <c r="A122" s="24"/>
      <c r="B122" s="25" t="s">
        <v>221</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222</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223</v>
      </c>
      <c r="C124" s="25"/>
      <c r="D124" s="25"/>
      <c r="E124" s="25"/>
      <c r="F124" s="25"/>
      <c r="G124" s="25"/>
      <c r="H124" s="25"/>
      <c r="I124" s="25"/>
      <c r="J124" s="25"/>
      <c r="K124" s="25"/>
      <c r="L124" s="25"/>
      <c r="M124" s="25"/>
      <c r="N124" s="25"/>
      <c r="O124" s="25"/>
      <c r="P124" s="34">
        <v>0</v>
      </c>
      <c r="Q124" s="34"/>
      <c r="R124" s="53"/>
      <c r="S124" s="25"/>
      <c r="T124" s="5"/>
    </row>
    <row r="125" spans="1:20" ht="15.6" x14ac:dyDescent="0.3">
      <c r="A125" s="24"/>
      <c r="B125" s="25" t="s">
        <v>173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47</v>
      </c>
      <c r="C126" s="25"/>
      <c r="D126" s="25"/>
      <c r="E126" s="25"/>
      <c r="F126" s="25"/>
      <c r="G126" s="25"/>
      <c r="H126" s="25"/>
      <c r="I126" s="25"/>
      <c r="J126" s="25"/>
      <c r="K126" s="25"/>
      <c r="L126" s="25"/>
      <c r="M126" s="25"/>
      <c r="N126" s="25"/>
      <c r="O126" s="25"/>
      <c r="P126" s="34">
        <f>SUM(P118:P125)</f>
        <v>-35215</v>
      </c>
      <c r="Q126" s="34"/>
      <c r="R126" s="34">
        <f>SUM(R98:R125)</f>
        <v>-14676</v>
      </c>
      <c r="S126" s="25"/>
      <c r="T126" s="5"/>
    </row>
    <row r="127" spans="1:20" ht="15.6" x14ac:dyDescent="0.3">
      <c r="A127" s="24"/>
      <c r="B127" s="25" t="s">
        <v>48</v>
      </c>
      <c r="C127" s="25"/>
      <c r="D127" s="25"/>
      <c r="E127" s="25"/>
      <c r="F127" s="25"/>
      <c r="G127" s="25"/>
      <c r="H127" s="25"/>
      <c r="I127" s="25"/>
      <c r="J127" s="25"/>
      <c r="K127" s="25"/>
      <c r="L127" s="25"/>
      <c r="M127" s="25"/>
      <c r="N127" s="25"/>
      <c r="O127" s="25"/>
      <c r="P127" s="34">
        <f>P97+P126</f>
        <v>0</v>
      </c>
      <c r="Q127" s="34"/>
      <c r="R127" s="34">
        <f>R97+R126</f>
        <v>0</v>
      </c>
      <c r="S127" s="25"/>
      <c r="T127" s="5"/>
    </row>
    <row r="128" spans="1:20" ht="15.6" x14ac:dyDescent="0.3">
      <c r="A128" s="24"/>
      <c r="B128" s="25"/>
      <c r="C128" s="25"/>
      <c r="D128" s="25"/>
      <c r="E128" s="25"/>
      <c r="F128" s="25"/>
      <c r="G128" s="25"/>
      <c r="H128" s="25"/>
      <c r="I128" s="25"/>
      <c r="J128" s="25"/>
      <c r="K128" s="25"/>
      <c r="L128" s="25"/>
      <c r="M128" s="25"/>
      <c r="N128" s="25"/>
      <c r="O128" s="25"/>
      <c r="P128" s="34"/>
      <c r="Q128" s="34"/>
      <c r="R128" s="34"/>
      <c r="S128" s="25"/>
      <c r="T128" s="5"/>
    </row>
    <row r="129" spans="1:21" ht="15.6" x14ac:dyDescent="0.3">
      <c r="A129" s="6"/>
      <c r="B129" s="8"/>
      <c r="C129" s="8"/>
      <c r="D129" s="8"/>
      <c r="E129" s="8"/>
      <c r="F129" s="8"/>
      <c r="G129" s="8"/>
      <c r="H129" s="8"/>
      <c r="I129" s="8"/>
      <c r="J129" s="8"/>
      <c r="K129" s="8"/>
      <c r="L129" s="8"/>
      <c r="M129" s="8"/>
      <c r="N129" s="8"/>
      <c r="O129" s="8"/>
      <c r="P129" s="8"/>
      <c r="Q129" s="8"/>
      <c r="R129" s="52"/>
      <c r="S129" s="8"/>
      <c r="T129" s="5"/>
    </row>
    <row r="130" spans="1:21" ht="18" thickBot="1" x14ac:dyDescent="0.35">
      <c r="A130" s="102"/>
      <c r="B130" s="103" t="str">
        <f>B62</f>
        <v>PM8 INVESTOR REPORT QUARTER ENDING DECEMBER 2005</v>
      </c>
      <c r="C130" s="104"/>
      <c r="D130" s="104"/>
      <c r="E130" s="104"/>
      <c r="F130" s="104"/>
      <c r="G130" s="104"/>
      <c r="H130" s="104"/>
      <c r="I130" s="104"/>
      <c r="J130" s="104"/>
      <c r="K130" s="104"/>
      <c r="L130" s="104"/>
      <c r="M130" s="104"/>
      <c r="N130" s="104"/>
      <c r="O130" s="104"/>
      <c r="P130" s="104"/>
      <c r="Q130" s="104"/>
      <c r="R130" s="107"/>
      <c r="S130" s="106"/>
      <c r="T130" s="5"/>
    </row>
    <row r="131" spans="1:21" ht="15.6" x14ac:dyDescent="0.3">
      <c r="A131" s="2"/>
      <c r="B131" s="60" t="s">
        <v>49</v>
      </c>
      <c r="C131" s="4"/>
      <c r="D131" s="4"/>
      <c r="E131" s="4"/>
      <c r="F131" s="4"/>
      <c r="G131" s="4"/>
      <c r="H131" s="4"/>
      <c r="I131" s="4"/>
      <c r="J131" s="4"/>
      <c r="K131" s="4"/>
      <c r="L131" s="4"/>
      <c r="M131" s="4"/>
      <c r="N131" s="4"/>
      <c r="O131" s="4"/>
      <c r="P131" s="4"/>
      <c r="Q131" s="4"/>
      <c r="R131" s="50"/>
      <c r="S131" s="4"/>
      <c r="T131" s="5"/>
    </row>
    <row r="132" spans="1:21" ht="15.6" x14ac:dyDescent="0.3">
      <c r="A132" s="6"/>
      <c r="B132" s="21"/>
      <c r="C132" s="8"/>
      <c r="D132" s="8"/>
      <c r="E132" s="8"/>
      <c r="F132" s="8"/>
      <c r="G132" s="8"/>
      <c r="H132" s="8"/>
      <c r="I132" s="8"/>
      <c r="J132" s="8"/>
      <c r="K132" s="8"/>
      <c r="L132" s="8"/>
      <c r="M132" s="8"/>
      <c r="N132" s="8"/>
      <c r="O132" s="8"/>
      <c r="P132" s="8"/>
      <c r="Q132" s="8"/>
      <c r="R132" s="52"/>
      <c r="S132" s="8"/>
      <c r="T132" s="5"/>
    </row>
    <row r="133" spans="1:21" ht="15.6" x14ac:dyDescent="0.3">
      <c r="A133" s="6"/>
      <c r="B133" s="120" t="s">
        <v>50</v>
      </c>
      <c r="C133" s="8"/>
      <c r="D133" s="8"/>
      <c r="E133" s="8"/>
      <c r="F133" s="8"/>
      <c r="G133" s="8"/>
      <c r="H133" s="8"/>
      <c r="I133" s="8"/>
      <c r="J133" s="8"/>
      <c r="K133" s="8"/>
      <c r="L133" s="8"/>
      <c r="M133" s="8"/>
      <c r="N133" s="8"/>
      <c r="O133" s="8"/>
      <c r="P133" s="8"/>
      <c r="Q133" s="8"/>
      <c r="R133" s="52"/>
      <c r="S133" s="8"/>
      <c r="T133" s="5"/>
    </row>
    <row r="134" spans="1:21" ht="15.6" x14ac:dyDescent="0.3">
      <c r="A134" s="24"/>
      <c r="B134" s="25" t="s">
        <v>51</v>
      </c>
      <c r="C134" s="25"/>
      <c r="D134" s="25"/>
      <c r="E134" s="25"/>
      <c r="F134" s="25"/>
      <c r="G134" s="25"/>
      <c r="H134" s="25"/>
      <c r="I134" s="25"/>
      <c r="J134" s="25"/>
      <c r="K134" s="25"/>
      <c r="L134" s="25"/>
      <c r="M134" s="25"/>
      <c r="N134" s="25"/>
      <c r="O134" s="25"/>
      <c r="P134" s="25"/>
      <c r="Q134" s="25"/>
      <c r="R134" s="53">
        <f>+R33*0.019</f>
        <v>19000</v>
      </c>
      <c r="S134" s="25"/>
      <c r="T134" s="5"/>
    </row>
    <row r="135" spans="1:21" ht="15.6" x14ac:dyDescent="0.3">
      <c r="A135" s="24"/>
      <c r="B135" s="25" t="s">
        <v>52</v>
      </c>
      <c r="C135" s="25"/>
      <c r="D135" s="25"/>
      <c r="E135" s="25"/>
      <c r="F135" s="25"/>
      <c r="G135" s="25"/>
      <c r="H135" s="25"/>
      <c r="I135" s="25"/>
      <c r="J135" s="25"/>
      <c r="K135" s="25"/>
      <c r="L135" s="25"/>
      <c r="M135" s="25"/>
      <c r="N135" s="25"/>
      <c r="O135" s="25"/>
      <c r="P135" s="25"/>
      <c r="Q135" s="25"/>
      <c r="R135" s="53">
        <v>0</v>
      </c>
      <c r="S135" s="25"/>
      <c r="T135" s="5"/>
    </row>
    <row r="136" spans="1:21" ht="15.6" x14ac:dyDescent="0.3">
      <c r="A136" s="24"/>
      <c r="B136" s="25" t="s">
        <v>155</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142</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143</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53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148</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203</v>
      </c>
      <c r="C141" s="25"/>
      <c r="D141" s="25"/>
      <c r="E141" s="25"/>
      <c r="F141" s="25"/>
      <c r="G141" s="25"/>
      <c r="H141" s="25"/>
      <c r="I141" s="25"/>
      <c r="J141" s="25"/>
      <c r="K141" s="25"/>
      <c r="L141" s="25"/>
      <c r="M141" s="25"/>
      <c r="N141" s="25"/>
      <c r="O141" s="25"/>
      <c r="P141" s="25"/>
      <c r="Q141" s="25"/>
      <c r="R141" s="53">
        <v>0</v>
      </c>
      <c r="S141" s="25"/>
      <c r="T141" s="5"/>
      <c r="U141" s="110"/>
    </row>
    <row r="142" spans="1:21" ht="15.6" x14ac:dyDescent="0.3">
      <c r="A142" s="24"/>
      <c r="B142" s="25" t="s">
        <v>54</v>
      </c>
      <c r="C142" s="25"/>
      <c r="D142" s="25"/>
      <c r="E142" s="25"/>
      <c r="F142" s="25"/>
      <c r="G142" s="25"/>
      <c r="H142" s="25"/>
      <c r="I142" s="25"/>
      <c r="J142" s="25"/>
      <c r="K142" s="25"/>
      <c r="L142" s="25"/>
      <c r="M142" s="25"/>
      <c r="N142" s="25"/>
      <c r="O142" s="25"/>
      <c r="P142" s="25"/>
      <c r="Q142" s="25"/>
      <c r="R142" s="53">
        <f>SUM(R134:R141)</f>
        <v>19000</v>
      </c>
      <c r="S142" s="25"/>
      <c r="T142" s="5"/>
    </row>
    <row r="143" spans="1:21" ht="15.6" x14ac:dyDescent="0.3">
      <c r="A143" s="24"/>
      <c r="B143" s="25"/>
      <c r="C143" s="25"/>
      <c r="D143" s="25"/>
      <c r="E143" s="25"/>
      <c r="F143" s="25"/>
      <c r="G143" s="25"/>
      <c r="H143" s="25"/>
      <c r="I143" s="25"/>
      <c r="J143" s="25"/>
      <c r="K143" s="25"/>
      <c r="L143" s="25"/>
      <c r="M143" s="25"/>
      <c r="N143" s="25"/>
      <c r="O143" s="25"/>
      <c r="P143" s="25"/>
      <c r="Q143" s="25"/>
      <c r="R143" s="53"/>
      <c r="S143" s="25"/>
      <c r="T143" s="5"/>
    </row>
    <row r="144" spans="1:21" ht="15.6" x14ac:dyDescent="0.3">
      <c r="A144" s="24"/>
      <c r="B144" s="141" t="s">
        <v>264</v>
      </c>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25" t="s">
        <v>206</v>
      </c>
      <c r="C145" s="25"/>
      <c r="D145" s="25"/>
      <c r="E145" s="25"/>
      <c r="F145" s="25"/>
      <c r="G145" s="25"/>
      <c r="H145" s="25"/>
      <c r="I145" s="25"/>
      <c r="J145" s="25"/>
      <c r="K145" s="25"/>
      <c r="L145" s="25"/>
      <c r="M145" s="25"/>
      <c r="N145" s="25"/>
      <c r="O145" s="25"/>
      <c r="P145" s="25"/>
      <c r="Q145" s="25"/>
      <c r="R145" s="53">
        <f>+R33*0.005</f>
        <v>5000</v>
      </c>
      <c r="S145" s="25"/>
      <c r="T145" s="5"/>
    </row>
    <row r="146" spans="1:20" ht="15.6" x14ac:dyDescent="0.3">
      <c r="A146" s="24"/>
      <c r="B146" s="25" t="s">
        <v>260</v>
      </c>
      <c r="C146" s="25"/>
      <c r="D146" s="25"/>
      <c r="E146" s="25"/>
      <c r="F146" s="25"/>
      <c r="G146" s="25"/>
      <c r="H146" s="25"/>
      <c r="I146" s="25"/>
      <c r="J146" s="25"/>
      <c r="K146" s="25"/>
      <c r="L146" s="25"/>
      <c r="M146" s="25"/>
      <c r="N146" s="25"/>
      <c r="O146" s="25"/>
      <c r="P146" s="25"/>
      <c r="Q146" s="25"/>
      <c r="R146" s="53">
        <v>0</v>
      </c>
      <c r="S146" s="25"/>
      <c r="T146" s="5"/>
    </row>
    <row r="147" spans="1:20" ht="15.6" x14ac:dyDescent="0.3">
      <c r="A147" s="24"/>
      <c r="B147" s="25" t="s">
        <v>207</v>
      </c>
      <c r="C147" s="25"/>
      <c r="D147" s="25"/>
      <c r="E147" s="25"/>
      <c r="F147" s="25"/>
      <c r="G147" s="25"/>
      <c r="H147" s="25"/>
      <c r="I147" s="25"/>
      <c r="J147" s="25"/>
      <c r="K147" s="25"/>
      <c r="L147" s="25"/>
      <c r="M147" s="25"/>
      <c r="N147" s="25"/>
      <c r="O147" s="25"/>
      <c r="P147" s="25"/>
      <c r="Q147" s="25"/>
      <c r="R147" s="53">
        <f>SUM(R145:R146)</f>
        <v>5000</v>
      </c>
      <c r="S147" s="25"/>
      <c r="T147" s="5"/>
    </row>
    <row r="148" spans="1:20" ht="15.6" x14ac:dyDescent="0.3">
      <c r="A148" s="24"/>
      <c r="B148" s="25"/>
      <c r="C148" s="25"/>
      <c r="D148" s="25"/>
      <c r="E148" s="25"/>
      <c r="F148" s="25"/>
      <c r="G148" s="25"/>
      <c r="H148" s="25"/>
      <c r="I148" s="25"/>
      <c r="J148" s="25"/>
      <c r="K148" s="25"/>
      <c r="L148" s="25"/>
      <c r="M148" s="25"/>
      <c r="N148" s="25"/>
      <c r="O148" s="25"/>
      <c r="P148" s="25"/>
      <c r="Q148" s="25"/>
      <c r="R148" s="53"/>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61"/>
      <c r="S149" s="25"/>
      <c r="T149" s="5"/>
    </row>
    <row r="150" spans="1:20" ht="15.6" x14ac:dyDescent="0.3">
      <c r="A150" s="6"/>
      <c r="B150" s="120" t="s">
        <v>28</v>
      </c>
      <c r="C150" s="8"/>
      <c r="D150" s="8"/>
      <c r="E150" s="8"/>
      <c r="F150" s="8"/>
      <c r="G150" s="8"/>
      <c r="H150" s="8"/>
      <c r="I150" s="8"/>
      <c r="J150" s="8"/>
      <c r="K150" s="8"/>
      <c r="L150" s="8"/>
      <c r="M150" s="8"/>
      <c r="N150" s="8"/>
      <c r="O150" s="8"/>
      <c r="P150" s="8"/>
      <c r="Q150" s="8"/>
      <c r="R150" s="52"/>
      <c r="S150" s="8"/>
      <c r="T150" s="5"/>
    </row>
    <row r="151" spans="1:20" ht="15.6" x14ac:dyDescent="0.3">
      <c r="A151" s="24"/>
      <c r="B151" s="25" t="s">
        <v>55</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56</v>
      </c>
      <c r="C152" s="146"/>
      <c r="D152" s="146"/>
      <c r="E152" s="146"/>
      <c r="F152" s="146"/>
      <c r="G152" s="146"/>
      <c r="H152" s="146"/>
      <c r="I152" s="146"/>
      <c r="J152" s="146"/>
      <c r="K152" s="146"/>
      <c r="L152" s="146"/>
      <c r="M152" s="146"/>
      <c r="N152" s="146"/>
      <c r="O152" s="146"/>
      <c r="P152" s="146"/>
      <c r="Q152" s="146"/>
      <c r="R152" s="59" t="s">
        <v>137</v>
      </c>
      <c r="S152" s="25"/>
      <c r="T152" s="5"/>
    </row>
    <row r="153" spans="1:20" ht="15.6" x14ac:dyDescent="0.3">
      <c r="A153" s="24"/>
      <c r="B153" s="25" t="s">
        <v>57</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265</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c r="C155" s="25"/>
      <c r="D155" s="25"/>
      <c r="E155" s="25"/>
      <c r="F155" s="25"/>
      <c r="G155" s="25"/>
      <c r="H155" s="25"/>
      <c r="I155" s="25"/>
      <c r="J155" s="25"/>
      <c r="K155" s="25"/>
      <c r="L155" s="25"/>
      <c r="M155" s="25"/>
      <c r="N155" s="25"/>
      <c r="O155" s="25"/>
      <c r="P155" s="25"/>
      <c r="Q155" s="25"/>
      <c r="R155" s="61"/>
      <c r="S155" s="25"/>
      <c r="T155" s="5"/>
    </row>
    <row r="156" spans="1:20" ht="15.6" x14ac:dyDescent="0.3">
      <c r="A156" s="6"/>
      <c r="B156" s="120" t="s">
        <v>59</v>
      </c>
      <c r="C156" s="8"/>
      <c r="D156" s="8"/>
      <c r="E156" s="8"/>
      <c r="F156" s="8"/>
      <c r="G156" s="8"/>
      <c r="H156" s="8"/>
      <c r="I156" s="8"/>
      <c r="J156" s="8"/>
      <c r="K156" s="8"/>
      <c r="L156" s="8"/>
      <c r="M156" s="8"/>
      <c r="N156" s="8"/>
      <c r="O156" s="8"/>
      <c r="P156" s="8"/>
      <c r="Q156" s="8"/>
      <c r="R156" s="63"/>
      <c r="S156" s="8"/>
      <c r="T156" s="5"/>
    </row>
    <row r="157" spans="1:20" ht="15.6" x14ac:dyDescent="0.3">
      <c r="A157" s="24"/>
      <c r="B157" s="25" t="s">
        <v>60</v>
      </c>
      <c r="C157" s="25"/>
      <c r="D157" s="25"/>
      <c r="E157" s="25"/>
      <c r="F157" s="25"/>
      <c r="G157" s="25"/>
      <c r="H157" s="25"/>
      <c r="I157" s="25"/>
      <c r="J157" s="25"/>
      <c r="K157" s="25"/>
      <c r="L157" s="25"/>
      <c r="M157" s="25"/>
      <c r="N157" s="25"/>
      <c r="O157" s="25"/>
      <c r="P157" s="25"/>
      <c r="Q157" s="25"/>
      <c r="R157" s="53">
        <v>0</v>
      </c>
      <c r="S157" s="25"/>
      <c r="T157" s="5"/>
    </row>
    <row r="158" spans="1:20" ht="15.6" x14ac:dyDescent="0.3">
      <c r="A158" s="24"/>
      <c r="B158" s="25" t="s">
        <v>61</v>
      </c>
      <c r="C158" s="25"/>
      <c r="D158" s="25"/>
      <c r="E158" s="25"/>
      <c r="F158" s="25"/>
      <c r="G158" s="25"/>
      <c r="H158" s="25"/>
      <c r="I158" s="25"/>
      <c r="J158" s="25"/>
      <c r="K158" s="25"/>
      <c r="L158" s="25"/>
      <c r="M158" s="25"/>
      <c r="N158" s="25"/>
      <c r="O158" s="25"/>
      <c r="P158" s="25"/>
      <c r="Q158" s="25"/>
      <c r="R158" s="53">
        <v>0</v>
      </c>
      <c r="S158" s="25"/>
      <c r="T158" s="5"/>
    </row>
    <row r="159" spans="1:20" ht="15.6" x14ac:dyDescent="0.3">
      <c r="A159" s="24"/>
      <c r="B159" s="25" t="s">
        <v>62</v>
      </c>
      <c r="C159" s="25"/>
      <c r="D159" s="25"/>
      <c r="E159" s="25"/>
      <c r="F159" s="25"/>
      <c r="G159" s="25"/>
      <c r="H159" s="25"/>
      <c r="I159" s="25"/>
      <c r="J159" s="25"/>
      <c r="K159" s="25"/>
      <c r="L159" s="25"/>
      <c r="M159" s="25"/>
      <c r="N159" s="25"/>
      <c r="O159" s="25"/>
      <c r="P159" s="25"/>
      <c r="Q159" s="25"/>
      <c r="R159" s="53">
        <f>R158+R157</f>
        <v>0</v>
      </c>
      <c r="S159" s="25"/>
      <c r="T159" s="5"/>
    </row>
    <row r="160" spans="1:20" ht="15.6" x14ac:dyDescent="0.3">
      <c r="A160" s="24"/>
      <c r="B160" s="155" t="s">
        <v>308</v>
      </c>
      <c r="C160" s="25"/>
      <c r="D160" s="25"/>
      <c r="E160" s="25"/>
      <c r="F160" s="25"/>
      <c r="G160" s="25"/>
      <c r="H160" s="25"/>
      <c r="I160" s="25"/>
      <c r="J160" s="25"/>
      <c r="K160" s="25"/>
      <c r="L160" s="25"/>
      <c r="M160" s="25"/>
      <c r="N160" s="25"/>
      <c r="O160" s="25"/>
      <c r="P160" s="25"/>
      <c r="Q160" s="25"/>
      <c r="R160" s="53">
        <f>R112</f>
        <v>0</v>
      </c>
      <c r="S160" s="25"/>
      <c r="T160" s="5"/>
    </row>
    <row r="161" spans="1:20" ht="15.6" x14ac:dyDescent="0.3">
      <c r="A161" s="24"/>
      <c r="B161" s="25" t="s">
        <v>63</v>
      </c>
      <c r="C161" s="25"/>
      <c r="D161" s="25"/>
      <c r="E161" s="25"/>
      <c r="F161" s="25"/>
      <c r="G161" s="25"/>
      <c r="H161" s="25"/>
      <c r="I161" s="25"/>
      <c r="J161" s="25"/>
      <c r="K161" s="25"/>
      <c r="L161" s="25"/>
      <c r="M161" s="25"/>
      <c r="N161" s="25"/>
      <c r="O161" s="25"/>
      <c r="P161" s="25"/>
      <c r="Q161" s="25"/>
      <c r="R161" s="53">
        <f>R159+R160</f>
        <v>0</v>
      </c>
      <c r="S161" s="25"/>
      <c r="T161" s="5"/>
    </row>
    <row r="162" spans="1:20" ht="16.2" thickBot="1" x14ac:dyDescent="0.35">
      <c r="A162" s="24"/>
      <c r="B162" s="25"/>
      <c r="C162" s="25"/>
      <c r="D162" s="25"/>
      <c r="E162" s="25"/>
      <c r="F162" s="25"/>
      <c r="G162" s="25"/>
      <c r="H162" s="25"/>
      <c r="I162" s="25"/>
      <c r="J162" s="25"/>
      <c r="K162" s="25"/>
      <c r="L162" s="25"/>
      <c r="M162" s="25"/>
      <c r="N162" s="25"/>
      <c r="O162" s="25"/>
      <c r="P162" s="25"/>
      <c r="Q162" s="25"/>
      <c r="R162" s="61"/>
      <c r="S162" s="25"/>
      <c r="T162" s="5"/>
    </row>
    <row r="163" spans="1:20" ht="15.6" x14ac:dyDescent="0.3">
      <c r="A163" s="2"/>
      <c r="B163" s="4"/>
      <c r="C163" s="4"/>
      <c r="D163" s="4"/>
      <c r="E163" s="4"/>
      <c r="F163" s="4"/>
      <c r="G163" s="4"/>
      <c r="H163" s="4"/>
      <c r="I163" s="4"/>
      <c r="J163" s="4"/>
      <c r="K163" s="4"/>
      <c r="L163" s="4"/>
      <c r="M163" s="4"/>
      <c r="N163" s="4"/>
      <c r="O163" s="4"/>
      <c r="P163" s="4"/>
      <c r="Q163" s="4"/>
      <c r="R163" s="50"/>
      <c r="S163" s="4"/>
      <c r="T163" s="5"/>
    </row>
    <row r="164" spans="1:20" ht="15.6" x14ac:dyDescent="0.3">
      <c r="A164" s="6"/>
      <c r="B164" s="120" t="s">
        <v>64</v>
      </c>
      <c r="C164" s="8"/>
      <c r="D164" s="8"/>
      <c r="E164" s="8"/>
      <c r="F164" s="8"/>
      <c r="G164" s="8"/>
      <c r="H164" s="8"/>
      <c r="I164" s="8"/>
      <c r="J164" s="8"/>
      <c r="K164" s="8"/>
      <c r="L164" s="8"/>
      <c r="M164" s="8"/>
      <c r="N164" s="8"/>
      <c r="O164" s="8"/>
      <c r="P164" s="8"/>
      <c r="Q164" s="8"/>
      <c r="R164" s="52"/>
      <c r="S164" s="8"/>
      <c r="T164" s="5"/>
    </row>
    <row r="165" spans="1:20" ht="15.6" x14ac:dyDescent="0.3">
      <c r="A165" s="6"/>
      <c r="B165" s="21"/>
      <c r="C165" s="8"/>
      <c r="D165" s="8"/>
      <c r="E165" s="8"/>
      <c r="F165" s="8"/>
      <c r="G165" s="8"/>
      <c r="H165" s="8"/>
      <c r="I165" s="8"/>
      <c r="J165" s="8"/>
      <c r="K165" s="8"/>
      <c r="L165" s="8"/>
      <c r="M165" s="8"/>
      <c r="N165" s="8"/>
      <c r="O165" s="8"/>
      <c r="P165" s="8"/>
      <c r="Q165" s="8"/>
      <c r="R165" s="52"/>
      <c r="S165" s="8"/>
      <c r="T165" s="5"/>
    </row>
    <row r="166" spans="1:20" ht="15.6" x14ac:dyDescent="0.3">
      <c r="A166" s="24"/>
      <c r="B166" s="25" t="s">
        <v>65</v>
      </c>
      <c r="C166" s="25"/>
      <c r="D166" s="25"/>
      <c r="E166" s="25"/>
      <c r="F166" s="25"/>
      <c r="G166" s="25"/>
      <c r="H166" s="25"/>
      <c r="I166" s="25"/>
      <c r="J166" s="25"/>
      <c r="K166" s="25"/>
      <c r="L166" s="25"/>
      <c r="M166" s="25"/>
      <c r="N166" s="25"/>
      <c r="O166" s="25"/>
      <c r="P166" s="25"/>
      <c r="Q166" s="25"/>
      <c r="R166" s="53">
        <f>R70</f>
        <v>890041</v>
      </c>
      <c r="S166" s="25"/>
      <c r="T166" s="5"/>
    </row>
    <row r="167" spans="1:20" ht="15.6" x14ac:dyDescent="0.3">
      <c r="A167" s="24"/>
      <c r="B167" s="25" t="s">
        <v>66</v>
      </c>
      <c r="C167" s="25"/>
      <c r="D167" s="25"/>
      <c r="E167" s="25"/>
      <c r="F167" s="25"/>
      <c r="G167" s="25"/>
      <c r="H167" s="25"/>
      <c r="I167" s="25"/>
      <c r="J167" s="25"/>
      <c r="K167" s="25"/>
      <c r="L167" s="25"/>
      <c r="M167" s="25"/>
      <c r="N167" s="25"/>
      <c r="O167" s="25"/>
      <c r="P167" s="25"/>
      <c r="Q167" s="25"/>
      <c r="R167" s="53">
        <f>R83</f>
        <v>890041</v>
      </c>
      <c r="S167" s="25"/>
      <c r="T167" s="5"/>
    </row>
    <row r="168" spans="1:20" ht="16.2" thickBot="1" x14ac:dyDescent="0.35">
      <c r="A168" s="24"/>
      <c r="B168" s="25"/>
      <c r="C168" s="25"/>
      <c r="D168" s="25"/>
      <c r="E168" s="25"/>
      <c r="F168" s="25"/>
      <c r="G168" s="25"/>
      <c r="H168" s="25"/>
      <c r="I168" s="25"/>
      <c r="J168" s="25"/>
      <c r="K168" s="25"/>
      <c r="L168" s="25"/>
      <c r="M168" s="25"/>
      <c r="N168" s="25"/>
      <c r="O168" s="25"/>
      <c r="P168" s="25"/>
      <c r="Q168" s="25"/>
      <c r="R168" s="61"/>
      <c r="S168" s="25"/>
      <c r="T168" s="5"/>
    </row>
    <row r="169" spans="1:20" ht="15.6" x14ac:dyDescent="0.3">
      <c r="A169" s="2"/>
      <c r="B169" s="4"/>
      <c r="C169" s="4"/>
      <c r="D169" s="4"/>
      <c r="E169" s="4"/>
      <c r="F169" s="4"/>
      <c r="G169" s="4"/>
      <c r="H169" s="4"/>
      <c r="I169" s="4"/>
      <c r="J169" s="4"/>
      <c r="K169" s="4"/>
      <c r="L169" s="4"/>
      <c r="M169" s="4"/>
      <c r="N169" s="4"/>
      <c r="O169" s="4"/>
      <c r="P169" s="4"/>
      <c r="Q169" s="4"/>
      <c r="R169" s="50"/>
      <c r="S169" s="4"/>
      <c r="T169" s="5"/>
    </row>
    <row r="170" spans="1:20" ht="15.6" x14ac:dyDescent="0.3">
      <c r="A170" s="6"/>
      <c r="B170" s="120" t="s">
        <v>67</v>
      </c>
      <c r="C170" s="118"/>
      <c r="D170" s="118"/>
      <c r="E170" s="118"/>
      <c r="F170" s="118"/>
      <c r="G170" s="118"/>
      <c r="H170" s="121"/>
      <c r="I170" s="121"/>
      <c r="J170" s="121"/>
      <c r="K170" s="121"/>
      <c r="L170" s="121"/>
      <c r="M170" s="121"/>
      <c r="N170" s="121"/>
      <c r="O170" s="121" t="s">
        <v>112</v>
      </c>
      <c r="P170" s="121" t="s">
        <v>120</v>
      </c>
      <c r="Q170" s="112"/>
      <c r="R170" s="122" t="s">
        <v>129</v>
      </c>
      <c r="S170" s="10"/>
      <c r="T170" s="5"/>
    </row>
    <row r="171" spans="1:20" ht="15.6" x14ac:dyDescent="0.3">
      <c r="A171" s="24"/>
      <c r="B171" s="25" t="s">
        <v>68</v>
      </c>
      <c r="C171" s="25"/>
      <c r="D171" s="25"/>
      <c r="E171" s="25"/>
      <c r="F171" s="25"/>
      <c r="G171" s="25"/>
      <c r="H171" s="25"/>
      <c r="I171" s="25"/>
      <c r="J171" s="25"/>
      <c r="K171" s="25"/>
      <c r="L171" s="25"/>
      <c r="M171" s="25"/>
      <c r="N171" s="25"/>
      <c r="O171" s="53">
        <v>160000</v>
      </c>
      <c r="P171" s="40"/>
      <c r="Q171" s="25"/>
      <c r="R171" s="53"/>
      <c r="S171" s="25"/>
      <c r="T171" s="5"/>
    </row>
    <row r="172" spans="1:20" ht="15.6" x14ac:dyDescent="0.3">
      <c r="A172" s="24"/>
      <c r="B172" s="25" t="s">
        <v>69</v>
      </c>
      <c r="C172" s="25"/>
      <c r="D172" s="25"/>
      <c r="E172" s="25"/>
      <c r="F172" s="25"/>
      <c r="G172" s="25"/>
      <c r="H172" s="25"/>
      <c r="I172" s="25"/>
      <c r="J172" s="25"/>
      <c r="K172" s="25"/>
      <c r="L172" s="25"/>
      <c r="M172" s="25"/>
      <c r="N172" s="25"/>
      <c r="O172" s="53">
        <f>+'Sept 05'!O172</f>
        <v>23177</v>
      </c>
      <c r="P172" s="53">
        <f>+'Sept 05'!P172</f>
        <v>5889</v>
      </c>
      <c r="Q172" s="25"/>
      <c r="R172" s="53">
        <f>O172+P172</f>
        <v>29066</v>
      </c>
      <c r="S172" s="25"/>
      <c r="T172" s="5"/>
    </row>
    <row r="173" spans="1:20" ht="15.6" x14ac:dyDescent="0.3">
      <c r="A173" s="24"/>
      <c r="B173" s="25" t="s">
        <v>70</v>
      </c>
      <c r="C173" s="25"/>
      <c r="D173" s="25"/>
      <c r="E173" s="25"/>
      <c r="F173" s="25"/>
      <c r="G173" s="25"/>
      <c r="H173" s="25"/>
      <c r="I173" s="25"/>
      <c r="J173" s="25"/>
      <c r="K173" s="25"/>
      <c r="L173" s="25"/>
      <c r="M173" s="25"/>
      <c r="N173" s="25"/>
      <c r="O173" s="34">
        <v>6366</v>
      </c>
      <c r="P173" s="34">
        <f>-P95-P118</f>
        <v>752</v>
      </c>
      <c r="Q173" s="25"/>
      <c r="R173" s="53">
        <f>O173+P173</f>
        <v>7118</v>
      </c>
      <c r="S173" s="25"/>
      <c r="T173" s="5"/>
    </row>
    <row r="174" spans="1:20" ht="15.6" x14ac:dyDescent="0.3">
      <c r="A174" s="24"/>
      <c r="B174" s="25" t="s">
        <v>71</v>
      </c>
      <c r="C174" s="25"/>
      <c r="D174" s="25"/>
      <c r="E174" s="25"/>
      <c r="F174" s="25"/>
      <c r="G174" s="25"/>
      <c r="H174" s="25"/>
      <c r="I174" s="25"/>
      <c r="J174" s="25"/>
      <c r="K174" s="25"/>
      <c r="L174" s="25"/>
      <c r="M174" s="25"/>
      <c r="N174" s="25"/>
      <c r="O174" s="53">
        <f>O172+O173</f>
        <v>29543</v>
      </c>
      <c r="P174" s="53">
        <f>P173+P172</f>
        <v>6641</v>
      </c>
      <c r="Q174" s="25"/>
      <c r="R174" s="53">
        <f>O174+P174</f>
        <v>36184</v>
      </c>
      <c r="S174" s="25"/>
      <c r="T174" s="5"/>
    </row>
    <row r="175" spans="1:20" ht="15.6" x14ac:dyDescent="0.3">
      <c r="A175" s="24"/>
      <c r="B175" s="25" t="s">
        <v>72</v>
      </c>
      <c r="C175" s="25"/>
      <c r="D175" s="25"/>
      <c r="E175" s="25"/>
      <c r="F175" s="25"/>
      <c r="G175" s="25"/>
      <c r="H175" s="25"/>
      <c r="I175" s="25"/>
      <c r="J175" s="25"/>
      <c r="K175" s="25"/>
      <c r="L175" s="25"/>
      <c r="M175" s="25"/>
      <c r="N175" s="25"/>
      <c r="O175" s="53">
        <f>O171-O174-P174</f>
        <v>123816</v>
      </c>
      <c r="P175" s="40"/>
      <c r="Q175" s="25"/>
      <c r="R175" s="53"/>
      <c r="S175" s="25"/>
      <c r="T175" s="5"/>
    </row>
    <row r="176" spans="1:20" ht="16.2" thickBot="1" x14ac:dyDescent="0.35">
      <c r="A176" s="24"/>
      <c r="B176" s="25"/>
      <c r="C176" s="25"/>
      <c r="D176" s="25"/>
      <c r="E176" s="25"/>
      <c r="F176" s="25"/>
      <c r="G176" s="25"/>
      <c r="H176" s="25"/>
      <c r="I176" s="25"/>
      <c r="J176" s="25"/>
      <c r="K176" s="25"/>
      <c r="L176" s="25"/>
      <c r="M176" s="25"/>
      <c r="N176" s="25"/>
      <c r="O176" s="25"/>
      <c r="P176" s="25"/>
      <c r="Q176" s="25"/>
      <c r="R176" s="61"/>
      <c r="S176" s="25"/>
      <c r="T176" s="5"/>
    </row>
    <row r="177" spans="1:20" ht="15.6" x14ac:dyDescent="0.3">
      <c r="A177" s="2"/>
      <c r="B177" s="4"/>
      <c r="C177" s="4"/>
      <c r="D177" s="4"/>
      <c r="E177" s="4"/>
      <c r="F177" s="4"/>
      <c r="G177" s="4"/>
      <c r="H177" s="4"/>
      <c r="I177" s="4"/>
      <c r="J177" s="4"/>
      <c r="K177" s="4"/>
      <c r="L177" s="4"/>
      <c r="M177" s="4"/>
      <c r="N177" s="4"/>
      <c r="O177" s="4"/>
      <c r="P177" s="4"/>
      <c r="Q177" s="4"/>
      <c r="R177" s="50"/>
      <c r="S177" s="4"/>
      <c r="T177" s="5"/>
    </row>
    <row r="178" spans="1:20" ht="15.6" x14ac:dyDescent="0.3">
      <c r="A178" s="6"/>
      <c r="B178" s="120" t="s">
        <v>73</v>
      </c>
      <c r="C178" s="8"/>
      <c r="D178" s="8"/>
      <c r="E178" s="8"/>
      <c r="F178" s="8"/>
      <c r="G178" s="8"/>
      <c r="H178" s="8"/>
      <c r="I178" s="8"/>
      <c r="J178" s="8"/>
      <c r="K178" s="8"/>
      <c r="L178" s="8"/>
      <c r="M178" s="8"/>
      <c r="N178" s="8"/>
      <c r="O178" s="8"/>
      <c r="P178" s="8"/>
      <c r="Q178" s="8"/>
      <c r="R178" s="65"/>
      <c r="S178" s="8"/>
      <c r="T178" s="5"/>
    </row>
    <row r="179" spans="1:20" ht="15.6" x14ac:dyDescent="0.3">
      <c r="A179" s="24"/>
      <c r="B179" s="25" t="s">
        <v>74</v>
      </c>
      <c r="C179" s="25"/>
      <c r="D179" s="25"/>
      <c r="E179" s="25"/>
      <c r="F179" s="25"/>
      <c r="G179" s="25"/>
      <c r="H179" s="25"/>
      <c r="I179" s="25"/>
      <c r="J179" s="25"/>
      <c r="K179" s="25"/>
      <c r="L179" s="25"/>
      <c r="M179" s="25"/>
      <c r="N179" s="25"/>
      <c r="O179" s="25"/>
      <c r="P179" s="25"/>
      <c r="Q179" s="25"/>
      <c r="R179" s="59">
        <f>(R97+R99+R100+R101+R102+R103)/-(R104+R105+R106+R107)</f>
        <v>1.4424460431654675</v>
      </c>
      <c r="S179" s="25" t="s">
        <v>130</v>
      </c>
      <c r="T179" s="5"/>
    </row>
    <row r="180" spans="1:20" ht="15.6" x14ac:dyDescent="0.3">
      <c r="A180" s="24"/>
      <c r="B180" s="25" t="s">
        <v>75</v>
      </c>
      <c r="C180" s="25"/>
      <c r="D180" s="25"/>
      <c r="E180" s="25"/>
      <c r="F180" s="25"/>
      <c r="G180" s="25"/>
      <c r="H180" s="25"/>
      <c r="I180" s="25"/>
      <c r="J180" s="25"/>
      <c r="K180" s="25"/>
      <c r="L180" s="25"/>
      <c r="M180" s="25"/>
      <c r="N180" s="25"/>
      <c r="O180" s="25"/>
      <c r="P180" s="25"/>
      <c r="Q180" s="25"/>
      <c r="R180" s="66">
        <v>1.31</v>
      </c>
      <c r="S180" s="25" t="s">
        <v>130</v>
      </c>
      <c r="T180" s="5"/>
    </row>
    <row r="181" spans="1:20" ht="15.6" x14ac:dyDescent="0.3">
      <c r="A181" s="24"/>
      <c r="B181" s="25" t="s">
        <v>76</v>
      </c>
      <c r="C181" s="25"/>
      <c r="D181" s="25"/>
      <c r="E181" s="25"/>
      <c r="F181" s="25"/>
      <c r="G181" s="25"/>
      <c r="H181" s="25"/>
      <c r="I181" s="25"/>
      <c r="J181" s="25"/>
      <c r="K181" s="25"/>
      <c r="L181" s="25"/>
      <c r="M181" s="25"/>
      <c r="N181" s="25"/>
      <c r="O181" s="25"/>
      <c r="P181" s="25"/>
      <c r="Q181" s="25"/>
      <c r="R181" s="59">
        <f>(R97+R99+R100+R101+R102+R103+R104+R105+R106+R107)/-(R108+R109)</f>
        <v>3.2938026013771995</v>
      </c>
      <c r="S181" s="25" t="s">
        <v>130</v>
      </c>
      <c r="T181" s="5"/>
    </row>
    <row r="182" spans="1:20" ht="15.6" x14ac:dyDescent="0.3">
      <c r="A182" s="24"/>
      <c r="B182" s="25" t="s">
        <v>77</v>
      </c>
      <c r="C182" s="25"/>
      <c r="D182" s="25"/>
      <c r="E182" s="25"/>
      <c r="F182" s="25"/>
      <c r="G182" s="25"/>
      <c r="H182" s="25"/>
      <c r="I182" s="25"/>
      <c r="J182" s="25"/>
      <c r="K182" s="25"/>
      <c r="L182" s="25"/>
      <c r="M182" s="25"/>
      <c r="N182" s="25"/>
      <c r="O182" s="25"/>
      <c r="P182" s="25"/>
      <c r="Q182" s="25"/>
      <c r="R182" s="67">
        <v>2.4700000000000002</v>
      </c>
      <c r="S182" s="25" t="s">
        <v>130</v>
      </c>
      <c r="T182" s="5"/>
    </row>
    <row r="183" spans="1:20" ht="15.6" x14ac:dyDescent="0.3">
      <c r="A183" s="24"/>
      <c r="B183" s="25"/>
      <c r="C183" s="25"/>
      <c r="D183" s="25"/>
      <c r="E183" s="25"/>
      <c r="F183" s="25"/>
      <c r="G183" s="25"/>
      <c r="H183" s="25"/>
      <c r="I183" s="25"/>
      <c r="J183" s="25"/>
      <c r="K183" s="25"/>
      <c r="L183" s="25"/>
      <c r="M183" s="25"/>
      <c r="N183" s="25"/>
      <c r="O183" s="25"/>
      <c r="P183" s="25"/>
      <c r="Q183" s="25"/>
      <c r="R183" s="25"/>
      <c r="S183" s="25"/>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6"/>
      <c r="B185" s="8"/>
      <c r="C185" s="8"/>
      <c r="D185" s="8"/>
      <c r="E185" s="8"/>
      <c r="F185" s="8"/>
      <c r="G185" s="8"/>
      <c r="H185" s="8"/>
      <c r="I185" s="8"/>
      <c r="J185" s="8"/>
      <c r="K185" s="8"/>
      <c r="L185" s="8"/>
      <c r="M185" s="8"/>
      <c r="N185" s="8"/>
      <c r="O185" s="8"/>
      <c r="P185" s="8"/>
      <c r="Q185" s="8"/>
      <c r="R185" s="8"/>
      <c r="S185" s="8"/>
      <c r="T185" s="5"/>
    </row>
    <row r="186" spans="1:20" ht="18" thickBot="1" x14ac:dyDescent="0.35">
      <c r="A186" s="102"/>
      <c r="B186" s="103" t="str">
        <f>B130</f>
        <v>PM8 INVESTOR REPORT QUARTER ENDING DECEMBER 2005</v>
      </c>
      <c r="C186" s="148"/>
      <c r="D186" s="148"/>
      <c r="E186" s="148"/>
      <c r="F186" s="148"/>
      <c r="G186" s="148"/>
      <c r="H186" s="148"/>
      <c r="I186" s="148"/>
      <c r="J186" s="148"/>
      <c r="K186" s="148"/>
      <c r="L186" s="148"/>
      <c r="M186" s="148"/>
      <c r="N186" s="148"/>
      <c r="O186" s="148"/>
      <c r="P186" s="148"/>
      <c r="Q186" s="148"/>
      <c r="R186" s="148"/>
      <c r="S186" s="149"/>
      <c r="T186" s="5"/>
    </row>
    <row r="187" spans="1:20" ht="15.6" x14ac:dyDescent="0.3">
      <c r="A187" s="68"/>
      <c r="B187" s="60" t="s">
        <v>78</v>
      </c>
      <c r="C187" s="69"/>
      <c r="D187" s="69"/>
      <c r="E187" s="69"/>
      <c r="F187" s="69"/>
      <c r="G187" s="70"/>
      <c r="H187" s="70"/>
      <c r="I187" s="70"/>
      <c r="J187" s="70"/>
      <c r="K187" s="70"/>
      <c r="L187" s="70"/>
      <c r="M187" s="70"/>
      <c r="N187" s="70"/>
      <c r="O187" s="70"/>
      <c r="P187" s="71">
        <v>38716</v>
      </c>
      <c r="Q187" s="4"/>
      <c r="R187" s="4"/>
      <c r="S187" s="4"/>
      <c r="T187" s="5"/>
    </row>
    <row r="188" spans="1:20" ht="15.6" x14ac:dyDescent="0.3">
      <c r="A188" s="72"/>
      <c r="B188" s="73"/>
      <c r="C188" s="74"/>
      <c r="D188" s="74"/>
      <c r="E188" s="74"/>
      <c r="F188" s="74"/>
      <c r="G188" s="75"/>
      <c r="H188" s="75"/>
      <c r="I188" s="75"/>
      <c r="J188" s="75"/>
      <c r="K188" s="75"/>
      <c r="L188" s="75"/>
      <c r="M188" s="75"/>
      <c r="N188" s="75"/>
      <c r="O188" s="75"/>
      <c r="P188" s="75"/>
      <c r="Q188" s="8"/>
      <c r="R188" s="8"/>
      <c r="S188" s="8"/>
      <c r="T188" s="5"/>
    </row>
    <row r="189" spans="1:20" ht="15.6" x14ac:dyDescent="0.3">
      <c r="A189" s="76"/>
      <c r="B189" s="77" t="s">
        <v>79</v>
      </c>
      <c r="C189" s="78"/>
      <c r="D189" s="78"/>
      <c r="E189" s="78"/>
      <c r="F189" s="78"/>
      <c r="G189" s="64"/>
      <c r="H189" s="64"/>
      <c r="I189" s="64"/>
      <c r="J189" s="64"/>
      <c r="K189" s="64"/>
      <c r="L189" s="64"/>
      <c r="M189" s="64"/>
      <c r="N189" s="64"/>
      <c r="O189" s="64"/>
      <c r="P189" s="79">
        <v>6.2039999999999998E-2</v>
      </c>
      <c r="Q189" s="25"/>
      <c r="R189" s="25"/>
      <c r="S189" s="25"/>
      <c r="T189" s="5"/>
    </row>
    <row r="190" spans="1:20" ht="15.6" x14ac:dyDescent="0.3">
      <c r="A190" s="76"/>
      <c r="B190" s="77" t="s">
        <v>178</v>
      </c>
      <c r="C190" s="78"/>
      <c r="D190" s="78"/>
      <c r="E190" s="78"/>
      <c r="F190" s="78"/>
      <c r="G190" s="64"/>
      <c r="H190" s="64"/>
      <c r="I190" s="64"/>
      <c r="J190" s="64"/>
      <c r="K190" s="64"/>
      <c r="L190" s="64"/>
      <c r="M190" s="64"/>
      <c r="N190" s="64"/>
      <c r="O190" s="64"/>
      <c r="P190" s="39">
        <v>5.1733455000000005E-2</v>
      </c>
      <c r="Q190" s="25"/>
      <c r="R190" s="25"/>
      <c r="S190" s="25"/>
      <c r="T190" s="5"/>
    </row>
    <row r="191" spans="1:20" ht="15.6" x14ac:dyDescent="0.3">
      <c r="A191" s="76"/>
      <c r="B191" s="77" t="s">
        <v>80</v>
      </c>
      <c r="C191" s="78"/>
      <c r="D191" s="78"/>
      <c r="E191" s="78"/>
      <c r="F191" s="78"/>
      <c r="G191" s="64"/>
      <c r="H191" s="64"/>
      <c r="I191" s="64"/>
      <c r="J191" s="64"/>
      <c r="K191" s="64"/>
      <c r="L191" s="64"/>
      <c r="M191" s="64"/>
      <c r="N191" s="64"/>
      <c r="O191" s="64"/>
      <c r="P191" s="79">
        <f>P189-P190</f>
        <v>1.0306544999999993E-2</v>
      </c>
      <c r="Q191" s="25"/>
      <c r="R191" s="25"/>
      <c r="S191" s="25"/>
      <c r="T191" s="5"/>
    </row>
    <row r="192" spans="1:20" ht="15.6" x14ac:dyDescent="0.3">
      <c r="A192" s="76"/>
      <c r="B192" s="77" t="s">
        <v>81</v>
      </c>
      <c r="C192" s="78"/>
      <c r="D192" s="78"/>
      <c r="E192" s="78"/>
      <c r="F192" s="78"/>
      <c r="G192" s="64"/>
      <c r="H192" s="64"/>
      <c r="I192" s="64"/>
      <c r="J192" s="64"/>
      <c r="K192" s="64"/>
      <c r="L192" s="64"/>
      <c r="M192" s="64"/>
      <c r="N192" s="64"/>
      <c r="O192" s="64"/>
      <c r="P192" s="79">
        <v>6.0519999999999997E-2</v>
      </c>
      <c r="Q192" s="25"/>
      <c r="R192" s="25"/>
      <c r="S192" s="25"/>
      <c r="T192" s="5"/>
    </row>
    <row r="193" spans="1:20" ht="15.6" x14ac:dyDescent="0.3">
      <c r="A193" s="76"/>
      <c r="B193" s="77" t="s">
        <v>261</v>
      </c>
      <c r="C193" s="78"/>
      <c r="D193" s="78"/>
      <c r="E193" s="78"/>
      <c r="F193" s="78"/>
      <c r="G193" s="64"/>
      <c r="H193" s="64"/>
      <c r="I193" s="64"/>
      <c r="J193" s="64"/>
      <c r="K193" s="64"/>
      <c r="L193" s="64"/>
      <c r="M193" s="64"/>
      <c r="N193" s="64"/>
      <c r="O193" s="64"/>
      <c r="P193" s="79">
        <f>+R42</f>
        <v>4.8217017788228317E-2</v>
      </c>
      <c r="Q193" s="25"/>
      <c r="R193" s="25"/>
      <c r="S193" s="25"/>
      <c r="T193" s="5"/>
    </row>
    <row r="194" spans="1:20" ht="15.6" x14ac:dyDescent="0.3">
      <c r="A194" s="76"/>
      <c r="B194" s="77" t="s">
        <v>82</v>
      </c>
      <c r="C194" s="78"/>
      <c r="D194" s="78"/>
      <c r="E194" s="78"/>
      <c r="F194" s="78"/>
      <c r="G194" s="64"/>
      <c r="H194" s="64"/>
      <c r="I194" s="64"/>
      <c r="J194" s="64"/>
      <c r="K194" s="64"/>
      <c r="L194" s="64"/>
      <c r="M194" s="64"/>
      <c r="N194" s="64"/>
      <c r="O194" s="64"/>
      <c r="P194" s="79">
        <f>P192-P193</f>
        <v>1.2302982211771681E-2</v>
      </c>
      <c r="Q194" s="25"/>
      <c r="R194" s="25"/>
      <c r="S194" s="25"/>
      <c r="T194" s="5"/>
    </row>
    <row r="195" spans="1:20" ht="15.6" x14ac:dyDescent="0.3">
      <c r="A195" s="76"/>
      <c r="B195" s="77" t="s">
        <v>267</v>
      </c>
      <c r="C195" s="78"/>
      <c r="D195" s="78"/>
      <c r="E195" s="78"/>
      <c r="F195" s="78"/>
      <c r="G195" s="64"/>
      <c r="H195" s="64"/>
      <c r="I195" s="64"/>
      <c r="J195" s="64"/>
      <c r="K195" s="64"/>
      <c r="L195" s="64"/>
      <c r="M195" s="64"/>
      <c r="N195" s="64"/>
      <c r="O195" s="64"/>
      <c r="P195" s="79">
        <f>(+R97+R99)/J70</f>
        <v>1.598408997095287E-2</v>
      </c>
      <c r="Q195" s="25"/>
      <c r="R195" s="25"/>
      <c r="S195" s="25"/>
      <c r="T195" s="5"/>
    </row>
    <row r="196" spans="1:20" ht="15.6" x14ac:dyDescent="0.3">
      <c r="A196" s="76"/>
      <c r="B196" s="77" t="s">
        <v>208</v>
      </c>
      <c r="C196" s="78"/>
      <c r="D196" s="78"/>
      <c r="E196" s="78"/>
      <c r="F196" s="78"/>
      <c r="G196" s="64"/>
      <c r="H196" s="64"/>
      <c r="I196" s="64"/>
      <c r="J196" s="64"/>
      <c r="K196" s="64"/>
      <c r="L196" s="64"/>
      <c r="M196" s="64"/>
      <c r="N196" s="64"/>
      <c r="O196" s="64"/>
      <c r="P196" s="132">
        <v>12875</v>
      </c>
      <c r="Q196" s="25"/>
      <c r="R196" s="25"/>
      <c r="S196" s="25"/>
      <c r="T196" s="5"/>
    </row>
    <row r="197" spans="1:20" ht="15.6" x14ac:dyDescent="0.3">
      <c r="A197" s="76"/>
      <c r="B197" s="77" t="s">
        <v>209</v>
      </c>
      <c r="C197" s="78"/>
      <c r="D197" s="78"/>
      <c r="E197" s="78"/>
      <c r="F197" s="78"/>
      <c r="G197" s="64"/>
      <c r="H197" s="64"/>
      <c r="I197" s="64"/>
      <c r="J197" s="64"/>
      <c r="K197" s="64"/>
      <c r="L197" s="64"/>
      <c r="M197" s="64"/>
      <c r="N197" s="64"/>
      <c r="O197" s="64"/>
      <c r="P197" s="132">
        <v>16163</v>
      </c>
      <c r="Q197" s="25"/>
      <c r="R197" s="25"/>
      <c r="S197" s="25"/>
      <c r="T197" s="5"/>
    </row>
    <row r="198" spans="1:20" ht="15.6" x14ac:dyDescent="0.3">
      <c r="A198" s="76"/>
      <c r="B198" s="77" t="s">
        <v>83</v>
      </c>
      <c r="C198" s="78"/>
      <c r="D198" s="78"/>
      <c r="E198" s="78"/>
      <c r="F198" s="78"/>
      <c r="G198" s="64"/>
      <c r="H198" s="64"/>
      <c r="I198" s="64"/>
      <c r="J198" s="64"/>
      <c r="K198" s="64"/>
      <c r="L198" s="64"/>
      <c r="M198" s="64"/>
      <c r="N198" s="64"/>
      <c r="O198" s="64"/>
      <c r="P198" s="136">
        <v>19.739999999999998</v>
      </c>
      <c r="Q198" s="25" t="s">
        <v>125</v>
      </c>
      <c r="R198" s="25"/>
      <c r="S198" s="25"/>
      <c r="T198" s="5"/>
    </row>
    <row r="199" spans="1:20" ht="15.6" x14ac:dyDescent="0.3">
      <c r="A199" s="76"/>
      <c r="B199" s="77" t="s">
        <v>84</v>
      </c>
      <c r="C199" s="78"/>
      <c r="D199" s="78"/>
      <c r="E199" s="78"/>
      <c r="F199" s="78"/>
      <c r="G199" s="64"/>
      <c r="H199" s="64"/>
      <c r="I199" s="64"/>
      <c r="J199" s="64"/>
      <c r="K199" s="64"/>
      <c r="L199" s="64"/>
      <c r="M199" s="64"/>
      <c r="N199" s="64"/>
      <c r="O199" s="64"/>
      <c r="P199" s="136">
        <v>19.739999999999998</v>
      </c>
      <c r="Q199" s="25" t="s">
        <v>125</v>
      </c>
      <c r="R199" s="25"/>
      <c r="S199" s="25"/>
      <c r="T199" s="5"/>
    </row>
    <row r="200" spans="1:20" ht="15.6" x14ac:dyDescent="0.3">
      <c r="A200" s="76"/>
      <c r="B200" s="77" t="s">
        <v>85</v>
      </c>
      <c r="C200" s="78"/>
      <c r="D200" s="78"/>
      <c r="E200" s="78"/>
      <c r="F200" s="78"/>
      <c r="G200" s="64"/>
      <c r="H200" s="64"/>
      <c r="I200" s="64"/>
      <c r="J200" s="64"/>
      <c r="K200" s="64"/>
      <c r="L200" s="64"/>
      <c r="M200" s="64"/>
      <c r="N200" s="64"/>
      <c r="O200" s="64"/>
      <c r="P200" s="79">
        <f>+L67/J67</f>
        <v>3.8380984639982227E-2</v>
      </c>
      <c r="Q200" s="25"/>
      <c r="R200" s="25"/>
      <c r="S200" s="25"/>
      <c r="T200" s="5"/>
    </row>
    <row r="201" spans="1:20" ht="15.6" x14ac:dyDescent="0.3">
      <c r="A201" s="76"/>
      <c r="B201" s="77" t="s">
        <v>86</v>
      </c>
      <c r="C201" s="78"/>
      <c r="D201" s="78"/>
      <c r="E201" s="78"/>
      <c r="F201" s="78"/>
      <c r="G201" s="64"/>
      <c r="H201" s="64"/>
      <c r="I201" s="64"/>
      <c r="J201" s="64"/>
      <c r="K201" s="64"/>
      <c r="L201" s="64"/>
      <c r="M201" s="64"/>
      <c r="N201" s="64"/>
      <c r="O201" s="64"/>
      <c r="P201" s="79">
        <v>0.1318</v>
      </c>
      <c r="Q201" s="25"/>
      <c r="R201" s="25"/>
      <c r="S201" s="25"/>
      <c r="T201" s="5"/>
    </row>
    <row r="202" spans="1:20" ht="15.6" x14ac:dyDescent="0.3">
      <c r="A202" s="76"/>
      <c r="B202" s="77"/>
      <c r="C202" s="77"/>
      <c r="D202" s="77"/>
      <c r="E202" s="77"/>
      <c r="F202" s="77"/>
      <c r="G202" s="25"/>
      <c r="H202" s="25"/>
      <c r="I202" s="25"/>
      <c r="J202" s="25"/>
      <c r="K202" s="25"/>
      <c r="L202" s="25"/>
      <c r="M202" s="25"/>
      <c r="N202" s="25"/>
      <c r="O202" s="25"/>
      <c r="P202" s="61"/>
      <c r="Q202" s="25"/>
      <c r="R202" s="80"/>
      <c r="S202" s="25"/>
      <c r="T202" s="5"/>
    </row>
    <row r="203" spans="1:20" ht="15.6" x14ac:dyDescent="0.3">
      <c r="A203" s="81"/>
      <c r="B203" s="14" t="s">
        <v>87</v>
      </c>
      <c r="C203" s="82"/>
      <c r="D203" s="82"/>
      <c r="E203" s="82"/>
      <c r="F203" s="83"/>
      <c r="G203" s="82"/>
      <c r="H203" s="17"/>
      <c r="I203" s="17"/>
      <c r="J203" s="17"/>
      <c r="K203" s="17"/>
      <c r="L203" s="17"/>
      <c r="M203" s="17"/>
      <c r="N203" s="17"/>
      <c r="O203" s="17" t="s">
        <v>113</v>
      </c>
      <c r="P203" s="84" t="s">
        <v>121</v>
      </c>
      <c r="Q203" s="8"/>
      <c r="R203" s="8"/>
      <c r="S203" s="8"/>
      <c r="T203" s="5"/>
    </row>
    <row r="204" spans="1:20" ht="15.6" x14ac:dyDescent="0.3">
      <c r="A204" s="85"/>
      <c r="B204" s="77" t="s">
        <v>88</v>
      </c>
      <c r="C204" s="54"/>
      <c r="D204" s="54"/>
      <c r="E204" s="54"/>
      <c r="F204" s="25"/>
      <c r="G204" s="25"/>
      <c r="H204" s="30"/>
      <c r="I204" s="30"/>
      <c r="J204" s="30"/>
      <c r="K204" s="30"/>
      <c r="L204" s="30"/>
      <c r="M204" s="30"/>
      <c r="N204" s="30"/>
      <c r="O204" s="30">
        <v>22</v>
      </c>
      <c r="P204" s="86">
        <v>898</v>
      </c>
      <c r="Q204" s="25"/>
      <c r="R204" s="80"/>
      <c r="S204" s="87"/>
      <c r="T204" s="5"/>
    </row>
    <row r="205" spans="1:20" ht="15.6" x14ac:dyDescent="0.3">
      <c r="A205" s="85"/>
      <c r="B205" s="77" t="s">
        <v>169</v>
      </c>
      <c r="C205" s="54"/>
      <c r="D205" s="54"/>
      <c r="E205" s="54"/>
      <c r="F205" s="25"/>
      <c r="G205" s="25"/>
      <c r="H205" s="30"/>
      <c r="I205" s="30"/>
      <c r="J205" s="30"/>
      <c r="K205" s="30"/>
      <c r="L205" s="30"/>
      <c r="M205" s="30"/>
      <c r="N205" s="30"/>
      <c r="O205" s="163">
        <f>+N244</f>
        <v>15</v>
      </c>
      <c r="P205" s="86">
        <f>+P244</f>
        <v>2072</v>
      </c>
      <c r="Q205" s="25"/>
      <c r="R205" s="80"/>
      <c r="S205" s="87"/>
      <c r="T205" s="5"/>
    </row>
    <row r="206" spans="1:20" ht="15.6" x14ac:dyDescent="0.3">
      <c r="A206" s="85"/>
      <c r="B206" s="77" t="s">
        <v>89</v>
      </c>
      <c r="C206" s="54"/>
      <c r="D206" s="54"/>
      <c r="E206" s="54"/>
      <c r="F206" s="25"/>
      <c r="G206" s="25"/>
      <c r="H206" s="30"/>
      <c r="I206" s="30"/>
      <c r="J206" s="30"/>
      <c r="K206" s="30"/>
      <c r="L206" s="30"/>
      <c r="M206" s="30"/>
      <c r="N206" s="30"/>
      <c r="O206" s="163">
        <f>+N256</f>
        <v>2</v>
      </c>
      <c r="P206" s="86">
        <f>+P256</f>
        <v>81</v>
      </c>
      <c r="Q206" s="25"/>
      <c r="R206" s="80"/>
      <c r="S206" s="87"/>
      <c r="T206" s="5"/>
    </row>
    <row r="207" spans="1:20" ht="15.6" x14ac:dyDescent="0.3">
      <c r="A207" s="85"/>
      <c r="B207" s="123" t="s">
        <v>90</v>
      </c>
      <c r="C207" s="54"/>
      <c r="D207" s="54"/>
      <c r="E207" s="54"/>
      <c r="F207" s="25"/>
      <c r="G207" s="25"/>
      <c r="H207" s="25"/>
      <c r="I207" s="25"/>
      <c r="J207" s="25"/>
      <c r="K207" s="25"/>
      <c r="L207" s="25"/>
      <c r="M207" s="25"/>
      <c r="N207" s="25"/>
      <c r="O207" s="25"/>
      <c r="P207" s="86">
        <v>0</v>
      </c>
      <c r="Q207" s="25"/>
      <c r="R207" s="80"/>
      <c r="S207" s="87"/>
      <c r="T207" s="5"/>
    </row>
    <row r="208" spans="1:20" ht="15.6" x14ac:dyDescent="0.3">
      <c r="A208" s="85"/>
      <c r="B208" s="123" t="s">
        <v>91</v>
      </c>
      <c r="C208" s="54"/>
      <c r="D208" s="54"/>
      <c r="E208" s="54"/>
      <c r="F208" s="25"/>
      <c r="G208" s="25"/>
      <c r="H208" s="25"/>
      <c r="I208" s="25"/>
      <c r="J208" s="25"/>
      <c r="K208" s="25"/>
      <c r="L208" s="25"/>
      <c r="M208" s="25"/>
      <c r="N208" s="25"/>
      <c r="O208" s="25"/>
      <c r="P208" s="62" t="s">
        <v>122</v>
      </c>
      <c r="Q208" s="25"/>
      <c r="R208" s="80"/>
      <c r="S208" s="87"/>
      <c r="T208" s="5"/>
    </row>
    <row r="209" spans="1:21" ht="15.6" x14ac:dyDescent="0.3">
      <c r="A209" s="88"/>
      <c r="B209" s="123" t="s">
        <v>92</v>
      </c>
      <c r="C209" s="77"/>
      <c r="D209" s="77"/>
      <c r="E209" s="77"/>
      <c r="F209" s="77"/>
      <c r="G209" s="25"/>
      <c r="H209" s="25"/>
      <c r="I209" s="25"/>
      <c r="J209" s="25"/>
      <c r="K209" s="25"/>
      <c r="L209" s="25"/>
      <c r="M209" s="25"/>
      <c r="N209" s="25"/>
      <c r="O209" s="25"/>
      <c r="P209" s="86"/>
      <c r="Q209" s="25"/>
      <c r="R209" s="80"/>
      <c r="S209" s="89"/>
      <c r="T209" s="5"/>
    </row>
    <row r="210" spans="1:21" ht="15.6" x14ac:dyDescent="0.3">
      <c r="A210" s="88"/>
      <c r="B210" s="134" t="s">
        <v>93</v>
      </c>
      <c r="C210" s="77"/>
      <c r="D210" s="77"/>
      <c r="E210" s="77"/>
      <c r="F210" s="77"/>
      <c r="G210" s="25"/>
      <c r="H210" s="25"/>
      <c r="I210" s="25"/>
      <c r="J210" s="25"/>
      <c r="K210" s="25"/>
      <c r="L210" s="25"/>
      <c r="M210" s="25"/>
      <c r="N210" s="25"/>
      <c r="O210" s="25">
        <v>0</v>
      </c>
      <c r="P210" s="86">
        <f>R158</f>
        <v>0</v>
      </c>
      <c r="Q210" s="25"/>
      <c r="R210" s="80"/>
      <c r="S210" s="89"/>
      <c r="T210" s="5"/>
    </row>
    <row r="211" spans="1:21" ht="15.6" x14ac:dyDescent="0.3">
      <c r="A211" s="85"/>
      <c r="B211" s="77" t="s">
        <v>94</v>
      </c>
      <c r="C211" s="54"/>
      <c r="D211" s="54"/>
      <c r="E211" s="54"/>
      <c r="F211" s="54"/>
      <c r="G211" s="25"/>
      <c r="H211" s="25"/>
      <c r="I211" s="25"/>
      <c r="J211" s="25"/>
      <c r="K211" s="25"/>
      <c r="L211" s="25"/>
      <c r="M211" s="25"/>
      <c r="N211" s="25"/>
      <c r="O211" s="25">
        <v>0</v>
      </c>
      <c r="P211" s="86">
        <f>+'Sept 05'!P209+P210</f>
        <v>0</v>
      </c>
      <c r="Q211" s="25"/>
      <c r="R211" s="80"/>
      <c r="S211" s="89"/>
      <c r="T211" s="5"/>
    </row>
    <row r="212" spans="1:21" ht="15.6" x14ac:dyDescent="0.3">
      <c r="A212" s="85"/>
      <c r="B212" s="77" t="s">
        <v>95</v>
      </c>
      <c r="C212" s="54"/>
      <c r="D212" s="54"/>
      <c r="E212" s="54"/>
      <c r="F212" s="54"/>
      <c r="G212" s="25"/>
      <c r="H212" s="25"/>
      <c r="I212" s="25"/>
      <c r="J212" s="25"/>
      <c r="K212" s="25"/>
      <c r="L212" s="25"/>
      <c r="M212" s="25"/>
      <c r="N212" s="25"/>
      <c r="O212" s="25"/>
      <c r="P212" s="86">
        <v>0</v>
      </c>
      <c r="Q212" s="25"/>
      <c r="R212" s="80"/>
      <c r="S212" s="89"/>
      <c r="T212" s="5"/>
    </row>
    <row r="213" spans="1:21" ht="15.6" x14ac:dyDescent="0.3">
      <c r="A213" s="88"/>
      <c r="B213" s="123" t="s">
        <v>256</v>
      </c>
      <c r="C213" s="77"/>
      <c r="D213" s="77"/>
      <c r="E213" s="77"/>
      <c r="F213" s="77"/>
      <c r="G213" s="25"/>
      <c r="H213" s="25"/>
      <c r="I213" s="25"/>
      <c r="J213" s="25"/>
      <c r="K213" s="25"/>
      <c r="L213" s="25"/>
      <c r="M213" s="25"/>
      <c r="N213" s="25"/>
      <c r="O213" s="25"/>
      <c r="P213" s="86"/>
      <c r="Q213" s="25"/>
      <c r="R213" s="80"/>
      <c r="S213" s="89"/>
      <c r="T213" s="5"/>
    </row>
    <row r="214" spans="1:21" ht="15.6" x14ac:dyDescent="0.3">
      <c r="A214" s="88"/>
      <c r="B214" s="77" t="s">
        <v>283</v>
      </c>
      <c r="C214" s="77"/>
      <c r="D214" s="77"/>
      <c r="E214" s="77"/>
      <c r="F214" s="77"/>
      <c r="G214" s="25"/>
      <c r="H214" s="25"/>
      <c r="I214" s="25"/>
      <c r="J214" s="25"/>
      <c r="K214" s="25"/>
      <c r="L214" s="25"/>
      <c r="M214" s="25"/>
      <c r="N214" s="25"/>
      <c r="O214" s="25">
        <v>1</v>
      </c>
      <c r="P214" s="86">
        <v>160</v>
      </c>
      <c r="Q214" s="25"/>
      <c r="R214" s="80"/>
      <c r="S214" s="89"/>
      <c r="T214" s="5"/>
    </row>
    <row r="215" spans="1:21" ht="15.6" x14ac:dyDescent="0.3">
      <c r="A215" s="85"/>
      <c r="B215" s="77" t="s">
        <v>97</v>
      </c>
      <c r="C215" s="90"/>
      <c r="D215" s="90"/>
      <c r="E215" s="90"/>
      <c r="F215" s="91"/>
      <c r="G215" s="25"/>
      <c r="H215" s="25"/>
      <c r="I215" s="25"/>
      <c r="J215" s="25"/>
      <c r="K215" s="25"/>
      <c r="L215" s="25"/>
      <c r="M215" s="25"/>
      <c r="N215" s="25"/>
      <c r="O215" s="25"/>
      <c r="P215" s="62">
        <v>15.13</v>
      </c>
      <c r="Q215" s="25"/>
      <c r="R215" s="80"/>
      <c r="S215" s="89"/>
      <c r="T215" s="5"/>
    </row>
    <row r="216" spans="1:21" ht="15.6" x14ac:dyDescent="0.3">
      <c r="A216" s="85"/>
      <c r="B216" s="77" t="s">
        <v>98</v>
      </c>
      <c r="C216" s="90"/>
      <c r="D216" s="90"/>
      <c r="E216" s="90"/>
      <c r="F216" s="91"/>
      <c r="G216" s="25"/>
      <c r="H216" s="25"/>
      <c r="I216" s="25"/>
      <c r="J216" s="25"/>
      <c r="K216" s="25"/>
      <c r="L216" s="25"/>
      <c r="M216" s="25"/>
      <c r="N216" s="25"/>
      <c r="O216" s="25"/>
      <c r="P216" s="62">
        <v>11</v>
      </c>
      <c r="Q216" s="25"/>
      <c r="R216" s="80"/>
      <c r="S216" s="89"/>
      <c r="T216" s="5"/>
    </row>
    <row r="217" spans="1:21" ht="15.6" x14ac:dyDescent="0.3">
      <c r="A217" s="85"/>
      <c r="B217" s="123" t="s">
        <v>257</v>
      </c>
      <c r="C217" s="90"/>
      <c r="D217" s="90"/>
      <c r="E217" s="90"/>
      <c r="F217" s="91"/>
      <c r="G217" s="25"/>
      <c r="H217" s="25"/>
      <c r="I217" s="25"/>
      <c r="J217" s="25"/>
      <c r="K217" s="25"/>
      <c r="L217" s="25"/>
      <c r="M217" s="25"/>
      <c r="N217" s="25"/>
      <c r="O217" s="25"/>
      <c r="P217" s="92"/>
      <c r="Q217" s="25"/>
      <c r="R217" s="80"/>
      <c r="S217" s="89"/>
      <c r="T217" s="5"/>
    </row>
    <row r="218" spans="1:21" ht="15.6" x14ac:dyDescent="0.3">
      <c r="A218" s="85"/>
      <c r="B218" s="77" t="s">
        <v>283</v>
      </c>
      <c r="C218" s="90"/>
      <c r="D218" s="90"/>
      <c r="E218" s="90"/>
      <c r="F218" s="91"/>
      <c r="G218" s="25"/>
      <c r="H218" s="25"/>
      <c r="I218" s="25"/>
      <c r="J218" s="25"/>
      <c r="K218" s="25"/>
      <c r="L218" s="25"/>
      <c r="M218" s="25"/>
      <c r="N218" s="25"/>
      <c r="O218" s="25">
        <v>2</v>
      </c>
      <c r="P218" s="86">
        <v>315</v>
      </c>
      <c r="Q218" s="25"/>
      <c r="R218" s="80"/>
      <c r="S218" s="89"/>
      <c r="T218" s="5"/>
    </row>
    <row r="219" spans="1:21" ht="15.6" x14ac:dyDescent="0.3">
      <c r="A219" s="85"/>
      <c r="B219" s="77" t="s">
        <v>258</v>
      </c>
      <c r="C219" s="90"/>
      <c r="D219" s="90"/>
      <c r="E219" s="90"/>
      <c r="F219" s="91"/>
      <c r="G219" s="25"/>
      <c r="H219" s="25"/>
      <c r="I219" s="25"/>
      <c r="J219" s="25"/>
      <c r="K219" s="25"/>
      <c r="L219" s="25"/>
      <c r="M219" s="25"/>
      <c r="N219" s="25"/>
      <c r="O219" s="25"/>
      <c r="P219" s="171">
        <v>0.08</v>
      </c>
      <c r="Q219" s="25"/>
      <c r="R219" s="80"/>
      <c r="S219" s="89"/>
      <c r="T219" s="5"/>
    </row>
    <row r="220" spans="1:21" ht="17.399999999999999" x14ac:dyDescent="0.3">
      <c r="A220" s="85"/>
      <c r="B220" s="166" t="s">
        <v>247</v>
      </c>
      <c r="C220" s="90"/>
      <c r="D220" s="90"/>
      <c r="E220" s="90"/>
      <c r="F220" s="91"/>
      <c r="G220" s="25"/>
      <c r="H220" s="25"/>
      <c r="I220" s="25"/>
      <c r="J220" s="168" t="s">
        <v>246</v>
      </c>
      <c r="K220" s="25"/>
      <c r="L220" s="25"/>
      <c r="M220" s="25"/>
      <c r="N220" s="25"/>
      <c r="O220" s="25"/>
      <c r="P220" s="92"/>
      <c r="Q220" s="25"/>
      <c r="R220" s="80"/>
      <c r="S220" s="89"/>
      <c r="T220" s="5"/>
    </row>
    <row r="221" spans="1:21" ht="15.6" x14ac:dyDescent="0.3">
      <c r="A221" s="85"/>
      <c r="B221" s="77"/>
      <c r="C221" s="90"/>
      <c r="D221" s="90"/>
      <c r="E221" s="90"/>
      <c r="F221" s="91"/>
      <c r="G221" s="25"/>
      <c r="H221" s="25"/>
      <c r="I221" s="25"/>
      <c r="J221" s="25"/>
      <c r="K221" s="25"/>
      <c r="L221" s="25"/>
      <c r="M221" s="25"/>
      <c r="N221" s="25"/>
      <c r="O221" s="25"/>
      <c r="P221" s="92"/>
      <c r="Q221" s="25"/>
      <c r="R221" s="80"/>
      <c r="S221" s="89"/>
      <c r="T221" s="5"/>
    </row>
    <row r="222" spans="1:21" ht="15.6" x14ac:dyDescent="0.3">
      <c r="A222" s="6"/>
      <c r="B222" s="14" t="s">
        <v>236</v>
      </c>
      <c r="C222" s="82"/>
      <c r="D222" s="82"/>
      <c r="E222" s="82"/>
      <c r="F222" s="83"/>
      <c r="G222" s="82"/>
      <c r="H222" s="17"/>
      <c r="I222" s="17"/>
      <c r="J222" s="17"/>
      <c r="K222" s="17"/>
      <c r="L222" s="17"/>
      <c r="M222" s="17"/>
      <c r="N222" s="84" t="s">
        <v>113</v>
      </c>
      <c r="O222" s="17" t="s">
        <v>114</v>
      </c>
      <c r="P222" s="84" t="s">
        <v>123</v>
      </c>
      <c r="Q222" s="17" t="s">
        <v>114</v>
      </c>
      <c r="R222" s="8"/>
      <c r="S222" s="93"/>
      <c r="T222" s="5"/>
    </row>
    <row r="223" spans="1:21" ht="15.6" x14ac:dyDescent="0.3">
      <c r="A223" s="24"/>
      <c r="B223" s="54" t="s">
        <v>99</v>
      </c>
      <c r="C223" s="94"/>
      <c r="D223" s="94"/>
      <c r="E223" s="94"/>
      <c r="F223" s="25"/>
      <c r="G223" s="94"/>
      <c r="H223" s="94"/>
      <c r="I223" s="94"/>
      <c r="J223" s="94"/>
      <c r="K223" s="94"/>
      <c r="L223" s="94"/>
      <c r="M223" s="94"/>
      <c r="N223" s="54">
        <v>8466</v>
      </c>
      <c r="O223" s="95">
        <f t="shared" ref="O223:O230" si="1">N223/$N$232</f>
        <v>0.98717350746268662</v>
      </c>
      <c r="P223" s="53">
        <v>878153</v>
      </c>
      <c r="Q223" s="135">
        <f t="shared" ref="Q223:Q230" si="2">P223/$P$232</f>
        <v>0.98903577928747766</v>
      </c>
      <c r="R223" s="80"/>
      <c r="S223" s="89"/>
      <c r="T223" s="5"/>
    </row>
    <row r="224" spans="1:21" ht="15.6" x14ac:dyDescent="0.3">
      <c r="A224" s="24"/>
      <c r="B224" s="54" t="s">
        <v>100</v>
      </c>
      <c r="C224" s="94"/>
      <c r="D224" s="94"/>
      <c r="E224" s="94"/>
      <c r="F224" s="25"/>
      <c r="G224" s="95"/>
      <c r="H224" s="94"/>
      <c r="I224" s="94"/>
      <c r="J224" s="94"/>
      <c r="K224" s="94"/>
      <c r="L224" s="94"/>
      <c r="M224" s="94"/>
      <c r="N224" s="54">
        <v>69</v>
      </c>
      <c r="O224" s="95">
        <f t="shared" si="1"/>
        <v>8.0457089552238813E-3</v>
      </c>
      <c r="P224" s="53">
        <v>5008</v>
      </c>
      <c r="Q224" s="135">
        <f t="shared" si="2"/>
        <v>5.6403510352657088E-3</v>
      </c>
      <c r="R224" s="80"/>
      <c r="S224" s="89"/>
      <c r="T224" s="5"/>
      <c r="U224" s="110"/>
    </row>
    <row r="225" spans="1:21" ht="15.6" x14ac:dyDescent="0.3">
      <c r="A225" s="24"/>
      <c r="B225" s="54" t="s">
        <v>101</v>
      </c>
      <c r="C225" s="94"/>
      <c r="D225" s="94"/>
      <c r="E225" s="94"/>
      <c r="F225" s="25"/>
      <c r="G225" s="95"/>
      <c r="H225" s="94"/>
      <c r="I225" s="94"/>
      <c r="J225" s="94"/>
      <c r="K225" s="94"/>
      <c r="L225" s="94"/>
      <c r="M225" s="94"/>
      <c r="N225" s="54">
        <v>11</v>
      </c>
      <c r="O225" s="95">
        <f t="shared" si="1"/>
        <v>1.2826492537313433E-3</v>
      </c>
      <c r="P225" s="53">
        <v>2554</v>
      </c>
      <c r="Q225" s="135">
        <f t="shared" si="2"/>
        <v>2.8764889265312744E-3</v>
      </c>
      <c r="R225" s="80"/>
      <c r="S225" s="89"/>
      <c r="T225" s="5"/>
    </row>
    <row r="226" spans="1:21" ht="15.6" x14ac:dyDescent="0.3">
      <c r="A226" s="24"/>
      <c r="B226" s="54" t="s">
        <v>210</v>
      </c>
      <c r="C226" s="94"/>
      <c r="D226" s="94"/>
      <c r="E226" s="94"/>
      <c r="F226" s="25"/>
      <c r="G226" s="95"/>
      <c r="H226" s="94"/>
      <c r="I226" s="94"/>
      <c r="J226" s="94"/>
      <c r="K226" s="94"/>
      <c r="L226" s="94"/>
      <c r="M226" s="94"/>
      <c r="N226" s="54">
        <v>7</v>
      </c>
      <c r="O226" s="95">
        <f t="shared" si="1"/>
        <v>8.1623134328358206E-4</v>
      </c>
      <c r="P226" s="53">
        <v>548</v>
      </c>
      <c r="Q226" s="135">
        <f t="shared" si="2"/>
        <v>6.1719496152667908E-4</v>
      </c>
      <c r="R226" s="80"/>
      <c r="S226" s="89"/>
      <c r="T226" s="5"/>
      <c r="U226" s="110"/>
    </row>
    <row r="227" spans="1:21" ht="15.6" x14ac:dyDescent="0.3">
      <c r="A227" s="24"/>
      <c r="B227" s="54" t="s">
        <v>211</v>
      </c>
      <c r="C227" s="94"/>
      <c r="D227" s="94"/>
      <c r="E227" s="94"/>
      <c r="F227" s="25"/>
      <c r="G227" s="95"/>
      <c r="H227" s="94"/>
      <c r="I227" s="94"/>
      <c r="J227" s="94"/>
      <c r="K227" s="94"/>
      <c r="L227" s="94"/>
      <c r="M227" s="94"/>
      <c r="N227" s="54">
        <v>8</v>
      </c>
      <c r="O227" s="95">
        <f t="shared" si="1"/>
        <v>9.3283582089552237E-4</v>
      </c>
      <c r="P227" s="53">
        <v>876</v>
      </c>
      <c r="Q227" s="135">
        <f t="shared" si="2"/>
        <v>9.8661092390031169E-4</v>
      </c>
      <c r="R227" s="80"/>
      <c r="S227" s="89"/>
      <c r="T227" s="5"/>
    </row>
    <row r="228" spans="1:21" ht="15.6" x14ac:dyDescent="0.3">
      <c r="A228" s="24"/>
      <c r="B228" s="54" t="s">
        <v>212</v>
      </c>
      <c r="C228" s="94"/>
      <c r="D228" s="94"/>
      <c r="E228" s="94"/>
      <c r="F228" s="25"/>
      <c r="G228" s="95"/>
      <c r="H228" s="94"/>
      <c r="I228" s="94"/>
      <c r="J228" s="94"/>
      <c r="K228" s="94"/>
      <c r="L228" s="94"/>
      <c r="M228" s="94"/>
      <c r="N228" s="54">
        <v>4</v>
      </c>
      <c r="O228" s="95">
        <f t="shared" si="1"/>
        <v>4.6641791044776119E-4</v>
      </c>
      <c r="P228" s="53">
        <v>107</v>
      </c>
      <c r="Q228" s="135">
        <f t="shared" si="2"/>
        <v>1.2051069504261799E-4</v>
      </c>
      <c r="R228" s="80"/>
      <c r="S228" s="89"/>
      <c r="T228" s="5"/>
      <c r="U228" s="110"/>
    </row>
    <row r="229" spans="1:21" ht="15.6" x14ac:dyDescent="0.3">
      <c r="A229" s="24"/>
      <c r="B229" s="54" t="s">
        <v>213</v>
      </c>
      <c r="C229" s="94"/>
      <c r="D229" s="94"/>
      <c r="E229" s="94"/>
      <c r="F229" s="25"/>
      <c r="G229" s="95"/>
      <c r="H229" s="94"/>
      <c r="I229" s="94"/>
      <c r="J229" s="94"/>
      <c r="K229" s="94"/>
      <c r="L229" s="94"/>
      <c r="M229" s="94"/>
      <c r="N229" s="54">
        <v>8</v>
      </c>
      <c r="O229" s="95">
        <f t="shared" si="1"/>
        <v>9.3283582089552237E-4</v>
      </c>
      <c r="P229" s="53">
        <v>507</v>
      </c>
      <c r="Q229" s="135">
        <f t="shared" si="2"/>
        <v>5.7101796622997499E-4</v>
      </c>
      <c r="R229" s="80"/>
      <c r="S229" s="89"/>
      <c r="T229" s="5"/>
    </row>
    <row r="230" spans="1:21" ht="15.6" x14ac:dyDescent="0.3">
      <c r="A230" s="24"/>
      <c r="B230" s="54" t="s">
        <v>214</v>
      </c>
      <c r="C230" s="94"/>
      <c r="D230" s="94"/>
      <c r="E230" s="94"/>
      <c r="F230" s="25"/>
      <c r="G230" s="95"/>
      <c r="H230" s="94"/>
      <c r="I230" s="94"/>
      <c r="J230" s="94"/>
      <c r="K230" s="94"/>
      <c r="L230" s="94"/>
      <c r="M230" s="94"/>
      <c r="N230" s="54">
        <v>3</v>
      </c>
      <c r="O230" s="95">
        <f t="shared" si="1"/>
        <v>3.4981343283582088E-4</v>
      </c>
      <c r="P230" s="53">
        <v>135</v>
      </c>
      <c r="Q230" s="135">
        <f t="shared" si="2"/>
        <v>1.5204620402573297E-4</v>
      </c>
      <c r="R230" s="80"/>
      <c r="S230" s="89"/>
      <c r="T230" s="5"/>
      <c r="U230" s="110"/>
    </row>
    <row r="231" spans="1:21" ht="15.6" x14ac:dyDescent="0.3">
      <c r="A231" s="24"/>
      <c r="B231" s="25"/>
      <c r="C231" s="94"/>
      <c r="D231" s="94"/>
      <c r="E231" s="94"/>
      <c r="F231" s="25"/>
      <c r="G231" s="95"/>
      <c r="H231" s="94"/>
      <c r="I231" s="94"/>
      <c r="J231" s="94"/>
      <c r="K231" s="94"/>
      <c r="L231" s="94"/>
      <c r="M231" s="94"/>
      <c r="N231" s="54"/>
      <c r="O231" s="95"/>
      <c r="P231" s="53"/>
      <c r="Q231" s="135"/>
      <c r="R231" s="80"/>
      <c r="S231" s="89"/>
      <c r="T231" s="5"/>
    </row>
    <row r="232" spans="1:21" ht="15.6" x14ac:dyDescent="0.3">
      <c r="A232" s="24"/>
      <c r="B232" s="25" t="s">
        <v>129</v>
      </c>
      <c r="C232" s="25"/>
      <c r="D232" s="25"/>
      <c r="E232" s="25"/>
      <c r="F232" s="25"/>
      <c r="G232" s="25"/>
      <c r="H232" s="96"/>
      <c r="I232" s="96"/>
      <c r="J232" s="96"/>
      <c r="K232" s="96"/>
      <c r="L232" s="96"/>
      <c r="M232" s="96"/>
      <c r="N232" s="34">
        <f>SUM(N223:N231)</f>
        <v>8576</v>
      </c>
      <c r="O232" s="135">
        <f>SUM(O223:O231)</f>
        <v>1</v>
      </c>
      <c r="P232" s="53">
        <f>SUM(P223:P231)</f>
        <v>887888</v>
      </c>
      <c r="Q232" s="135">
        <f>SUM(Q223:Q231)</f>
        <v>0.99999999999999989</v>
      </c>
      <c r="R232" s="25"/>
      <c r="S232" s="25"/>
      <c r="T232" s="5"/>
    </row>
    <row r="233" spans="1:21" ht="15.6" x14ac:dyDescent="0.3">
      <c r="A233" s="24"/>
      <c r="B233" s="25"/>
      <c r="C233" s="25"/>
      <c r="D233" s="25"/>
      <c r="E233" s="25"/>
      <c r="F233" s="25"/>
      <c r="G233" s="25"/>
      <c r="H233" s="96"/>
      <c r="I233" s="96"/>
      <c r="J233" s="96"/>
      <c r="K233" s="96"/>
      <c r="L233" s="96"/>
      <c r="M233" s="96"/>
      <c r="N233" s="34"/>
      <c r="O233" s="135"/>
      <c r="P233" s="53"/>
      <c r="Q233" s="135"/>
      <c r="R233" s="25"/>
      <c r="S233" s="25"/>
      <c r="T233" s="5"/>
    </row>
    <row r="234" spans="1:21" ht="15.6" x14ac:dyDescent="0.3">
      <c r="A234" s="144"/>
      <c r="B234" s="14" t="s">
        <v>241</v>
      </c>
      <c r="C234" s="82"/>
      <c r="D234" s="82"/>
      <c r="E234" s="82"/>
      <c r="F234" s="83"/>
      <c r="G234" s="82"/>
      <c r="H234" s="17"/>
      <c r="I234" s="17"/>
      <c r="J234" s="17"/>
      <c r="K234" s="17"/>
      <c r="L234" s="17"/>
      <c r="M234" s="17"/>
      <c r="N234" s="84" t="s">
        <v>113</v>
      </c>
      <c r="O234" s="17" t="s">
        <v>114</v>
      </c>
      <c r="P234" s="84" t="s">
        <v>123</v>
      </c>
      <c r="Q234" s="17" t="s">
        <v>114</v>
      </c>
      <c r="R234" s="142"/>
      <c r="S234" s="143"/>
      <c r="T234" s="5"/>
    </row>
    <row r="235" spans="1:21" ht="15.6" x14ac:dyDescent="0.3">
      <c r="A235" s="24"/>
      <c r="B235" s="54" t="s">
        <v>99</v>
      </c>
      <c r="C235" s="94"/>
      <c r="D235" s="94"/>
      <c r="E235" s="94"/>
      <c r="F235" s="25"/>
      <c r="G235" s="94"/>
      <c r="H235" s="94"/>
      <c r="I235" s="94"/>
      <c r="J235" s="94"/>
      <c r="K235" s="94"/>
      <c r="L235" s="94"/>
      <c r="M235" s="94"/>
      <c r="N235" s="54">
        <v>6</v>
      </c>
      <c r="O235" s="95">
        <f t="shared" ref="O235:O242" si="3">N235/$N$244</f>
        <v>0.4</v>
      </c>
      <c r="P235" s="53">
        <v>624</v>
      </c>
      <c r="Q235" s="135">
        <f t="shared" ref="Q235:Q242" si="4">P235/$P$244</f>
        <v>0.30115830115830117</v>
      </c>
      <c r="R235" s="25"/>
      <c r="S235" s="25"/>
      <c r="T235" s="5"/>
    </row>
    <row r="236" spans="1:21" ht="15.6" x14ac:dyDescent="0.3">
      <c r="A236" s="24"/>
      <c r="B236" s="54" t="s">
        <v>100</v>
      </c>
      <c r="C236" s="94"/>
      <c r="D236" s="94"/>
      <c r="E236" s="94"/>
      <c r="F236" s="25"/>
      <c r="G236" s="95"/>
      <c r="H236" s="94"/>
      <c r="I236" s="94"/>
      <c r="J236" s="94"/>
      <c r="K236" s="94"/>
      <c r="L236" s="94"/>
      <c r="M236" s="94"/>
      <c r="N236" s="54">
        <v>1</v>
      </c>
      <c r="O236" s="95">
        <f t="shared" si="3"/>
        <v>6.6666666666666666E-2</v>
      </c>
      <c r="P236" s="53">
        <v>101</v>
      </c>
      <c r="Q236" s="135">
        <f t="shared" si="4"/>
        <v>4.8745173745173745E-2</v>
      </c>
      <c r="R236" s="25"/>
      <c r="S236" s="25"/>
      <c r="T236" s="5"/>
    </row>
    <row r="237" spans="1:21" ht="15.6" x14ac:dyDescent="0.3">
      <c r="A237" s="24"/>
      <c r="B237" s="54" t="s">
        <v>101</v>
      </c>
      <c r="C237" s="94"/>
      <c r="D237" s="94"/>
      <c r="E237" s="94"/>
      <c r="F237" s="25"/>
      <c r="G237" s="95"/>
      <c r="H237" s="94"/>
      <c r="I237" s="94"/>
      <c r="J237" s="94"/>
      <c r="K237" s="94"/>
      <c r="L237" s="94"/>
      <c r="M237" s="94"/>
      <c r="N237" s="54">
        <v>0</v>
      </c>
      <c r="O237" s="95">
        <f t="shared" si="3"/>
        <v>0</v>
      </c>
      <c r="P237" s="53">
        <v>0</v>
      </c>
      <c r="Q237" s="135">
        <f t="shared" si="4"/>
        <v>0</v>
      </c>
      <c r="R237" s="25"/>
      <c r="S237" s="25"/>
      <c r="T237" s="5"/>
    </row>
    <row r="238" spans="1:21" ht="15.6" x14ac:dyDescent="0.3">
      <c r="A238" s="24"/>
      <c r="B238" s="54" t="s">
        <v>210</v>
      </c>
      <c r="C238" s="94"/>
      <c r="D238" s="94"/>
      <c r="E238" s="94"/>
      <c r="F238" s="25"/>
      <c r="G238" s="95"/>
      <c r="H238" s="94"/>
      <c r="I238" s="94"/>
      <c r="J238" s="94"/>
      <c r="K238" s="94"/>
      <c r="L238" s="94"/>
      <c r="M238" s="94"/>
      <c r="N238" s="54">
        <v>1</v>
      </c>
      <c r="O238" s="95">
        <f t="shared" si="3"/>
        <v>6.6666666666666666E-2</v>
      </c>
      <c r="P238" s="53">
        <v>24</v>
      </c>
      <c r="Q238" s="135">
        <f t="shared" si="4"/>
        <v>1.1583011583011582E-2</v>
      </c>
      <c r="R238" s="25"/>
      <c r="S238" s="25"/>
      <c r="T238" s="5"/>
    </row>
    <row r="239" spans="1:21" ht="15.6" x14ac:dyDescent="0.3">
      <c r="A239" s="24"/>
      <c r="B239" s="54" t="s">
        <v>211</v>
      </c>
      <c r="C239" s="94"/>
      <c r="D239" s="94"/>
      <c r="E239" s="94"/>
      <c r="F239" s="25"/>
      <c r="G239" s="95"/>
      <c r="H239" s="94"/>
      <c r="I239" s="94"/>
      <c r="J239" s="94"/>
      <c r="K239" s="94"/>
      <c r="L239" s="94"/>
      <c r="M239" s="94"/>
      <c r="N239" s="54">
        <v>4</v>
      </c>
      <c r="O239" s="95">
        <f t="shared" si="3"/>
        <v>0.26666666666666666</v>
      </c>
      <c r="P239" s="53">
        <v>923</v>
      </c>
      <c r="Q239" s="135">
        <f t="shared" si="4"/>
        <v>0.44546332046332049</v>
      </c>
      <c r="R239" s="25"/>
      <c r="S239" s="25"/>
      <c r="T239" s="5"/>
    </row>
    <row r="240" spans="1:21" ht="15.6" x14ac:dyDescent="0.3">
      <c r="A240" s="24"/>
      <c r="B240" s="54" t="s">
        <v>212</v>
      </c>
      <c r="C240" s="94"/>
      <c r="D240" s="94"/>
      <c r="E240" s="94"/>
      <c r="F240" s="25"/>
      <c r="G240" s="95"/>
      <c r="H240" s="94"/>
      <c r="I240" s="94"/>
      <c r="J240" s="94"/>
      <c r="K240" s="94"/>
      <c r="L240" s="94"/>
      <c r="M240" s="94"/>
      <c r="N240" s="54">
        <v>0</v>
      </c>
      <c r="O240" s="95">
        <f t="shared" si="3"/>
        <v>0</v>
      </c>
      <c r="P240" s="53">
        <v>0</v>
      </c>
      <c r="Q240" s="135">
        <f t="shared" si="4"/>
        <v>0</v>
      </c>
      <c r="R240" s="25"/>
      <c r="S240" s="25"/>
      <c r="T240" s="5"/>
    </row>
    <row r="241" spans="1:20" ht="15.6" x14ac:dyDescent="0.3">
      <c r="A241" s="24"/>
      <c r="B241" s="54" t="s">
        <v>213</v>
      </c>
      <c r="C241" s="94"/>
      <c r="D241" s="94"/>
      <c r="E241" s="94"/>
      <c r="F241" s="25"/>
      <c r="G241" s="95"/>
      <c r="H241" s="94"/>
      <c r="I241" s="94"/>
      <c r="J241" s="94"/>
      <c r="K241" s="94"/>
      <c r="L241" s="94"/>
      <c r="M241" s="94"/>
      <c r="N241" s="54">
        <v>3</v>
      </c>
      <c r="O241" s="95">
        <f t="shared" si="3"/>
        <v>0.2</v>
      </c>
      <c r="P241" s="53">
        <v>400</v>
      </c>
      <c r="Q241" s="135">
        <f t="shared" si="4"/>
        <v>0.19305019305019305</v>
      </c>
      <c r="R241" s="25"/>
      <c r="S241" s="25"/>
      <c r="T241" s="5"/>
    </row>
    <row r="242" spans="1:20" ht="15.6" x14ac:dyDescent="0.3">
      <c r="A242" s="24"/>
      <c r="B242" s="54" t="s">
        <v>214</v>
      </c>
      <c r="C242" s="94"/>
      <c r="D242" s="94"/>
      <c r="E242" s="94"/>
      <c r="F242" s="25"/>
      <c r="G242" s="95"/>
      <c r="H242" s="94"/>
      <c r="I242" s="94"/>
      <c r="J242" s="94"/>
      <c r="K242" s="94"/>
      <c r="L242" s="94"/>
      <c r="M242" s="94"/>
      <c r="N242" s="54">
        <v>0</v>
      </c>
      <c r="O242" s="95">
        <f t="shared" si="3"/>
        <v>0</v>
      </c>
      <c r="P242" s="53">
        <v>0</v>
      </c>
      <c r="Q242" s="135">
        <f t="shared" si="4"/>
        <v>0</v>
      </c>
      <c r="R242" s="25"/>
      <c r="S242" s="25"/>
      <c r="T242" s="5"/>
    </row>
    <row r="243" spans="1:20" ht="15.6" x14ac:dyDescent="0.3">
      <c r="A243" s="24"/>
      <c r="B243" s="25"/>
      <c r="C243" s="94"/>
      <c r="D243" s="94"/>
      <c r="E243" s="94"/>
      <c r="F243" s="25"/>
      <c r="G243" s="95"/>
      <c r="H243" s="94"/>
      <c r="I243" s="94"/>
      <c r="J243" s="94"/>
      <c r="K243" s="94"/>
      <c r="L243" s="94"/>
      <c r="M243" s="94"/>
      <c r="N243" s="54"/>
      <c r="O243" s="95"/>
      <c r="P243" s="53"/>
      <c r="Q243" s="135"/>
      <c r="R243" s="25"/>
      <c r="S243" s="25"/>
      <c r="T243" s="5"/>
    </row>
    <row r="244" spans="1:20" ht="15.6" x14ac:dyDescent="0.3">
      <c r="A244" s="24"/>
      <c r="B244" s="25" t="s">
        <v>129</v>
      </c>
      <c r="C244" s="25"/>
      <c r="D244" s="25"/>
      <c r="E244" s="25"/>
      <c r="F244" s="25"/>
      <c r="G244" s="25"/>
      <c r="H244" s="96"/>
      <c r="I244" s="96"/>
      <c r="J244" s="96"/>
      <c r="K244" s="96"/>
      <c r="L244" s="96"/>
      <c r="M244" s="96"/>
      <c r="N244" s="34">
        <f>SUM(N235:N243)</f>
        <v>15</v>
      </c>
      <c r="O244" s="135">
        <f>SUM(O235:O243)</f>
        <v>1</v>
      </c>
      <c r="P244" s="53">
        <f>SUM(P235:P243)</f>
        <v>2072</v>
      </c>
      <c r="Q244" s="135">
        <f>SUM(Q235:Q243)</f>
        <v>1</v>
      </c>
      <c r="R244" s="25"/>
      <c r="S244" s="25"/>
      <c r="T244" s="5"/>
    </row>
    <row r="245" spans="1:20" ht="15.6" x14ac:dyDescent="0.3">
      <c r="A245" s="24"/>
      <c r="B245" s="25"/>
      <c r="C245" s="25"/>
      <c r="D245" s="25"/>
      <c r="E245" s="25"/>
      <c r="F245" s="25"/>
      <c r="G245" s="25"/>
      <c r="H245" s="96"/>
      <c r="I245" s="96"/>
      <c r="J245" s="96"/>
      <c r="K245" s="96"/>
      <c r="L245" s="96"/>
      <c r="M245" s="96"/>
      <c r="N245" s="34"/>
      <c r="O245" s="135"/>
      <c r="P245" s="53"/>
      <c r="Q245" s="135"/>
      <c r="R245" s="25"/>
      <c r="S245" s="25"/>
      <c r="T245" s="5"/>
    </row>
    <row r="246" spans="1:20" s="153" customFormat="1" ht="15.6" x14ac:dyDescent="0.3">
      <c r="A246" s="144"/>
      <c r="B246" s="14" t="s">
        <v>239</v>
      </c>
      <c r="C246" s="151"/>
      <c r="D246" s="151"/>
      <c r="E246" s="151"/>
      <c r="F246" s="151"/>
      <c r="G246" s="151"/>
      <c r="H246" s="152"/>
      <c r="I246" s="152"/>
      <c r="J246" s="152"/>
      <c r="K246" s="152"/>
      <c r="L246" s="152"/>
      <c r="M246" s="152"/>
      <c r="N246" s="84" t="s">
        <v>113</v>
      </c>
      <c r="O246" s="17" t="s">
        <v>114</v>
      </c>
      <c r="P246" s="84" t="s">
        <v>123</v>
      </c>
      <c r="Q246" s="17" t="s">
        <v>114</v>
      </c>
      <c r="R246" s="151"/>
      <c r="S246" s="151"/>
      <c r="T246" s="5"/>
    </row>
    <row r="247" spans="1:20" s="153" customFormat="1" ht="15.6" x14ac:dyDescent="0.3">
      <c r="A247" s="24"/>
      <c r="B247" s="54" t="s">
        <v>99</v>
      </c>
      <c r="C247" s="161"/>
      <c r="D247" s="161"/>
      <c r="E247" s="161"/>
      <c r="F247" s="161"/>
      <c r="G247" s="161"/>
      <c r="H247" s="162"/>
      <c r="I247" s="162"/>
      <c r="J247" s="162"/>
      <c r="K247" s="162"/>
      <c r="L247" s="162"/>
      <c r="M247" s="162"/>
      <c r="N247" s="54">
        <v>0</v>
      </c>
      <c r="O247" s="95">
        <f t="shared" ref="O247:O254" si="5">+N247/$N$256</f>
        <v>0</v>
      </c>
      <c r="P247" s="53">
        <v>0</v>
      </c>
      <c r="Q247" s="135">
        <f t="shared" ref="Q247:Q254" si="6">+P247/$P$256</f>
        <v>0</v>
      </c>
      <c r="R247" s="155"/>
      <c r="S247" s="160"/>
      <c r="T247" s="5"/>
    </row>
    <row r="248" spans="1:20" s="153" customFormat="1" ht="15.6" x14ac:dyDescent="0.3">
      <c r="A248" s="24"/>
      <c r="B248" s="54" t="s">
        <v>100</v>
      </c>
      <c r="C248" s="161"/>
      <c r="D248" s="161"/>
      <c r="E248" s="161"/>
      <c r="F248" s="161"/>
      <c r="G248" s="161"/>
      <c r="H248" s="162"/>
      <c r="I248" s="162"/>
      <c r="J248" s="162"/>
      <c r="K248" s="162"/>
      <c r="L248" s="162"/>
      <c r="M248" s="162"/>
      <c r="N248" s="54">
        <v>0</v>
      </c>
      <c r="O248" s="95">
        <f t="shared" si="5"/>
        <v>0</v>
      </c>
      <c r="P248" s="53">
        <v>0</v>
      </c>
      <c r="Q248" s="135">
        <f t="shared" si="6"/>
        <v>0</v>
      </c>
      <c r="R248" s="135"/>
      <c r="S248" s="160"/>
      <c r="T248" s="5"/>
    </row>
    <row r="249" spans="1:20" s="153" customFormat="1" ht="15.6" x14ac:dyDescent="0.3">
      <c r="A249" s="24"/>
      <c r="B249" s="54" t="s">
        <v>101</v>
      </c>
      <c r="C249" s="161"/>
      <c r="D249" s="161"/>
      <c r="E249" s="161"/>
      <c r="F249" s="161"/>
      <c r="G249" s="161"/>
      <c r="H249" s="162"/>
      <c r="I249" s="162"/>
      <c r="J249" s="162"/>
      <c r="K249" s="162"/>
      <c r="L249" s="162"/>
      <c r="M249" s="162"/>
      <c r="N249" s="54">
        <v>0</v>
      </c>
      <c r="O249" s="95">
        <f t="shared" si="5"/>
        <v>0</v>
      </c>
      <c r="P249" s="53">
        <v>0</v>
      </c>
      <c r="Q249" s="135">
        <f t="shared" si="6"/>
        <v>0</v>
      </c>
      <c r="R249" s="155"/>
      <c r="S249" s="160"/>
      <c r="T249" s="5"/>
    </row>
    <row r="250" spans="1:20" s="153" customFormat="1" ht="15.6" x14ac:dyDescent="0.3">
      <c r="A250" s="24"/>
      <c r="B250" s="54" t="s">
        <v>210</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t="s">
        <v>211</v>
      </c>
      <c r="C251" s="161"/>
      <c r="D251" s="161"/>
      <c r="E251" s="161"/>
      <c r="F251" s="161"/>
      <c r="G251" s="161"/>
      <c r="H251" s="162"/>
      <c r="I251" s="162"/>
      <c r="J251" s="162"/>
      <c r="K251" s="162"/>
      <c r="L251" s="162"/>
      <c r="M251" s="162"/>
      <c r="N251" s="54">
        <v>0</v>
      </c>
      <c r="O251" s="95">
        <f t="shared" si="5"/>
        <v>0</v>
      </c>
      <c r="P251" s="53">
        <v>0</v>
      </c>
      <c r="Q251" s="135">
        <f t="shared" si="6"/>
        <v>0</v>
      </c>
      <c r="R251" s="155"/>
      <c r="S251" s="160"/>
      <c r="T251" s="5"/>
    </row>
    <row r="252" spans="1:20" s="153" customFormat="1" ht="15.6" x14ac:dyDescent="0.3">
      <c r="A252" s="24"/>
      <c r="B252" s="54" t="s">
        <v>212</v>
      </c>
      <c r="C252" s="161"/>
      <c r="D252" s="161"/>
      <c r="E252" s="161"/>
      <c r="F252" s="161"/>
      <c r="G252" s="161"/>
      <c r="H252" s="162"/>
      <c r="I252" s="162"/>
      <c r="J252" s="162"/>
      <c r="K252" s="162"/>
      <c r="L252" s="162"/>
      <c r="M252" s="162"/>
      <c r="N252" s="54">
        <v>0</v>
      </c>
      <c r="O252" s="95">
        <f t="shared" si="5"/>
        <v>0</v>
      </c>
      <c r="P252" s="53">
        <v>0</v>
      </c>
      <c r="Q252" s="135">
        <f t="shared" si="6"/>
        <v>0</v>
      </c>
      <c r="R252" s="155"/>
      <c r="S252" s="160"/>
      <c r="T252" s="5"/>
    </row>
    <row r="253" spans="1:20" s="153" customFormat="1" ht="15.6" x14ac:dyDescent="0.3">
      <c r="A253" s="24"/>
      <c r="B253" s="54" t="s">
        <v>213</v>
      </c>
      <c r="C253" s="161"/>
      <c r="D253" s="161"/>
      <c r="E253" s="161"/>
      <c r="F253" s="161"/>
      <c r="G253" s="161"/>
      <c r="H253" s="162"/>
      <c r="I253" s="162"/>
      <c r="J253" s="162"/>
      <c r="K253" s="162"/>
      <c r="L253" s="162"/>
      <c r="M253" s="162"/>
      <c r="N253" s="54">
        <v>1</v>
      </c>
      <c r="O253" s="95">
        <f t="shared" si="5"/>
        <v>0.5</v>
      </c>
      <c r="P253" s="53">
        <v>40</v>
      </c>
      <c r="Q253" s="135">
        <f t="shared" si="6"/>
        <v>0.49382716049382713</v>
      </c>
      <c r="R253" s="155"/>
      <c r="S253" s="160"/>
      <c r="T253" s="5"/>
    </row>
    <row r="254" spans="1:20" s="153" customFormat="1" ht="15.6" x14ac:dyDescent="0.3">
      <c r="A254" s="24"/>
      <c r="B254" s="54" t="s">
        <v>214</v>
      </c>
      <c r="C254" s="161"/>
      <c r="D254" s="161"/>
      <c r="E254" s="161"/>
      <c r="F254" s="161"/>
      <c r="G254" s="161"/>
      <c r="H254" s="162"/>
      <c r="I254" s="162"/>
      <c r="J254" s="162"/>
      <c r="K254" s="162"/>
      <c r="L254" s="162"/>
      <c r="M254" s="162"/>
      <c r="N254" s="54">
        <v>1</v>
      </c>
      <c r="O254" s="95">
        <f t="shared" si="5"/>
        <v>0.5</v>
      </c>
      <c r="P254" s="53">
        <v>41</v>
      </c>
      <c r="Q254" s="135">
        <f t="shared" si="6"/>
        <v>0.50617283950617287</v>
      </c>
      <c r="R254" s="155"/>
      <c r="S254" s="160"/>
      <c r="T254" s="5"/>
    </row>
    <row r="255" spans="1:20" s="153" customFormat="1" ht="15.6" x14ac:dyDescent="0.3">
      <c r="A255" s="24"/>
      <c r="B255" s="54"/>
      <c r="C255" s="161"/>
      <c r="D255" s="161"/>
      <c r="E255" s="161"/>
      <c r="F255" s="161"/>
      <c r="G255" s="161"/>
      <c r="H255" s="162"/>
      <c r="I255" s="162"/>
      <c r="J255" s="162"/>
      <c r="K255" s="162"/>
      <c r="L255" s="162"/>
      <c r="M255" s="162"/>
      <c r="N255" s="54"/>
      <c r="O255" s="95"/>
      <c r="P255" s="53"/>
      <c r="Q255" s="135"/>
      <c r="R255" s="155"/>
      <c r="S255" s="160"/>
      <c r="T255" s="5"/>
    </row>
    <row r="256" spans="1:20" ht="15.6" x14ac:dyDescent="0.3">
      <c r="A256" s="24"/>
      <c r="B256" s="25" t="s">
        <v>129</v>
      </c>
      <c r="C256" s="161"/>
      <c r="D256" s="161"/>
      <c r="E256" s="161"/>
      <c r="F256" s="161"/>
      <c r="G256" s="161"/>
      <c r="H256" s="162"/>
      <c r="I256" s="162"/>
      <c r="J256" s="162"/>
      <c r="K256" s="162"/>
      <c r="L256" s="162"/>
      <c r="M256" s="162"/>
      <c r="N256" s="34">
        <f>SUM(N247:N254)</f>
        <v>2</v>
      </c>
      <c r="O256" s="95">
        <f>SUM(O247:O254)</f>
        <v>1</v>
      </c>
      <c r="P256" s="53">
        <f>SUM(P247:P254)</f>
        <v>81</v>
      </c>
      <c r="Q256" s="135">
        <f>SUM(Q247:Q254)</f>
        <v>1</v>
      </c>
      <c r="R256" s="155"/>
      <c r="S256" s="160"/>
      <c r="T256" s="5"/>
    </row>
    <row r="257" spans="1:20" ht="15.6" x14ac:dyDescent="0.3">
      <c r="A257" s="24"/>
      <c r="B257" s="25"/>
      <c r="C257" s="151"/>
      <c r="D257" s="151"/>
      <c r="E257" s="151"/>
      <c r="F257" s="151"/>
      <c r="G257" s="151"/>
      <c r="H257" s="152"/>
      <c r="I257" s="152"/>
      <c r="J257" s="152"/>
      <c r="K257" s="152"/>
      <c r="L257" s="152"/>
      <c r="M257" s="152"/>
      <c r="N257" s="34"/>
      <c r="O257" s="135"/>
      <c r="P257" s="53"/>
      <c r="Q257" s="135"/>
      <c r="R257" s="151"/>
      <c r="S257" s="151"/>
      <c r="T257" s="5"/>
    </row>
    <row r="258" spans="1:20" ht="15.6" x14ac:dyDescent="0.3">
      <c r="A258" s="24"/>
      <c r="B258" s="154" t="s">
        <v>240</v>
      </c>
      <c r="C258" s="155"/>
      <c r="D258" s="155"/>
      <c r="E258" s="155"/>
      <c r="F258" s="155"/>
      <c r="G258" s="155"/>
      <c r="H258" s="156"/>
      <c r="I258" s="156"/>
      <c r="J258" s="156"/>
      <c r="K258" s="156"/>
      <c r="L258" s="156"/>
      <c r="M258" s="156"/>
      <c r="N258" s="157"/>
      <c r="O258" s="158"/>
      <c r="P258" s="159">
        <f>+P256+P244+P232</f>
        <v>890041</v>
      </c>
      <c r="Q258" s="158"/>
      <c r="R258" s="155"/>
      <c r="S258" s="160"/>
      <c r="T258" s="5"/>
    </row>
    <row r="259" spans="1:20" ht="15.6" x14ac:dyDescent="0.3">
      <c r="A259" s="24"/>
      <c r="B259" s="154"/>
      <c r="C259" s="8"/>
      <c r="D259" s="8"/>
      <c r="E259" s="8"/>
      <c r="F259" s="8"/>
      <c r="G259" s="8"/>
      <c r="H259" s="97"/>
      <c r="I259" s="97"/>
      <c r="J259" s="97"/>
      <c r="K259" s="97"/>
      <c r="L259" s="97"/>
      <c r="M259" s="97"/>
      <c r="N259" s="97"/>
      <c r="O259" s="97"/>
      <c r="P259" s="98"/>
      <c r="Q259" s="97"/>
      <c r="R259" s="8"/>
      <c r="S259" s="8"/>
      <c r="T259" s="5"/>
    </row>
    <row r="260" spans="1:20" ht="15.6" x14ac:dyDescent="0.3">
      <c r="A260" s="150"/>
      <c r="B260" s="14" t="s">
        <v>102</v>
      </c>
      <c r="C260" s="15"/>
      <c r="D260" s="15"/>
      <c r="E260" s="15"/>
      <c r="F260" s="17" t="s">
        <v>108</v>
      </c>
      <c r="G260" s="15"/>
      <c r="H260" s="14" t="s">
        <v>110</v>
      </c>
      <c r="I260" s="145"/>
      <c r="J260" s="145"/>
      <c r="K260" s="145"/>
      <c r="L260" s="145"/>
      <c r="M260" s="145"/>
      <c r="N260" s="145"/>
      <c r="O260" s="145"/>
      <c r="P260" s="145"/>
      <c r="Q260" s="145"/>
      <c r="R260" s="145"/>
      <c r="S260" s="145"/>
      <c r="T260" s="5"/>
    </row>
    <row r="261" spans="1:20" ht="15.6" x14ac:dyDescent="0.3">
      <c r="A261" s="150"/>
      <c r="B261" s="145"/>
      <c r="C261" s="8"/>
      <c r="D261" s="8"/>
      <c r="E261" s="8"/>
      <c r="F261" s="8"/>
      <c r="G261" s="8"/>
      <c r="H261" s="8"/>
      <c r="I261" s="145"/>
      <c r="J261" s="145"/>
      <c r="K261" s="145"/>
      <c r="L261" s="145"/>
      <c r="M261" s="145"/>
      <c r="N261" s="145"/>
      <c r="O261" s="145"/>
      <c r="P261" s="145"/>
      <c r="Q261" s="145"/>
      <c r="R261" s="145"/>
      <c r="S261" s="145"/>
      <c r="T261" s="5"/>
    </row>
    <row r="262" spans="1:20" ht="15.6" x14ac:dyDescent="0.3">
      <c r="A262" s="150"/>
      <c r="B262" s="13" t="s">
        <v>103</v>
      </c>
      <c r="C262" s="13"/>
      <c r="D262" s="13"/>
      <c r="E262" s="13"/>
      <c r="F262" s="133" t="s">
        <v>172</v>
      </c>
      <c r="G262" s="13"/>
      <c r="H262" s="13" t="s">
        <v>200</v>
      </c>
      <c r="I262" s="145"/>
      <c r="J262" s="145"/>
      <c r="K262" s="145"/>
      <c r="L262" s="145"/>
      <c r="M262" s="145"/>
      <c r="N262" s="145"/>
      <c r="O262" s="145"/>
      <c r="P262" s="145"/>
      <c r="Q262" s="145"/>
      <c r="R262" s="145"/>
      <c r="S262" s="145"/>
      <c r="T262" s="5"/>
    </row>
    <row r="263" spans="1:20" ht="15.6" x14ac:dyDescent="0.3">
      <c r="A263" s="150"/>
      <c r="B263" s="13" t="s">
        <v>271</v>
      </c>
      <c r="C263" s="13"/>
      <c r="D263" s="13"/>
      <c r="E263" s="13"/>
      <c r="F263" s="133" t="s">
        <v>272</v>
      </c>
      <c r="G263" s="13"/>
      <c r="H263" s="13" t="s">
        <v>273</v>
      </c>
      <c r="I263" s="145"/>
      <c r="J263" s="145"/>
      <c r="K263" s="145"/>
      <c r="L263" s="145"/>
      <c r="M263" s="145"/>
      <c r="N263" s="145"/>
      <c r="O263" s="145"/>
      <c r="P263" s="145"/>
      <c r="Q263" s="145"/>
      <c r="R263" s="145"/>
      <c r="S263" s="145"/>
      <c r="T263" s="5"/>
    </row>
    <row r="264" spans="1:20" ht="15.6" x14ac:dyDescent="0.3">
      <c r="A264" s="150"/>
      <c r="B264" s="13" t="s">
        <v>104</v>
      </c>
      <c r="C264" s="13"/>
      <c r="D264" s="13"/>
      <c r="E264" s="13"/>
      <c r="F264" s="133" t="s">
        <v>171</v>
      </c>
      <c r="G264" s="13"/>
      <c r="H264" s="13" t="s">
        <v>201</v>
      </c>
      <c r="I264" s="145"/>
      <c r="J264" s="145"/>
      <c r="K264" s="145"/>
      <c r="L264" s="145"/>
      <c r="M264" s="145"/>
      <c r="N264" s="145"/>
      <c r="O264" s="145"/>
      <c r="P264" s="145"/>
      <c r="Q264" s="145"/>
      <c r="R264" s="145"/>
      <c r="S264" s="145"/>
      <c r="T264" s="5"/>
    </row>
    <row r="265" spans="1:20" ht="15.6" x14ac:dyDescent="0.3">
      <c r="A265" s="150"/>
      <c r="B265" s="13"/>
      <c r="C265" s="13"/>
      <c r="D265" s="13"/>
      <c r="E265" s="13"/>
      <c r="F265" s="13"/>
      <c r="G265" s="100"/>
      <c r="H265" s="145"/>
      <c r="I265" s="145"/>
      <c r="J265" s="145"/>
      <c r="K265" s="145"/>
      <c r="L265" s="145"/>
      <c r="M265" s="145"/>
      <c r="N265" s="145"/>
      <c r="O265" s="145"/>
      <c r="P265" s="145"/>
      <c r="Q265" s="145"/>
      <c r="R265" s="145"/>
      <c r="S265" s="145"/>
      <c r="T265" s="5"/>
    </row>
    <row r="266" spans="1:20" ht="18" thickBot="1" x14ac:dyDescent="0.35">
      <c r="A266" s="150"/>
      <c r="B266" s="49" t="str">
        <f>B186</f>
        <v>PM8 INVESTOR REPORT QUARTER ENDING DECEMBER 2005</v>
      </c>
      <c r="C266" s="13"/>
      <c r="D266" s="13"/>
      <c r="E266" s="13"/>
      <c r="F266" s="13"/>
      <c r="G266" s="100"/>
      <c r="H266" s="145"/>
      <c r="I266" s="145"/>
      <c r="J266" s="145"/>
      <c r="K266" s="145"/>
      <c r="L266" s="145"/>
      <c r="M266" s="145"/>
      <c r="N266" s="145"/>
      <c r="O266" s="145"/>
      <c r="P266" s="145"/>
      <c r="Q266" s="145"/>
      <c r="R266" s="145"/>
      <c r="S266" s="145"/>
      <c r="T266" s="5"/>
    </row>
    <row r="267" spans="1:20" x14ac:dyDescent="0.25">
      <c r="A267" s="101"/>
      <c r="B267" s="101"/>
      <c r="C267" s="101"/>
      <c r="D267" s="101"/>
      <c r="E267" s="101"/>
      <c r="F267" s="101"/>
      <c r="G267" s="101"/>
      <c r="H267" s="101"/>
      <c r="I267" s="101"/>
      <c r="J267" s="101"/>
      <c r="K267" s="101"/>
      <c r="L267" s="101"/>
      <c r="M267" s="101"/>
      <c r="N267" s="101"/>
      <c r="O267" s="101"/>
      <c r="P267" s="101"/>
      <c r="Q267" s="101"/>
      <c r="R267" s="101"/>
      <c r="S267" s="101"/>
    </row>
  </sheetData>
  <phoneticPr fontId="0" type="noConversion"/>
  <hyperlinks>
    <hyperlink ref="H9" r:id="rId1"/>
    <hyperlink ref="J220"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0" max="14" man="1"/>
    <brk id="186"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0.87990000000000002</v>
      </c>
      <c r="P16" s="247" t="s">
        <v>161</v>
      </c>
      <c r="Q16" s="246">
        <v>0.1201</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42026</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163104.057</v>
      </c>
      <c r="I31" s="301"/>
      <c r="J31" s="302">
        <f>J30*J37</f>
        <v>242249.63219999999</v>
      </c>
      <c r="K31" s="301"/>
      <c r="L31" s="303">
        <f>L30*L37</f>
        <v>53877.706999999995</v>
      </c>
      <c r="M31" s="301"/>
      <c r="N31" s="302">
        <f>N30*N37</f>
        <v>41444.39</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161301.50700000001</v>
      </c>
      <c r="I32" s="306"/>
      <c r="J32" s="308">
        <f>J36*J30</f>
        <v>239572.40220000001</v>
      </c>
      <c r="K32" s="307"/>
      <c r="L32" s="307">
        <f>L36*L30</f>
        <v>53282.267999999996</v>
      </c>
      <c r="M32" s="307"/>
      <c r="N32" s="308">
        <f>N36*N30</f>
        <v>40986.36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163104.057</v>
      </c>
      <c r="I34" s="301"/>
      <c r="J34" s="301">
        <f>J33*J37</f>
        <v>168451.731</v>
      </c>
      <c r="K34" s="301"/>
      <c r="L34" s="301">
        <f>L33*L37</f>
        <v>53877.706999999995</v>
      </c>
      <c r="M34" s="301"/>
      <c r="N34" s="301">
        <f>N33*N37</f>
        <v>29011.072999999997</v>
      </c>
      <c r="O34" s="301"/>
      <c r="P34" s="301"/>
      <c r="Q34" s="304"/>
      <c r="R34" s="301">
        <f>SUM(C34:N34)</f>
        <v>414444.56799999997</v>
      </c>
      <c r="S34" s="305"/>
      <c r="T34" s="255"/>
    </row>
    <row r="35" spans="1:20" s="256" customFormat="1" ht="15.6" x14ac:dyDescent="0.3">
      <c r="A35" s="296"/>
      <c r="B35" s="297" t="s">
        <v>287</v>
      </c>
      <c r="C35" s="306"/>
      <c r="D35" s="307">
        <f>D36*D33</f>
        <v>0</v>
      </c>
      <c r="E35" s="306"/>
      <c r="F35" s="307">
        <f>F36*F33</f>
        <v>0</v>
      </c>
      <c r="G35" s="307"/>
      <c r="H35" s="307">
        <f>H36*H33</f>
        <v>161301.50700000001</v>
      </c>
      <c r="I35" s="306"/>
      <c r="J35" s="307">
        <f>J36*J33</f>
        <v>166590.08100000001</v>
      </c>
      <c r="K35" s="307"/>
      <c r="L35" s="307">
        <f>L36*L33</f>
        <v>53282.267999999996</v>
      </c>
      <c r="M35" s="307"/>
      <c r="N35" s="307">
        <f>N36*N33</f>
        <v>28690.452000000001</v>
      </c>
      <c r="O35" s="307"/>
      <c r="P35" s="307"/>
      <c r="Q35" s="309"/>
      <c r="R35" s="307">
        <f>SUM(C35:N35)</f>
        <v>409864.30799999996</v>
      </c>
      <c r="S35" s="305"/>
      <c r="T35" s="255"/>
    </row>
    <row r="36" spans="1:20" ht="15.6" x14ac:dyDescent="0.3">
      <c r="A36" s="310"/>
      <c r="B36" s="311" t="s">
        <v>149</v>
      </c>
      <c r="C36" s="312"/>
      <c r="D36" s="313">
        <v>0</v>
      </c>
      <c r="E36" s="314"/>
      <c r="F36" s="313">
        <v>0</v>
      </c>
      <c r="G36" s="315"/>
      <c r="H36" s="313">
        <v>0.52885740000000003</v>
      </c>
      <c r="I36" s="313"/>
      <c r="J36" s="313">
        <v>0.52885740000000003</v>
      </c>
      <c r="K36" s="315"/>
      <c r="L36" s="313">
        <v>0.81972719999999999</v>
      </c>
      <c r="M36" s="313"/>
      <c r="N36" s="313">
        <v>0.81972719999999999</v>
      </c>
      <c r="O36" s="316"/>
      <c r="P36" s="316"/>
      <c r="Q36" s="317"/>
      <c r="R36" s="316"/>
      <c r="S36" s="318"/>
      <c r="T36" s="5"/>
    </row>
    <row r="37" spans="1:20" ht="15.6" x14ac:dyDescent="0.3">
      <c r="A37" s="310"/>
      <c r="B37" s="311" t="s">
        <v>150</v>
      </c>
      <c r="C37" s="312"/>
      <c r="D37" s="313">
        <v>0</v>
      </c>
      <c r="E37" s="314"/>
      <c r="F37" s="313">
        <v>0</v>
      </c>
      <c r="G37" s="315"/>
      <c r="H37" s="313">
        <v>0.5347674</v>
      </c>
      <c r="I37" s="313"/>
      <c r="J37" s="313">
        <v>0.5347674</v>
      </c>
      <c r="K37" s="315"/>
      <c r="L37" s="313">
        <v>0.82888779999999995</v>
      </c>
      <c r="M37" s="313"/>
      <c r="N37" s="313">
        <v>0.82888779999999995</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9.3962999999999998E-3</v>
      </c>
      <c r="I39" s="321"/>
      <c r="J39" s="320">
        <v>4.4200000000000003E-3</v>
      </c>
      <c r="K39" s="321"/>
      <c r="L39" s="320">
        <v>1.85963E-2</v>
      </c>
      <c r="M39" s="321"/>
      <c r="N39" s="320">
        <v>1.282E-2</v>
      </c>
      <c r="O39" s="321"/>
      <c r="P39" s="320"/>
      <c r="Q39" s="294"/>
      <c r="R39" s="321"/>
      <c r="S39" s="295"/>
      <c r="T39" s="255"/>
    </row>
    <row r="40" spans="1:20" s="256" customFormat="1" ht="15.6" x14ac:dyDescent="0.3">
      <c r="A40" s="291"/>
      <c r="B40" s="292" t="s">
        <v>14</v>
      </c>
      <c r="C40" s="292"/>
      <c r="D40" s="320">
        <v>0</v>
      </c>
      <c r="E40" s="292"/>
      <c r="F40" s="320">
        <v>0</v>
      </c>
      <c r="G40" s="321"/>
      <c r="H40" s="320">
        <v>9.3749999999999997E-3</v>
      </c>
      <c r="I40" s="321"/>
      <c r="J40" s="320">
        <v>5.6299999999999996E-3</v>
      </c>
      <c r="K40" s="321"/>
      <c r="L40" s="320">
        <v>1.8575000000000001E-2</v>
      </c>
      <c r="M40" s="321"/>
      <c r="N40" s="320">
        <v>1.4030000000000001E-2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9.3962999999999998E-3</v>
      </c>
      <c r="I42" s="321"/>
      <c r="J42" s="320">
        <v>1.01923E-2</v>
      </c>
      <c r="K42" s="321"/>
      <c r="L42" s="320">
        <f>+L39</f>
        <v>1.85963E-2</v>
      </c>
      <c r="M42" s="321"/>
      <c r="N42" s="320">
        <v>1.9350300000000001E-2</v>
      </c>
      <c r="O42" s="321"/>
      <c r="P42" s="320"/>
      <c r="Q42" s="294"/>
      <c r="R42" s="321">
        <f>SUMPRODUCT(D42:N42,D34:N34)/R34</f>
        <v>1.161261256346446E-2</v>
      </c>
      <c r="S42" s="295"/>
      <c r="T42" s="255"/>
    </row>
    <row r="43" spans="1:20" s="256" customFormat="1" ht="15.6" x14ac:dyDescent="0.3">
      <c r="A43" s="291"/>
      <c r="B43" s="292" t="s">
        <v>290</v>
      </c>
      <c r="C43" s="292"/>
      <c r="D43" s="320">
        <f>+D40</f>
        <v>0</v>
      </c>
      <c r="E43" s="292"/>
      <c r="F43" s="320">
        <v>0</v>
      </c>
      <c r="G43" s="321"/>
      <c r="H43" s="320">
        <f>+H40</f>
        <v>9.3749999999999997E-3</v>
      </c>
      <c r="I43" s="321"/>
      <c r="J43" s="320">
        <v>1.0170999999999999E-2</v>
      </c>
      <c r="K43" s="321"/>
      <c r="L43" s="320">
        <f>+L40</f>
        <v>1.8575000000000001E-2</v>
      </c>
      <c r="M43" s="321"/>
      <c r="N43" s="320">
        <v>1.9328999999999999E-2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0.24999946018743244</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42019</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41835</v>
      </c>
      <c r="Q55" s="331"/>
      <c r="R55" s="330">
        <v>41926</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41927</v>
      </c>
      <c r="Q56" s="331"/>
      <c r="R56" s="330">
        <v>42018</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42006</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329</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414445</v>
      </c>
      <c r="K66" s="336"/>
      <c r="L66" s="336">
        <f>4581+298</f>
        <v>4879</v>
      </c>
      <c r="M66" s="336"/>
      <c r="N66" s="336">
        <v>298</v>
      </c>
      <c r="O66" s="336"/>
      <c r="P66" s="336">
        <v>0</v>
      </c>
      <c r="Q66" s="336"/>
      <c r="R66" s="337">
        <f>+J66-L66+N66-P66</f>
        <v>409864</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414445</v>
      </c>
      <c r="K69" s="336"/>
      <c r="L69" s="336">
        <f>SUM(L66:L68)</f>
        <v>4879</v>
      </c>
      <c r="M69" s="336"/>
      <c r="N69" s="336">
        <f>SUM(N66:N68)</f>
        <v>298</v>
      </c>
      <c r="O69" s="336"/>
      <c r="P69" s="336">
        <f>SUM(P66:P68)</f>
        <v>0</v>
      </c>
      <c r="Q69" s="336"/>
      <c r="R69" s="336">
        <f>SUM(R66:R68)</f>
        <v>409864</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414445</v>
      </c>
      <c r="K82" s="336"/>
      <c r="L82" s="336"/>
      <c r="M82" s="336"/>
      <c r="N82" s="336"/>
      <c r="O82" s="336"/>
      <c r="P82" s="336"/>
      <c r="Q82" s="336"/>
      <c r="R82" s="336">
        <f>SUM(R69:R81)</f>
        <v>409864</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42004</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4879-177</f>
        <v>4702</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4171+396-2202-105</f>
        <v>2260</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75+30</f>
        <v>105</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26</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213</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4702</v>
      </c>
      <c r="Q94" s="335"/>
      <c r="R94" s="336">
        <f>SUM(R86:R93)</f>
        <v>2604</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198</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4702</v>
      </c>
      <c r="Q98" s="335"/>
      <c r="R98" s="336">
        <f>R94+R96+R95+R97</f>
        <v>2802</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-105-103-6</f>
        <v>-214</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-386</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-433</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-253</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-141</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177</v>
      </c>
      <c r="Q113" s="335"/>
      <c r="R113" s="337">
        <v>-177</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-213</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-975</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-298</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-1803</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-1862</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-595</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-321</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-4879</v>
      </c>
      <c r="Q128" s="336"/>
      <c r="R128" s="336">
        <f>SUM(R99:R127)</f>
        <v>-2802</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DECEMBER 2014</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177</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177</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-177</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409864</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409864</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+'Sept 14'!O177</f>
        <v>90404</v>
      </c>
      <c r="P175" s="337">
        <f>+'Sept 14'!P177</f>
        <v>8484</v>
      </c>
      <c r="Q175" s="335"/>
      <c r="R175" s="337">
        <f>O175+P175</f>
        <v>98888</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298</v>
      </c>
      <c r="P176" s="336">
        <f>-P95-P120</f>
        <v>0</v>
      </c>
      <c r="Q176" s="335"/>
      <c r="R176" s="337">
        <f>O176+P176</f>
        <v>298</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90702</v>
      </c>
      <c r="P177" s="337">
        <f>P176+P175</f>
        <v>8484</v>
      </c>
      <c r="Q177" s="335"/>
      <c r="R177" s="337">
        <f>O177+P177</f>
        <v>99186</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60814</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3.1575091575091574</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4.4847715736040605</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DECEMBER 2014</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42004</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2.3300000000000001E-2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1.161261256346446E-2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1.1687387436535541E-2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6.7608488460471228E-3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11.42</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1.1772370278324024E-2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9.69E-2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2</v>
      </c>
      <c r="P207" s="277">
        <v>117</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64</v>
      </c>
      <c r="P208" s="371">
        <f>+P258</f>
        <v>8683</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177</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'Sept 14'!P214+P213</f>
        <v>4745</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1</v>
      </c>
      <c r="P216" s="371">
        <v>47</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3.14</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2.73</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3</v>
      </c>
      <c r="P220" s="371">
        <v>384</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0.26</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3439</v>
      </c>
      <c r="O225" s="280">
        <f t="shared" ref="O225:O232" si="2">N225/$N$234</f>
        <v>0.99421798207574441</v>
      </c>
      <c r="P225" s="269">
        <f t="shared" ref="P225:P232" si="3">+P237+P249+P261</f>
        <v>408406</v>
      </c>
      <c r="Q225" s="280">
        <f t="shared" ref="Q225:Q232" si="4">P225/$P$234</f>
        <v>0.99644272246403687</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9</v>
      </c>
      <c r="O226" s="399">
        <f t="shared" si="2"/>
        <v>2.6019080659150044E-3</v>
      </c>
      <c r="P226" s="337">
        <f t="shared" si="3"/>
        <v>641</v>
      </c>
      <c r="Q226" s="399">
        <f t="shared" si="4"/>
        <v>1.5639334022992993E-3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3</v>
      </c>
      <c r="O227" s="399">
        <f t="shared" si="2"/>
        <v>8.6730268863833475E-4</v>
      </c>
      <c r="P227" s="337">
        <f t="shared" si="3"/>
        <v>142</v>
      </c>
      <c r="Q227" s="399">
        <f t="shared" si="4"/>
        <v>3.4645638553276211E-4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2</v>
      </c>
      <c r="O228" s="399">
        <f t="shared" si="2"/>
        <v>5.7820179242555657E-4</v>
      </c>
      <c r="P228" s="337">
        <f t="shared" si="3"/>
        <v>158</v>
      </c>
      <c r="Q228" s="399">
        <f t="shared" si="4"/>
        <v>3.8549372474772119E-4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3</v>
      </c>
      <c r="O229" s="399">
        <f t="shared" si="2"/>
        <v>8.6730268863833475E-4</v>
      </c>
      <c r="P229" s="337">
        <f t="shared" si="3"/>
        <v>186</v>
      </c>
      <c r="Q229" s="399">
        <f t="shared" si="4"/>
        <v>4.5380906837389965E-4</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1</v>
      </c>
      <c r="O231" s="399">
        <f t="shared" si="2"/>
        <v>2.8910089621277829E-4</v>
      </c>
      <c r="P231" s="337">
        <f t="shared" si="3"/>
        <v>5</v>
      </c>
      <c r="Q231" s="399">
        <f t="shared" si="4"/>
        <v>1.2199168504674721E-5</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2</v>
      </c>
      <c r="O232" s="561">
        <f t="shared" si="2"/>
        <v>5.7820179242555657E-4</v>
      </c>
      <c r="P232" s="562">
        <f t="shared" si="3"/>
        <v>326</v>
      </c>
      <c r="Q232" s="561">
        <f t="shared" si="4"/>
        <v>7.9538578650479187E-4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3459</v>
      </c>
      <c r="O234" s="399">
        <f>SUM(O225:O233)</f>
        <v>0.99999999999999989</v>
      </c>
      <c r="P234" s="337">
        <f>SUM(P225:P233)</f>
        <v>409864</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3379</v>
      </c>
      <c r="O237" s="280">
        <f t="shared" ref="O237:O244" si="5">N237/$N$246</f>
        <v>0.99528718703976438</v>
      </c>
      <c r="P237" s="269">
        <v>400106</v>
      </c>
      <c r="Q237" s="280">
        <f t="shared" ref="Q237:Q244" si="6">P237/$P$246</f>
        <v>0.99732041148509032</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9</v>
      </c>
      <c r="O238" s="399">
        <f t="shared" si="5"/>
        <v>2.650957290132548E-3</v>
      </c>
      <c r="P238" s="337">
        <v>641</v>
      </c>
      <c r="Q238" s="399">
        <f t="shared" si="6"/>
        <v>1.5977825470298943E-3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1</v>
      </c>
      <c r="O239" s="399">
        <f t="shared" si="5"/>
        <v>2.9455081001472752E-4</v>
      </c>
      <c r="P239" s="337">
        <v>23</v>
      </c>
      <c r="Q239" s="399">
        <f t="shared" si="6"/>
        <v>5.7330731016673269E-5</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2</v>
      </c>
      <c r="O240" s="399">
        <f t="shared" si="5"/>
        <v>5.8910162002945505E-4</v>
      </c>
      <c r="P240" s="337">
        <v>158</v>
      </c>
      <c r="Q240" s="399">
        <f t="shared" si="6"/>
        <v>3.9383719567975551E-4</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2</v>
      </c>
      <c r="O241" s="399">
        <f t="shared" si="5"/>
        <v>5.8910162002945505E-4</v>
      </c>
      <c r="P241" s="337">
        <v>58</v>
      </c>
      <c r="Q241" s="399">
        <f t="shared" si="6"/>
        <v>1.4457314778117608E-4</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1</v>
      </c>
      <c r="O243" s="399">
        <f t="shared" si="5"/>
        <v>2.9455081001472752E-4</v>
      </c>
      <c r="P243" s="337">
        <v>5</v>
      </c>
      <c r="Q243" s="399">
        <f t="shared" si="6"/>
        <v>1.2463202394928973E-5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2.9455081001472752E-4</v>
      </c>
      <c r="P244" s="337">
        <v>190</v>
      </c>
      <c r="Q244" s="399">
        <f t="shared" si="6"/>
        <v>4.7360169100730095E-4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3395</v>
      </c>
      <c r="O246" s="399">
        <f>SUM(O237:O245)</f>
        <v>1</v>
      </c>
      <c r="P246" s="337">
        <f>SUM(P237:P245)</f>
        <v>401181</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60</v>
      </c>
      <c r="O249" s="280">
        <f>N249/$N$258</f>
        <v>0.9375</v>
      </c>
      <c r="P249" s="269">
        <v>8300</v>
      </c>
      <c r="Q249" s="280">
        <f t="shared" ref="Q249:Q256" si="7">P249/$P$258</f>
        <v>0.95589082114476565</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2</v>
      </c>
      <c r="O251" s="399">
        <f t="shared" si="8"/>
        <v>3.125E-2</v>
      </c>
      <c r="P251" s="337">
        <v>119</v>
      </c>
      <c r="Q251" s="399">
        <f t="shared" si="7"/>
        <v>1.3704940688702061E-2</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1</v>
      </c>
      <c r="O253" s="399">
        <f t="shared" si="8"/>
        <v>1.5625E-2</v>
      </c>
      <c r="P253" s="337">
        <v>128</v>
      </c>
      <c r="Q253" s="399">
        <f t="shared" si="7"/>
        <v>1.4741448808015662E-2</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1</v>
      </c>
      <c r="O256" s="399">
        <f t="shared" si="8"/>
        <v>1.5625E-2</v>
      </c>
      <c r="P256" s="337">
        <v>136</v>
      </c>
      <c r="Q256" s="399">
        <f t="shared" si="7"/>
        <v>1.5662789358516643E-2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64</v>
      </c>
      <c r="O258" s="399">
        <f>SUM(O249:O257)</f>
        <v>1</v>
      </c>
      <c r="P258" s="337">
        <f>SUM(P249:P257)</f>
        <v>8683</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3459</v>
      </c>
      <c r="O272" s="399"/>
      <c r="P272" s="407">
        <f>+P270+P258+P246</f>
        <v>409864</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DECEMBER 2014</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0.88129999999999997</v>
      </c>
      <c r="P16" s="247" t="s">
        <v>161</v>
      </c>
      <c r="Q16" s="246">
        <v>0.1187</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42116</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161301.50700000001</v>
      </c>
      <c r="I31" s="301"/>
      <c r="J31" s="302">
        <f>J30*J37</f>
        <v>239572.40220000001</v>
      </c>
      <c r="K31" s="301"/>
      <c r="L31" s="303">
        <f>L30*L37</f>
        <v>53282.267999999996</v>
      </c>
      <c r="M31" s="301"/>
      <c r="N31" s="302">
        <f>N30*N37</f>
        <v>40986.36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159691.595</v>
      </c>
      <c r="I32" s="306"/>
      <c r="J32" s="308">
        <f>J36*J30</f>
        <v>237181.28700000001</v>
      </c>
      <c r="K32" s="307"/>
      <c r="L32" s="307">
        <f>L36*L30</f>
        <v>52750.464</v>
      </c>
      <c r="M32" s="307"/>
      <c r="N32" s="308">
        <f>N36*N30</f>
        <v>40577.279999999999</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161301.50700000001</v>
      </c>
      <c r="I34" s="301"/>
      <c r="J34" s="301">
        <f>J33*J37</f>
        <v>166590.08100000001</v>
      </c>
      <c r="K34" s="301"/>
      <c r="L34" s="301">
        <f>L33*L37</f>
        <v>53282.267999999996</v>
      </c>
      <c r="M34" s="301"/>
      <c r="N34" s="301">
        <f>N33*N37</f>
        <v>28690.452000000001</v>
      </c>
      <c r="O34" s="301"/>
      <c r="P34" s="301"/>
      <c r="Q34" s="304"/>
      <c r="R34" s="301">
        <f>SUM(C34:N34)</f>
        <v>409864.30799999996</v>
      </c>
      <c r="S34" s="305"/>
      <c r="T34" s="255"/>
    </row>
    <row r="35" spans="1:20" s="256" customFormat="1" ht="15.6" x14ac:dyDescent="0.3">
      <c r="A35" s="296"/>
      <c r="B35" s="297" t="s">
        <v>287</v>
      </c>
      <c r="C35" s="306"/>
      <c r="D35" s="307">
        <f>D36*D33</f>
        <v>0</v>
      </c>
      <c r="E35" s="306"/>
      <c r="F35" s="307">
        <f>F36*F33</f>
        <v>0</v>
      </c>
      <c r="G35" s="307"/>
      <c r="H35" s="307">
        <f>H36*H33</f>
        <v>159691.595</v>
      </c>
      <c r="I35" s="306"/>
      <c r="J35" s="307">
        <f>J36*J33</f>
        <v>164927.38500000001</v>
      </c>
      <c r="K35" s="307"/>
      <c r="L35" s="307">
        <f>L36*L33</f>
        <v>52750.464</v>
      </c>
      <c r="M35" s="307"/>
      <c r="N35" s="307">
        <f>N36*N33</f>
        <v>28404.095999999998</v>
      </c>
      <c r="O35" s="307"/>
      <c r="P35" s="307"/>
      <c r="Q35" s="309"/>
      <c r="R35" s="307">
        <f>SUM(C35:N35)</f>
        <v>405773.54</v>
      </c>
      <c r="S35" s="305"/>
      <c r="T35" s="255"/>
    </row>
    <row r="36" spans="1:20" ht="15.6" x14ac:dyDescent="0.3">
      <c r="A36" s="310"/>
      <c r="B36" s="311" t="s">
        <v>149</v>
      </c>
      <c r="C36" s="312"/>
      <c r="D36" s="313">
        <v>0</v>
      </c>
      <c r="E36" s="314"/>
      <c r="F36" s="313">
        <v>0</v>
      </c>
      <c r="G36" s="315"/>
      <c r="H36" s="313">
        <v>0.52357900000000002</v>
      </c>
      <c r="I36" s="313"/>
      <c r="J36" s="313">
        <v>0.52357900000000002</v>
      </c>
      <c r="K36" s="315"/>
      <c r="L36" s="313">
        <v>0.81154559999999998</v>
      </c>
      <c r="M36" s="313"/>
      <c r="N36" s="313">
        <v>0.81154559999999998</v>
      </c>
      <c r="O36" s="316"/>
      <c r="P36" s="316"/>
      <c r="Q36" s="317"/>
      <c r="R36" s="316"/>
      <c r="S36" s="318"/>
      <c r="T36" s="5"/>
    </row>
    <row r="37" spans="1:20" ht="15.6" x14ac:dyDescent="0.3">
      <c r="A37" s="310"/>
      <c r="B37" s="311" t="s">
        <v>150</v>
      </c>
      <c r="C37" s="312"/>
      <c r="D37" s="313">
        <v>0</v>
      </c>
      <c r="E37" s="314"/>
      <c r="F37" s="313">
        <v>0</v>
      </c>
      <c r="G37" s="315"/>
      <c r="H37" s="313">
        <v>0.52885740000000003</v>
      </c>
      <c r="I37" s="313"/>
      <c r="J37" s="313">
        <v>0.52885740000000003</v>
      </c>
      <c r="K37" s="315"/>
      <c r="L37" s="313">
        <v>0.81972719999999999</v>
      </c>
      <c r="M37" s="313"/>
      <c r="N37" s="313">
        <v>0.81972719999999999</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9.3968999999999997E-3</v>
      </c>
      <c r="I39" s="321"/>
      <c r="J39" s="320">
        <v>4.3099999999999996E-3</v>
      </c>
      <c r="K39" s="321"/>
      <c r="L39" s="320">
        <v>1.85969E-2</v>
      </c>
      <c r="M39" s="321"/>
      <c r="N39" s="320">
        <v>1.2710000000000001E-2</v>
      </c>
      <c r="O39" s="321"/>
      <c r="P39" s="320"/>
      <c r="Q39" s="294"/>
      <c r="R39" s="321"/>
      <c r="S39" s="295"/>
      <c r="T39" s="255"/>
    </row>
    <row r="40" spans="1:20" s="256" customFormat="1" ht="15.6" x14ac:dyDescent="0.3">
      <c r="A40" s="291"/>
      <c r="B40" s="292" t="s">
        <v>14</v>
      </c>
      <c r="C40" s="292"/>
      <c r="D40" s="320">
        <v>0</v>
      </c>
      <c r="E40" s="292"/>
      <c r="F40" s="320">
        <v>0</v>
      </c>
      <c r="G40" s="321"/>
      <c r="H40" s="320">
        <v>9.3962999999999998E-3</v>
      </c>
      <c r="I40" s="321"/>
      <c r="J40" s="320">
        <v>4.4200000000000003E-3</v>
      </c>
      <c r="K40" s="321"/>
      <c r="L40" s="320">
        <v>1.85963E-2</v>
      </c>
      <c r="M40" s="321"/>
      <c r="N40" s="320">
        <v>1.282E-2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9.3968999999999997E-3</v>
      </c>
      <c r="I42" s="321"/>
      <c r="J42" s="320">
        <v>1.01929E-2</v>
      </c>
      <c r="K42" s="321"/>
      <c r="L42" s="320">
        <f>+L39</f>
        <v>1.85969E-2</v>
      </c>
      <c r="M42" s="321"/>
      <c r="N42" s="320">
        <v>1.9350900000000001E-2</v>
      </c>
      <c r="O42" s="321"/>
      <c r="P42" s="320"/>
      <c r="Q42" s="294"/>
      <c r="R42" s="321">
        <f>SUMPRODUCT(D42:N42,D34:N34)/R34</f>
        <v>1.1613212353999851E-2</v>
      </c>
      <c r="S42" s="295"/>
      <c r="T42" s="255"/>
    </row>
    <row r="43" spans="1:20" s="256" customFormat="1" ht="15.6" x14ac:dyDescent="0.3">
      <c r="A43" s="291"/>
      <c r="B43" s="292" t="s">
        <v>290</v>
      </c>
      <c r="C43" s="292"/>
      <c r="D43" s="320">
        <f>+D40</f>
        <v>0</v>
      </c>
      <c r="E43" s="292"/>
      <c r="F43" s="320">
        <v>0</v>
      </c>
      <c r="G43" s="321"/>
      <c r="H43" s="320">
        <f>+H40</f>
        <v>9.3962999999999998E-3</v>
      </c>
      <c r="I43" s="321"/>
      <c r="J43" s="320">
        <v>1.01923E-2</v>
      </c>
      <c r="K43" s="321"/>
      <c r="L43" s="320">
        <f>+L40</f>
        <v>1.85963E-2</v>
      </c>
      <c r="M43" s="321"/>
      <c r="N43" s="320">
        <v>1.9350300000000001E-2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0.24999943010109885</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42109</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41927</v>
      </c>
      <c r="Q55" s="331"/>
      <c r="R55" s="330">
        <v>42018</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90</v>
      </c>
      <c r="O56" s="292"/>
      <c r="P56" s="330">
        <v>42019</v>
      </c>
      <c r="Q56" s="331"/>
      <c r="R56" s="330">
        <v>42108</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42095</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330</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409864</v>
      </c>
      <c r="K66" s="336"/>
      <c r="L66" s="336">
        <f>4090+30</f>
        <v>4120</v>
      </c>
      <c r="M66" s="336"/>
      <c r="N66" s="336">
        <v>30</v>
      </c>
      <c r="O66" s="336"/>
      <c r="P66" s="336">
        <v>0</v>
      </c>
      <c r="Q66" s="336"/>
      <c r="R66" s="337">
        <f>+J66-L66+N66-P66</f>
        <v>405774</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409864</v>
      </c>
      <c r="K69" s="336"/>
      <c r="L69" s="336">
        <f>SUM(L66:L68)</f>
        <v>4120</v>
      </c>
      <c r="M69" s="336"/>
      <c r="N69" s="336">
        <f>SUM(N66:N68)</f>
        <v>30</v>
      </c>
      <c r="O69" s="336"/>
      <c r="P69" s="336">
        <f>SUM(P66:P68)</f>
        <v>0</v>
      </c>
      <c r="Q69" s="336"/>
      <c r="R69" s="336">
        <f>SUM(R66:R68)</f>
        <v>405774</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409864</v>
      </c>
      <c r="K82" s="336"/>
      <c r="L82" s="336"/>
      <c r="M82" s="336"/>
      <c r="N82" s="336"/>
      <c r="O82" s="336"/>
      <c r="P82" s="336"/>
      <c r="Q82" s="336"/>
      <c r="R82" s="336">
        <f>SUM(R69:R81)</f>
        <v>405774</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42094</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4120-298</f>
        <v>3822</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3147+376-998-72</f>
        <v>2453</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101+3</f>
        <v>104</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25</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207</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3822</v>
      </c>
      <c r="Q94" s="335"/>
      <c r="R94" s="336">
        <f>SUM(R86:R93)</f>
        <v>2789</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74</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3822</v>
      </c>
      <c r="Q98" s="335"/>
      <c r="R98" s="336">
        <f>R94+R96+R95+R97</f>
        <v>2863</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-102-104-6</f>
        <v>-212</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-374</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-419</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-244</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-137</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298</v>
      </c>
      <c r="Q113" s="335"/>
      <c r="R113" s="337">
        <v>-298</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-206</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-963</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-10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-20</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-1610</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-1663</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-531</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-286</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-4120</v>
      </c>
      <c r="Q128" s="336"/>
      <c r="R128" s="336">
        <f>SUM(R99:R127)</f>
        <v>-2863</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MARCH 2015</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298</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298</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-298</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405774</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405774</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+'Dec 14'!O177</f>
        <v>90702</v>
      </c>
      <c r="P175" s="337">
        <f>+'Dec 14'!P177</f>
        <v>8484</v>
      </c>
      <c r="Q175" s="335"/>
      <c r="R175" s="337">
        <f>O175+P175</f>
        <v>99186</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20</v>
      </c>
      <c r="P176" s="336">
        <f>-P95-P120</f>
        <v>10</v>
      </c>
      <c r="Q176" s="335"/>
      <c r="R176" s="337">
        <f>O176+P176</f>
        <v>30</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90722</v>
      </c>
      <c r="P177" s="337">
        <f>P176+P175</f>
        <v>8494</v>
      </c>
      <c r="Q177" s="335"/>
      <c r="R177" s="337">
        <f>O177+P177</f>
        <v>99216</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60784</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3.3404791929382092</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4.8713910761154855</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3.02</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MARCH 2015</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42094</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2.3290000000000002E-2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1.1613212353999851E-2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1.167678764600015E-2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6.9852438857767457E-3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11.22</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1.005211484785197E-2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9.5600000000000004E-2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4</v>
      </c>
      <c r="P207" s="277">
        <v>155</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60</v>
      </c>
      <c r="P208" s="371">
        <f>+P258</f>
        <v>8252</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298</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'Dec 14'!P214+P213</f>
        <v>5043</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4</v>
      </c>
      <c r="P220" s="371">
        <v>431</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1.28</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3401</v>
      </c>
      <c r="O225" s="280">
        <f t="shared" ref="O225:O232" si="2">N225/$N$234</f>
        <v>0.99473530272009358</v>
      </c>
      <c r="P225" s="269">
        <f t="shared" ref="P225:P232" si="3">+P237+P249+P261</f>
        <v>404673</v>
      </c>
      <c r="Q225" s="280">
        <f t="shared" ref="Q225:Q232" si="4">P225/$P$234</f>
        <v>0.99728666696239776</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8</v>
      </c>
      <c r="O226" s="399">
        <f t="shared" si="2"/>
        <v>2.3398654577361801E-3</v>
      </c>
      <c r="P226" s="337">
        <f t="shared" si="3"/>
        <v>415</v>
      </c>
      <c r="Q226" s="399">
        <f t="shared" si="4"/>
        <v>1.0227367943732226E-3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5</v>
      </c>
      <c r="O227" s="399">
        <f t="shared" si="2"/>
        <v>1.4624159110851126E-3</v>
      </c>
      <c r="P227" s="337">
        <f t="shared" si="3"/>
        <v>280</v>
      </c>
      <c r="Q227" s="399">
        <f t="shared" si="4"/>
        <v>6.9003928295060797E-4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0</v>
      </c>
      <c r="O228" s="399">
        <f t="shared" si="2"/>
        <v>0</v>
      </c>
      <c r="P228" s="337">
        <f t="shared" si="3"/>
        <v>0</v>
      </c>
      <c r="Q228" s="399">
        <f t="shared" si="4"/>
        <v>0</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2</v>
      </c>
      <c r="O230" s="399">
        <f t="shared" si="2"/>
        <v>5.8496636443404503E-4</v>
      </c>
      <c r="P230" s="337">
        <f t="shared" si="3"/>
        <v>75</v>
      </c>
      <c r="Q230" s="399">
        <f t="shared" si="4"/>
        <v>1.8483195079034142E-4</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1</v>
      </c>
      <c r="O231" s="399">
        <f t="shared" si="2"/>
        <v>2.9248318221702252E-4</v>
      </c>
      <c r="P231" s="337">
        <f t="shared" si="3"/>
        <v>5</v>
      </c>
      <c r="Q231" s="399">
        <f t="shared" si="4"/>
        <v>1.2322130052689428E-5</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2</v>
      </c>
      <c r="O232" s="561">
        <f t="shared" si="2"/>
        <v>5.8496636443404503E-4</v>
      </c>
      <c r="P232" s="562">
        <f t="shared" si="3"/>
        <v>326</v>
      </c>
      <c r="Q232" s="561">
        <f t="shared" si="4"/>
        <v>8.0340287943535076E-4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3419</v>
      </c>
      <c r="O234" s="399">
        <f>SUM(O225:O233)</f>
        <v>1</v>
      </c>
      <c r="P234" s="337">
        <f>SUM(P225:P233)</f>
        <v>405774</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3343</v>
      </c>
      <c r="O237" s="280">
        <f t="shared" ref="O237:O244" si="5">N237/$N$246</f>
        <v>0.99523667758261392</v>
      </c>
      <c r="P237" s="269">
        <v>396612</v>
      </c>
      <c r="Q237" s="280">
        <f t="shared" ref="Q237:Q244" si="6">P237/$P$246</f>
        <v>0.99771081852073595</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8</v>
      </c>
      <c r="O238" s="399">
        <f t="shared" si="5"/>
        <v>2.3816612086930635E-3</v>
      </c>
      <c r="P238" s="337">
        <v>415</v>
      </c>
      <c r="Q238" s="399">
        <f t="shared" si="6"/>
        <v>1.0439673779061285E-3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4</v>
      </c>
      <c r="O239" s="399">
        <f t="shared" si="5"/>
        <v>1.1908306043465317E-3</v>
      </c>
      <c r="P239" s="337">
        <v>225</v>
      </c>
      <c r="Q239" s="399">
        <f t="shared" si="6"/>
        <v>5.6600640970814195E-4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2</v>
      </c>
      <c r="O242" s="399">
        <f t="shared" si="5"/>
        <v>5.9541530217326586E-4</v>
      </c>
      <c r="P242" s="337">
        <v>75</v>
      </c>
      <c r="Q242" s="399">
        <f t="shared" si="6"/>
        <v>1.886688032360473E-4</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1</v>
      </c>
      <c r="O243" s="399">
        <f t="shared" si="5"/>
        <v>2.9770765108663293E-4</v>
      </c>
      <c r="P243" s="337">
        <v>5</v>
      </c>
      <c r="Q243" s="399">
        <f t="shared" si="6"/>
        <v>1.2577920215736488E-5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2.9770765108663293E-4</v>
      </c>
      <c r="P244" s="337">
        <v>190</v>
      </c>
      <c r="Q244" s="399">
        <f t="shared" si="6"/>
        <v>4.779609681979865E-4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3359</v>
      </c>
      <c r="O246" s="399">
        <f>SUM(O237:O245)</f>
        <v>1</v>
      </c>
      <c r="P246" s="337">
        <f>SUM(P237:P245)</f>
        <v>397522</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58</v>
      </c>
      <c r="O249" s="280">
        <f>N249/$N$258</f>
        <v>0.96666666666666667</v>
      </c>
      <c r="P249" s="269">
        <v>8061</v>
      </c>
      <c r="Q249" s="280">
        <f t="shared" ref="Q249:Q256" si="7">P249/$P$258</f>
        <v>0.97685409597673289</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1</v>
      </c>
      <c r="O251" s="399">
        <f t="shared" si="8"/>
        <v>1.6666666666666666E-2</v>
      </c>
      <c r="P251" s="337">
        <v>55</v>
      </c>
      <c r="Q251" s="399">
        <f t="shared" si="7"/>
        <v>6.6650508967523022E-3</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1</v>
      </c>
      <c r="O256" s="399">
        <f t="shared" si="8"/>
        <v>1.6666666666666666E-2</v>
      </c>
      <c r="P256" s="337">
        <v>136</v>
      </c>
      <c r="Q256" s="399">
        <f t="shared" si="7"/>
        <v>1.6480853126514785E-2</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60</v>
      </c>
      <c r="O258" s="399">
        <f>SUM(O249:O257)</f>
        <v>1</v>
      </c>
      <c r="P258" s="337">
        <f>SUM(P249:P257)</f>
        <v>8252</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3419</v>
      </c>
      <c r="O272" s="399"/>
      <c r="P272" s="407">
        <f>+P270+P258+P246</f>
        <v>405774</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MARCH 2015</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0.88170000000000004</v>
      </c>
      <c r="P16" s="247" t="s">
        <v>161</v>
      </c>
      <c r="Q16" s="246">
        <v>0.1183</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42207</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159691.595</v>
      </c>
      <c r="I31" s="301"/>
      <c r="J31" s="302">
        <f>J30*J37</f>
        <v>237181.28700000001</v>
      </c>
      <c r="K31" s="301"/>
      <c r="L31" s="303">
        <f>L30*L37</f>
        <v>52750.464</v>
      </c>
      <c r="M31" s="301"/>
      <c r="N31" s="302">
        <f>N30*N37</f>
        <v>40577.279999999999</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157674.56900000002</v>
      </c>
      <c r="I32" s="306"/>
      <c r="J32" s="308">
        <f>J36*J30</f>
        <v>234185.5074</v>
      </c>
      <c r="K32" s="307"/>
      <c r="L32" s="307">
        <f>L36*L30</f>
        <v>52084.188000000002</v>
      </c>
      <c r="M32" s="307"/>
      <c r="N32" s="308">
        <f>N36*N30</f>
        <v>40064.76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159691.595</v>
      </c>
      <c r="I34" s="301"/>
      <c r="J34" s="301">
        <f>J33*J37</f>
        <v>164927.38500000001</v>
      </c>
      <c r="K34" s="301"/>
      <c r="L34" s="301">
        <f>L33*L37</f>
        <v>52750.464</v>
      </c>
      <c r="M34" s="301"/>
      <c r="N34" s="301">
        <f>N33*N37</f>
        <v>28404.095999999998</v>
      </c>
      <c r="O34" s="301"/>
      <c r="P34" s="301"/>
      <c r="Q34" s="304"/>
      <c r="R34" s="301">
        <f>SUM(C34:N34)</f>
        <v>405773.54</v>
      </c>
      <c r="S34" s="305"/>
      <c r="T34" s="255"/>
    </row>
    <row r="35" spans="1:20" s="256" customFormat="1" ht="15.6" x14ac:dyDescent="0.3">
      <c r="A35" s="296"/>
      <c r="B35" s="297" t="s">
        <v>287</v>
      </c>
      <c r="C35" s="306"/>
      <c r="D35" s="307">
        <f>D36*D33</f>
        <v>0</v>
      </c>
      <c r="E35" s="306"/>
      <c r="F35" s="307">
        <f>F36*F33</f>
        <v>0</v>
      </c>
      <c r="G35" s="307"/>
      <c r="H35" s="307">
        <f>H36*H33</f>
        <v>157674.56900000002</v>
      </c>
      <c r="I35" s="306"/>
      <c r="J35" s="307">
        <f>J36*J33</f>
        <v>162844.22700000001</v>
      </c>
      <c r="K35" s="307"/>
      <c r="L35" s="307">
        <f>L36*L33</f>
        <v>52084.188000000002</v>
      </c>
      <c r="M35" s="307"/>
      <c r="N35" s="307">
        <f>N36*N33</f>
        <v>28045.331999999999</v>
      </c>
      <c r="O35" s="307"/>
      <c r="P35" s="307"/>
      <c r="Q35" s="309"/>
      <c r="R35" s="307">
        <f>SUM(C35:N35)</f>
        <v>400648.31600000005</v>
      </c>
      <c r="S35" s="305"/>
      <c r="T35" s="255"/>
    </row>
    <row r="36" spans="1:20" ht="15.6" x14ac:dyDescent="0.3">
      <c r="A36" s="310"/>
      <c r="B36" s="311" t="s">
        <v>149</v>
      </c>
      <c r="C36" s="312"/>
      <c r="D36" s="313">
        <v>0</v>
      </c>
      <c r="E36" s="314"/>
      <c r="F36" s="313">
        <v>0</v>
      </c>
      <c r="G36" s="315"/>
      <c r="H36" s="313">
        <v>0.51696580000000003</v>
      </c>
      <c r="I36" s="313"/>
      <c r="J36" s="313">
        <v>0.51696580000000003</v>
      </c>
      <c r="K36" s="315"/>
      <c r="L36" s="313">
        <v>0.80129519999999999</v>
      </c>
      <c r="M36" s="313"/>
      <c r="N36" s="313">
        <v>0.80129519999999999</v>
      </c>
      <c r="O36" s="316"/>
      <c r="P36" s="316"/>
      <c r="Q36" s="317"/>
      <c r="R36" s="316"/>
      <c r="S36" s="318"/>
      <c r="T36" s="5"/>
    </row>
    <row r="37" spans="1:20" ht="15.6" x14ac:dyDescent="0.3">
      <c r="A37" s="310"/>
      <c r="B37" s="311" t="s">
        <v>150</v>
      </c>
      <c r="C37" s="312"/>
      <c r="D37" s="313">
        <v>0</v>
      </c>
      <c r="E37" s="314"/>
      <c r="F37" s="313">
        <v>0</v>
      </c>
      <c r="G37" s="315"/>
      <c r="H37" s="313">
        <v>0.52357900000000002</v>
      </c>
      <c r="I37" s="313"/>
      <c r="J37" s="313">
        <v>0.52357900000000002</v>
      </c>
      <c r="K37" s="315"/>
      <c r="L37" s="313">
        <v>0.81154559999999998</v>
      </c>
      <c r="M37" s="313"/>
      <c r="N37" s="313">
        <v>0.81154559999999998</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9.5212999999999999E-3</v>
      </c>
      <c r="I39" s="321"/>
      <c r="J39" s="320">
        <v>3.7100000000000002E-3</v>
      </c>
      <c r="K39" s="321"/>
      <c r="L39" s="320">
        <v>1.87213E-2</v>
      </c>
      <c r="M39" s="321"/>
      <c r="N39" s="320">
        <v>1.2109999999999999E-2</v>
      </c>
      <c r="O39" s="321"/>
      <c r="P39" s="320"/>
      <c r="Q39" s="294"/>
      <c r="R39" s="321"/>
      <c r="S39" s="295"/>
      <c r="T39" s="255"/>
    </row>
    <row r="40" spans="1:20" s="256" customFormat="1" ht="15.6" x14ac:dyDescent="0.3">
      <c r="A40" s="291"/>
      <c r="B40" s="292" t="s">
        <v>14</v>
      </c>
      <c r="C40" s="292"/>
      <c r="D40" s="320">
        <v>0</v>
      </c>
      <c r="E40" s="292"/>
      <c r="F40" s="320">
        <v>0</v>
      </c>
      <c r="G40" s="321"/>
      <c r="H40" s="320">
        <v>9.3968999999999997E-3</v>
      </c>
      <c r="I40" s="321"/>
      <c r="J40" s="320">
        <v>4.3099999999999996E-3</v>
      </c>
      <c r="K40" s="321"/>
      <c r="L40" s="320">
        <v>1.85969E-2</v>
      </c>
      <c r="M40" s="321"/>
      <c r="N40" s="320">
        <v>1.2710000000000001E-2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9.5212999999999999E-3</v>
      </c>
      <c r="I42" s="321"/>
      <c r="J42" s="320">
        <v>1.03173E-2</v>
      </c>
      <c r="K42" s="321"/>
      <c r="L42" s="320">
        <f>+L39</f>
        <v>1.87213E-2</v>
      </c>
      <c r="M42" s="321"/>
      <c r="N42" s="320">
        <v>1.9475300000000001E-2</v>
      </c>
      <c r="O42" s="321"/>
      <c r="P42" s="320"/>
      <c r="Q42" s="294"/>
      <c r="R42" s="321">
        <f>SUMPRODUCT(D42:N42,D34:N34)/R34</f>
        <v>1.17376121795571E-2</v>
      </c>
      <c r="S42" s="295"/>
      <c r="T42" s="255"/>
    </row>
    <row r="43" spans="1:20" s="256" customFormat="1" ht="15.6" x14ac:dyDescent="0.3">
      <c r="A43" s="291"/>
      <c r="B43" s="292" t="s">
        <v>290</v>
      </c>
      <c r="C43" s="292"/>
      <c r="D43" s="320">
        <f>+D40</f>
        <v>0</v>
      </c>
      <c r="E43" s="292"/>
      <c r="F43" s="320">
        <v>0</v>
      </c>
      <c r="G43" s="321"/>
      <c r="H43" s="320">
        <f>+H40</f>
        <v>9.3968999999999997E-3</v>
      </c>
      <c r="I43" s="321"/>
      <c r="J43" s="320">
        <v>1.01929E-2</v>
      </c>
      <c r="K43" s="321"/>
      <c r="L43" s="320">
        <f>+L40</f>
        <v>1.85969E-2</v>
      </c>
      <c r="M43" s="321"/>
      <c r="N43" s="320">
        <v>1.9350900000000001E-2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0.24999944153041181</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42200</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90</v>
      </c>
      <c r="O55" s="329"/>
      <c r="P55" s="330">
        <v>42019</v>
      </c>
      <c r="Q55" s="331"/>
      <c r="R55" s="330">
        <v>42108</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42109</v>
      </c>
      <c r="Q56" s="331"/>
      <c r="R56" s="330">
        <v>42199</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42186</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331</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405774</v>
      </c>
      <c r="K66" s="336"/>
      <c r="L66" s="336">
        <f>5126+34</f>
        <v>5160</v>
      </c>
      <c r="M66" s="336"/>
      <c r="N66" s="336">
        <v>34</v>
      </c>
      <c r="O66" s="336"/>
      <c r="P66" s="336">
        <v>0</v>
      </c>
      <c r="Q66" s="336"/>
      <c r="R66" s="337">
        <f>+J66-L66+N66-P66</f>
        <v>400648</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405774</v>
      </c>
      <c r="K69" s="336"/>
      <c r="L69" s="336">
        <f>SUM(L66:L68)</f>
        <v>5160</v>
      </c>
      <c r="M69" s="336"/>
      <c r="N69" s="336">
        <f>SUM(N66:N68)</f>
        <v>34</v>
      </c>
      <c r="O69" s="336"/>
      <c r="P69" s="336">
        <f>SUM(P66:P68)</f>
        <v>0</v>
      </c>
      <c r="Q69" s="336"/>
      <c r="R69" s="336">
        <f>SUM(R66:R68)</f>
        <v>400648</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405774</v>
      </c>
      <c r="K82" s="336"/>
      <c r="L82" s="336"/>
      <c r="M82" s="336"/>
      <c r="N82" s="336"/>
      <c r="O82" s="336"/>
      <c r="P82" s="336"/>
      <c r="Q82" s="336"/>
      <c r="R82" s="336">
        <f>SUM(R69:R81)</f>
        <v>400648</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42185</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5160-135</f>
        <v>5025</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3077+456-882-155</f>
        <v>2496</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82+16</f>
        <v>98</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22</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220</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5025</v>
      </c>
      <c r="Q94" s="335"/>
      <c r="R94" s="336">
        <f>SUM(R86:R93)</f>
        <v>2836</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-12</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5025</v>
      </c>
      <c r="Q98" s="335"/>
      <c r="R98" s="336">
        <f>R94+R96+R95+R97</f>
        <v>2824</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-102-90-6</f>
        <v>-198</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-379</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-424</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-246</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-138</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135</v>
      </c>
      <c r="Q113" s="335"/>
      <c r="R113" s="337">
        <v>-135</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-207</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-1087</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-34</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-2017</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-2083</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-667</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-359</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-5160</v>
      </c>
      <c r="Q128" s="336"/>
      <c r="R128" s="336">
        <f>SUM(R99:R127)</f>
        <v>-2824</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JUNE 2015</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135</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135</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-135</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12</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400648</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400648</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+'March 15'!O177</f>
        <v>90722</v>
      </c>
      <c r="P175" s="337">
        <f>+'March 15'!P177</f>
        <v>8494</v>
      </c>
      <c r="Q175" s="335"/>
      <c r="R175" s="337">
        <f>O175+P175</f>
        <v>99216</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34</v>
      </c>
      <c r="P176" s="336">
        <f>-P95-P120</f>
        <v>0</v>
      </c>
      <c r="Q176" s="335"/>
      <c r="R176" s="337">
        <f>O176+P176</f>
        <v>34</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90756</v>
      </c>
      <c r="P177" s="337">
        <f>P176+P175</f>
        <v>8494</v>
      </c>
      <c r="Q177" s="335"/>
      <c r="R177" s="337">
        <f>O177+P177</f>
        <v>99250</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60750</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3.2677459526774597</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1.61</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4.7421875</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3.03</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JUNE 2015</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42185</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2.332E-2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1.17376121795571E-2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1.1582387820442901E-2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6.9595390537589893E-3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11.02</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1.271643821437549E-2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9.4500000000000001E-2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3</v>
      </c>
      <c r="P207" s="277">
        <v>183</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55</v>
      </c>
      <c r="P208" s="371">
        <f>+P258</f>
        <v>7732</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135</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'March 15'!P214+P213</f>
        <v>5178</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5</v>
      </c>
      <c r="P220" s="371">
        <v>520</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4.7300000000000004</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3355</v>
      </c>
      <c r="O225" s="280">
        <f t="shared" ref="O225:O232" si="2">N225/$N$234</f>
        <v>0.99525363393651733</v>
      </c>
      <c r="P225" s="269">
        <f t="shared" ref="P225:P232" si="3">+P237+P249+P261</f>
        <v>399813</v>
      </c>
      <c r="Q225" s="280">
        <f t="shared" ref="Q225:Q232" si="4">P225/$P$234</f>
        <v>0.99791587628042566</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9</v>
      </c>
      <c r="O226" s="399">
        <f t="shared" si="2"/>
        <v>2.6698309107089885E-3</v>
      </c>
      <c r="P226" s="337">
        <f t="shared" si="3"/>
        <v>405</v>
      </c>
      <c r="Q226" s="399">
        <f t="shared" si="4"/>
        <v>1.0108624029072902E-3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1</v>
      </c>
      <c r="O227" s="399">
        <f t="shared" si="2"/>
        <v>2.966478789676654E-4</v>
      </c>
      <c r="P227" s="337">
        <f t="shared" si="3"/>
        <v>109</v>
      </c>
      <c r="Q227" s="399">
        <f t="shared" si="4"/>
        <v>2.7205926399233245E-4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0</v>
      </c>
      <c r="O228" s="399">
        <f t="shared" si="2"/>
        <v>0</v>
      </c>
      <c r="P228" s="337">
        <f t="shared" si="3"/>
        <v>0</v>
      </c>
      <c r="Q228" s="399">
        <f t="shared" si="4"/>
        <v>0</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3</v>
      </c>
      <c r="O230" s="399">
        <f t="shared" si="2"/>
        <v>8.8994363690299619E-4</v>
      </c>
      <c r="P230" s="337">
        <f t="shared" si="3"/>
        <v>56</v>
      </c>
      <c r="Q230" s="399">
        <f t="shared" si="4"/>
        <v>1.3977356682174876E-4</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2</v>
      </c>
      <c r="O231" s="399">
        <f t="shared" si="2"/>
        <v>5.9329575793533079E-4</v>
      </c>
      <c r="P231" s="337">
        <f t="shared" si="3"/>
        <v>75</v>
      </c>
      <c r="Q231" s="399">
        <f t="shared" si="4"/>
        <v>1.871967412791278E-4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1</v>
      </c>
      <c r="O232" s="561">
        <f t="shared" si="2"/>
        <v>2.966478789676654E-4</v>
      </c>
      <c r="P232" s="562">
        <f t="shared" si="3"/>
        <v>190</v>
      </c>
      <c r="Q232" s="561">
        <f t="shared" si="4"/>
        <v>4.7423174457379046E-4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3371</v>
      </c>
      <c r="O234" s="399">
        <f>SUM(O225:O233)</f>
        <v>0.99999999999999989</v>
      </c>
      <c r="P234" s="337">
        <f>SUM(P225:P233)</f>
        <v>400648</v>
      </c>
      <c r="Q234" s="399">
        <f>SUM(Q225:Q233)</f>
        <v>0.99999999999999989</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3301</v>
      </c>
      <c r="O237" s="280">
        <f t="shared" ref="O237:O244" si="5">N237/$N$246</f>
        <v>0.99547647768395653</v>
      </c>
      <c r="P237" s="269">
        <v>392133</v>
      </c>
      <c r="Q237" s="280">
        <f t="shared" ref="Q237:Q244" si="6">P237/$P$246</f>
        <v>0.99800720764743611</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8</v>
      </c>
      <c r="O238" s="399">
        <f t="shared" si="5"/>
        <v>2.4125452352231603E-3</v>
      </c>
      <c r="P238" s="337">
        <v>353</v>
      </c>
      <c r="Q238" s="399">
        <f t="shared" si="6"/>
        <v>8.9841085626444334E-4</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1</v>
      </c>
      <c r="O239" s="399">
        <f t="shared" si="5"/>
        <v>3.0156815440289503E-4</v>
      </c>
      <c r="P239" s="337">
        <v>109</v>
      </c>
      <c r="Q239" s="399">
        <f t="shared" si="6"/>
        <v>2.7741298394567797E-4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3</v>
      </c>
      <c r="O242" s="399">
        <f t="shared" si="5"/>
        <v>9.0470446320868516E-4</v>
      </c>
      <c r="P242" s="337">
        <v>56</v>
      </c>
      <c r="Q242" s="399">
        <f t="shared" si="6"/>
        <v>1.4252410184365107E-4</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2</v>
      </c>
      <c r="O243" s="399">
        <f t="shared" si="5"/>
        <v>6.0313630880579007E-4</v>
      </c>
      <c r="P243" s="337">
        <v>75</v>
      </c>
      <c r="Q243" s="399">
        <f t="shared" si="6"/>
        <v>1.908804935406041E-4</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3.0156815440289503E-4</v>
      </c>
      <c r="P244" s="337">
        <v>190</v>
      </c>
      <c r="Q244" s="399">
        <f t="shared" si="6"/>
        <v>4.8356391696953037E-4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3316</v>
      </c>
      <c r="O246" s="399">
        <f>SUM(O237:O245)</f>
        <v>0.99999999999999989</v>
      </c>
      <c r="P246" s="337">
        <f>SUM(P237:P245)</f>
        <v>392916</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54</v>
      </c>
      <c r="O249" s="280">
        <f>N249/$N$258</f>
        <v>0.98181818181818181</v>
      </c>
      <c r="P249" s="269">
        <v>7680</v>
      </c>
      <c r="Q249" s="280">
        <f t="shared" ref="Q249:Q256" si="7">P249/$P$258</f>
        <v>0.99327470253491978</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1</v>
      </c>
      <c r="O250" s="399">
        <f t="shared" ref="O250:O256" si="8">N250/$N$258</f>
        <v>1.8181818181818181E-2</v>
      </c>
      <c r="P250" s="337">
        <v>52</v>
      </c>
      <c r="Q250" s="399">
        <f t="shared" si="7"/>
        <v>6.725297465080186E-3</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0</v>
      </c>
      <c r="O251" s="399">
        <f t="shared" si="8"/>
        <v>0</v>
      </c>
      <c r="P251" s="337">
        <v>0</v>
      </c>
      <c r="Q251" s="399">
        <f t="shared" si="7"/>
        <v>0</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55</v>
      </c>
      <c r="O258" s="399">
        <f>SUM(O249:O257)</f>
        <v>1</v>
      </c>
      <c r="P258" s="337">
        <f>SUM(P249:P257)</f>
        <v>7732</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3371</v>
      </c>
      <c r="O272" s="399"/>
      <c r="P272" s="407">
        <f>+P270+P258+P246</f>
        <v>400648</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JUNE 2015</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0.88270000000000004</v>
      </c>
      <c r="P16" s="247" t="s">
        <v>161</v>
      </c>
      <c r="Q16" s="246">
        <v>0.1173</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42298</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157674.56900000002</v>
      </c>
      <c r="I31" s="301"/>
      <c r="J31" s="302">
        <f>J30*J37</f>
        <v>234185.5074</v>
      </c>
      <c r="K31" s="301"/>
      <c r="L31" s="303">
        <f>L30*L37</f>
        <v>52084.188000000002</v>
      </c>
      <c r="M31" s="301"/>
      <c r="N31" s="302">
        <f>N30*N37</f>
        <v>40064.76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155534.323</v>
      </c>
      <c r="I32" s="306"/>
      <c r="J32" s="308">
        <f>J36*J30</f>
        <v>231006.71579999998</v>
      </c>
      <c r="K32" s="307"/>
      <c r="L32" s="307">
        <f>L36*L30</f>
        <v>51377.208999999995</v>
      </c>
      <c r="M32" s="307"/>
      <c r="N32" s="308">
        <f>N36*N30</f>
        <v>39520.93</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157674.56900000002</v>
      </c>
      <c r="I34" s="301"/>
      <c r="J34" s="301">
        <f>J33*J37</f>
        <v>162844.22700000001</v>
      </c>
      <c r="K34" s="301"/>
      <c r="L34" s="301">
        <f>L33*L37</f>
        <v>52084.188000000002</v>
      </c>
      <c r="M34" s="301"/>
      <c r="N34" s="301">
        <f>N33*N37</f>
        <v>28045.331999999999</v>
      </c>
      <c r="O34" s="301"/>
      <c r="P34" s="301"/>
      <c r="Q34" s="304"/>
      <c r="R34" s="301">
        <f>SUM(C34:N34)</f>
        <v>400648.31600000005</v>
      </c>
      <c r="S34" s="305"/>
      <c r="T34" s="255"/>
    </row>
    <row r="35" spans="1:20" s="256" customFormat="1" ht="15.6" x14ac:dyDescent="0.3">
      <c r="A35" s="296"/>
      <c r="B35" s="297" t="s">
        <v>287</v>
      </c>
      <c r="C35" s="306"/>
      <c r="D35" s="307">
        <f>D36*D33</f>
        <v>0</v>
      </c>
      <c r="E35" s="306"/>
      <c r="F35" s="307">
        <f>F36*F33</f>
        <v>0</v>
      </c>
      <c r="G35" s="307"/>
      <c r="H35" s="307">
        <f>H36*H33</f>
        <v>155534.323</v>
      </c>
      <c r="I35" s="306"/>
      <c r="J35" s="307">
        <f>J36*J33</f>
        <v>160633.80899999998</v>
      </c>
      <c r="K35" s="307"/>
      <c r="L35" s="307">
        <f>L36*L33</f>
        <v>51377.208999999995</v>
      </c>
      <c r="M35" s="307"/>
      <c r="N35" s="307">
        <f>N36*N33</f>
        <v>27664.650999999998</v>
      </c>
      <c r="O35" s="307"/>
      <c r="P35" s="307"/>
      <c r="Q35" s="309"/>
      <c r="R35" s="307">
        <f>SUM(C35:N35)</f>
        <v>395209.99199999997</v>
      </c>
      <c r="S35" s="305"/>
      <c r="T35" s="255"/>
    </row>
    <row r="36" spans="1:20" ht="15.6" x14ac:dyDescent="0.3">
      <c r="A36" s="310"/>
      <c r="B36" s="311" t="s">
        <v>149</v>
      </c>
      <c r="C36" s="312"/>
      <c r="D36" s="313">
        <v>0</v>
      </c>
      <c r="E36" s="314"/>
      <c r="F36" s="313">
        <v>0</v>
      </c>
      <c r="G36" s="315"/>
      <c r="H36" s="313">
        <v>0.50994859999999997</v>
      </c>
      <c r="I36" s="313"/>
      <c r="J36" s="313">
        <v>0.50994859999999997</v>
      </c>
      <c r="K36" s="315"/>
      <c r="L36" s="313">
        <v>0.79041859999999997</v>
      </c>
      <c r="M36" s="313"/>
      <c r="N36" s="313">
        <v>0.79041859999999997</v>
      </c>
      <c r="O36" s="316"/>
      <c r="P36" s="316"/>
      <c r="Q36" s="317"/>
      <c r="R36" s="316"/>
      <c r="S36" s="318"/>
      <c r="T36" s="5"/>
    </row>
    <row r="37" spans="1:20" ht="15.6" x14ac:dyDescent="0.3">
      <c r="A37" s="310"/>
      <c r="B37" s="311" t="s">
        <v>150</v>
      </c>
      <c r="C37" s="312"/>
      <c r="D37" s="313">
        <v>0</v>
      </c>
      <c r="E37" s="314"/>
      <c r="F37" s="313">
        <v>0</v>
      </c>
      <c r="G37" s="315"/>
      <c r="H37" s="313">
        <v>0.51696580000000003</v>
      </c>
      <c r="I37" s="313"/>
      <c r="J37" s="313">
        <v>0.51696580000000003</v>
      </c>
      <c r="K37" s="315"/>
      <c r="L37" s="313">
        <v>0.80129519999999999</v>
      </c>
      <c r="M37" s="313"/>
      <c r="N37" s="313">
        <v>0.80129519999999999</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9.6405999999999992E-3</v>
      </c>
      <c r="I39" s="321"/>
      <c r="J39" s="320">
        <v>3.4099999999999998E-3</v>
      </c>
      <c r="K39" s="321"/>
      <c r="L39" s="320">
        <v>1.8840599999999999E-2</v>
      </c>
      <c r="M39" s="321"/>
      <c r="N39" s="320">
        <v>1.1809999999999999E-2</v>
      </c>
      <c r="O39" s="321"/>
      <c r="P39" s="320"/>
      <c r="Q39" s="294"/>
      <c r="R39" s="321"/>
      <c r="S39" s="295"/>
      <c r="T39" s="255"/>
    </row>
    <row r="40" spans="1:20" s="256" customFormat="1" ht="15.6" x14ac:dyDescent="0.3">
      <c r="A40" s="291"/>
      <c r="B40" s="292" t="s">
        <v>14</v>
      </c>
      <c r="C40" s="292"/>
      <c r="D40" s="320">
        <v>0</v>
      </c>
      <c r="E40" s="292"/>
      <c r="F40" s="320">
        <v>0</v>
      </c>
      <c r="G40" s="321"/>
      <c r="H40" s="320">
        <v>9.5212999999999999E-3</v>
      </c>
      <c r="I40" s="321"/>
      <c r="J40" s="320">
        <v>3.7100000000000002E-3</v>
      </c>
      <c r="K40" s="321"/>
      <c r="L40" s="320">
        <v>1.87213E-2</v>
      </c>
      <c r="M40" s="321"/>
      <c r="N40" s="320">
        <v>1.2109999999999999E-2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9.6405999999999992E-3</v>
      </c>
      <c r="I42" s="321"/>
      <c r="J42" s="320">
        <v>1.0436600000000001E-2</v>
      </c>
      <c r="K42" s="321"/>
      <c r="L42" s="320">
        <f>+L39</f>
        <v>1.8840599999999999E-2</v>
      </c>
      <c r="M42" s="321"/>
      <c r="N42" s="320">
        <v>1.95946E-2</v>
      </c>
      <c r="O42" s="321"/>
      <c r="P42" s="320"/>
      <c r="Q42" s="294"/>
      <c r="R42" s="321">
        <f>SUMPRODUCT(D42:N42,D34:N34)/R34</f>
        <v>1.185691224582509E-2</v>
      </c>
      <c r="S42" s="295"/>
      <c r="T42" s="255"/>
    </row>
    <row r="43" spans="1:20" s="256" customFormat="1" ht="15.6" x14ac:dyDescent="0.3">
      <c r="A43" s="291"/>
      <c r="B43" s="292" t="s">
        <v>290</v>
      </c>
      <c r="C43" s="292"/>
      <c r="D43" s="320">
        <f>+D40</f>
        <v>0</v>
      </c>
      <c r="E43" s="292"/>
      <c r="F43" s="320">
        <v>0</v>
      </c>
      <c r="G43" s="321"/>
      <c r="H43" s="320">
        <f>+H40</f>
        <v>9.5212999999999999E-3</v>
      </c>
      <c r="I43" s="321"/>
      <c r="J43" s="320">
        <v>1.03173E-2</v>
      </c>
      <c r="K43" s="321"/>
      <c r="L43" s="320">
        <f>+L40</f>
        <v>1.87213E-2</v>
      </c>
      <c r="M43" s="321"/>
      <c r="N43" s="320">
        <v>1.9475300000000001E-2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0.24999945282277844</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42292</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42109</v>
      </c>
      <c r="Q55" s="331"/>
      <c r="R55" s="330">
        <v>42199</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42200</v>
      </c>
      <c r="Q56" s="331"/>
      <c r="R56" s="330">
        <v>42291</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42278</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332</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400648</v>
      </c>
      <c r="K66" s="336"/>
      <c r="L66" s="336">
        <f>5438+260</f>
        <v>5698</v>
      </c>
      <c r="M66" s="336"/>
      <c r="N66" s="336">
        <v>260</v>
      </c>
      <c r="O66" s="336"/>
      <c r="P66" s="336">
        <v>0</v>
      </c>
      <c r="Q66" s="336"/>
      <c r="R66" s="337">
        <f>+J66-L66+N66-P66</f>
        <v>395210</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400648</v>
      </c>
      <c r="K69" s="336"/>
      <c r="L69" s="336">
        <f>SUM(L66:L68)</f>
        <v>5698</v>
      </c>
      <c r="M69" s="336"/>
      <c r="N69" s="336">
        <f>SUM(N66:N68)</f>
        <v>260</v>
      </c>
      <c r="O69" s="336"/>
      <c r="P69" s="336">
        <f>SUM(P66:P68)</f>
        <v>0</v>
      </c>
      <c r="Q69" s="336"/>
      <c r="R69" s="336">
        <f>SUM(R66:R68)</f>
        <v>395210</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400648</v>
      </c>
      <c r="K82" s="336"/>
      <c r="L82" s="336"/>
      <c r="M82" s="336"/>
      <c r="N82" s="336"/>
      <c r="O82" s="336"/>
      <c r="P82" s="336"/>
      <c r="Q82" s="336"/>
      <c r="R82" s="336">
        <f>SUM(R69:R81)</f>
        <v>395210</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42277</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5698-114</f>
        <v>5584</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2891+1029-909-540</f>
        <v>2471</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107+3</f>
        <v>110</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28</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222</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5584</v>
      </c>
      <c r="Q94" s="335"/>
      <c r="R94" s="336">
        <f>SUM(R86:R93)</f>
        <v>2831</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84</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5584</v>
      </c>
      <c r="Q98" s="335"/>
      <c r="R98" s="336">
        <f>R94+R96+R95+R97</f>
        <v>2915</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-102-97-6</f>
        <v>-205</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-383</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-428</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-247</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-139</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114</v>
      </c>
      <c r="Q113" s="335"/>
      <c r="R113" s="337">
        <v>-114</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-206</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-1183</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-260</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-2140</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-2210</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-707</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-381</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-5698</v>
      </c>
      <c r="Q128" s="336"/>
      <c r="R128" s="336">
        <f>SUM(R99:R127)</f>
        <v>-2915</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SEPTEMBER 2015</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114</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114</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-114</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395210</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395210</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+'June 15'!O177</f>
        <v>90756</v>
      </c>
      <c r="P175" s="337">
        <f>+'June 15'!P177</f>
        <v>8494</v>
      </c>
      <c r="Q175" s="335"/>
      <c r="R175" s="337">
        <f>O175+P175</f>
        <v>99250</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260</v>
      </c>
      <c r="P176" s="336">
        <f>-P95-P120</f>
        <v>0</v>
      </c>
      <c r="Q176" s="335"/>
      <c r="R176" s="337">
        <f>O176+P176</f>
        <v>260</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91016</v>
      </c>
      <c r="P177" s="337">
        <f>P176+P175</f>
        <v>8494</v>
      </c>
      <c r="Q177" s="335"/>
      <c r="R177" s="337">
        <f>O177+P177</f>
        <v>99510</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60490</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3.3390875462392109</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1.62</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4.9145077720207251</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3.05</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SEPTEMBER 2015</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42277</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2.3359999999999999E-2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1.185691224582509E-2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1.1503087754174909E-2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7.2757133443821006E-3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10.86</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1.4221960424112936E-2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9.3700000000000006E-2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1</v>
      </c>
      <c r="P207" s="277">
        <v>45</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54</v>
      </c>
      <c r="P208" s="371">
        <f>+P258</f>
        <v>7770</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114</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'June 15'!P214+P213</f>
        <v>5292</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3</v>
      </c>
      <c r="P220" s="371">
        <v>289</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0.67</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3289</v>
      </c>
      <c r="O225" s="280">
        <f t="shared" ref="O225:O232" si="2">N225/$N$234</f>
        <v>0.99215686274509807</v>
      </c>
      <c r="P225" s="269">
        <f t="shared" ref="P225:P232" si="3">+P237+P249+P261</f>
        <v>392689</v>
      </c>
      <c r="Q225" s="280">
        <f t="shared" ref="Q225:Q232" si="4">P225/$P$234</f>
        <v>0.99362111282609245</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10</v>
      </c>
      <c r="O226" s="399">
        <f t="shared" si="2"/>
        <v>3.0165912518853697E-3</v>
      </c>
      <c r="P226" s="337">
        <f t="shared" si="3"/>
        <v>1174</v>
      </c>
      <c r="Q226" s="399">
        <f t="shared" si="4"/>
        <v>2.9705726069684472E-3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11</v>
      </c>
      <c r="O227" s="399">
        <f t="shared" si="2"/>
        <v>3.3182503770739064E-3</v>
      </c>
      <c r="P227" s="337">
        <f t="shared" si="3"/>
        <v>1049</v>
      </c>
      <c r="Q227" s="399">
        <f t="shared" si="4"/>
        <v>2.6542850636370537E-3</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0</v>
      </c>
      <c r="O228" s="399">
        <f t="shared" si="2"/>
        <v>0</v>
      </c>
      <c r="P228" s="337">
        <f t="shared" si="3"/>
        <v>0</v>
      </c>
      <c r="Q228" s="399">
        <f t="shared" si="4"/>
        <v>0</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4</v>
      </c>
      <c r="O231" s="399">
        <f t="shared" si="2"/>
        <v>1.2066365007541479E-3</v>
      </c>
      <c r="P231" s="337">
        <f t="shared" si="3"/>
        <v>108</v>
      </c>
      <c r="Q231" s="399">
        <f t="shared" si="4"/>
        <v>2.7327243743832392E-4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1</v>
      </c>
      <c r="O232" s="561">
        <f t="shared" si="2"/>
        <v>3.0165912518853697E-4</v>
      </c>
      <c r="P232" s="562">
        <f t="shared" si="3"/>
        <v>190</v>
      </c>
      <c r="Q232" s="561">
        <f t="shared" si="4"/>
        <v>4.8075706586371802E-4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3315</v>
      </c>
      <c r="O234" s="399">
        <f>SUM(O225:O233)</f>
        <v>1</v>
      </c>
      <c r="P234" s="337">
        <f>SUM(P225:P233)</f>
        <v>395210</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3238</v>
      </c>
      <c r="O237" s="280">
        <f t="shared" ref="O237:O244" si="5">N237/$N$246</f>
        <v>0.99294694878871514</v>
      </c>
      <c r="P237" s="269">
        <v>385319</v>
      </c>
      <c r="Q237" s="280">
        <f t="shared" ref="Q237:Q244" si="6">P237/$P$246</f>
        <v>0.99452560396448486</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10</v>
      </c>
      <c r="O238" s="399">
        <f t="shared" si="5"/>
        <v>3.0665440049064702E-3</v>
      </c>
      <c r="P238" s="337">
        <v>1174</v>
      </c>
      <c r="Q238" s="399">
        <f t="shared" si="6"/>
        <v>3.0301466033450341E-3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8</v>
      </c>
      <c r="O239" s="399">
        <f t="shared" si="5"/>
        <v>2.4532352039251764E-3</v>
      </c>
      <c r="P239" s="337">
        <v>649</v>
      </c>
      <c r="Q239" s="399">
        <f t="shared" si="6"/>
        <v>1.6750980797026636E-3</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4</v>
      </c>
      <c r="O243" s="399">
        <f t="shared" si="5"/>
        <v>1.2266176019625882E-3</v>
      </c>
      <c r="P243" s="337">
        <v>108</v>
      </c>
      <c r="Q243" s="399">
        <f t="shared" si="6"/>
        <v>2.7875283914928766E-4</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3.0665440049064706E-4</v>
      </c>
      <c r="P244" s="337">
        <v>190</v>
      </c>
      <c r="Q244" s="399">
        <f t="shared" si="6"/>
        <v>4.9039851331819119E-4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3261</v>
      </c>
      <c r="O246" s="399">
        <f>SUM(O237:O245)</f>
        <v>1</v>
      </c>
      <c r="P246" s="337">
        <f>SUM(P237:P245)</f>
        <v>387440</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51</v>
      </c>
      <c r="O249" s="280">
        <f>N249/$N$258</f>
        <v>0.94444444444444442</v>
      </c>
      <c r="P249" s="269">
        <v>7370</v>
      </c>
      <c r="Q249" s="280">
        <f t="shared" ref="Q249:Q256" si="7">P249/$P$258</f>
        <v>0.94851994851994847</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3</v>
      </c>
      <c r="O251" s="399">
        <f t="shared" si="8"/>
        <v>5.5555555555555552E-2</v>
      </c>
      <c r="P251" s="337">
        <v>400</v>
      </c>
      <c r="Q251" s="399">
        <f t="shared" si="7"/>
        <v>5.1480051480051477E-2</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54</v>
      </c>
      <c r="O258" s="399">
        <f>SUM(O249:O257)</f>
        <v>1</v>
      </c>
      <c r="P258" s="337">
        <f>SUM(P249:P257)</f>
        <v>7770</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3315</v>
      </c>
      <c r="O272" s="399"/>
      <c r="P272" s="407">
        <f>+P270+P258+P246</f>
        <v>395210</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SEPTEMBER 2015</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0.88360000000000005</v>
      </c>
      <c r="P16" s="247" t="s">
        <v>161</v>
      </c>
      <c r="Q16" s="246">
        <v>0.1164</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42391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155534.323</v>
      </c>
      <c r="I31" s="301"/>
      <c r="J31" s="302">
        <f>J30*J37</f>
        <v>231006.71579999998</v>
      </c>
      <c r="K31" s="301"/>
      <c r="L31" s="303">
        <f>L30*L37</f>
        <v>51377.208999999995</v>
      </c>
      <c r="M31" s="301"/>
      <c r="N31" s="302">
        <f>N30*N37</f>
        <v>39520.93</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153696.39300000001</v>
      </c>
      <c r="I32" s="306"/>
      <c r="J32" s="308">
        <f>J36*J30</f>
        <v>228276.93779999999</v>
      </c>
      <c r="K32" s="307"/>
      <c r="L32" s="307">
        <f>L36*L30</f>
        <v>50770.082999999999</v>
      </c>
      <c r="M32" s="307"/>
      <c r="N32" s="308">
        <f>N36*N30</f>
        <v>39053.909999999996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155534.323</v>
      </c>
      <c r="I34" s="301"/>
      <c r="J34" s="301">
        <f>J33*J37</f>
        <v>160633.80899999998</v>
      </c>
      <c r="K34" s="301"/>
      <c r="L34" s="301">
        <f>L33*L37</f>
        <v>51377.208999999995</v>
      </c>
      <c r="M34" s="301"/>
      <c r="N34" s="301">
        <f>N33*N37</f>
        <v>27664.650999999998</v>
      </c>
      <c r="O34" s="301"/>
      <c r="P34" s="301"/>
      <c r="Q34" s="304"/>
      <c r="R34" s="301">
        <f>SUM(C34:N34)</f>
        <v>395209.99199999997</v>
      </c>
      <c r="S34" s="305"/>
      <c r="T34" s="255"/>
    </row>
    <row r="35" spans="1:20" s="256" customFormat="1" ht="15.6" x14ac:dyDescent="0.3">
      <c r="A35" s="296"/>
      <c r="B35" s="297" t="s">
        <v>287</v>
      </c>
      <c r="C35" s="306"/>
      <c r="D35" s="307">
        <f>D36*D33</f>
        <v>0</v>
      </c>
      <c r="E35" s="306"/>
      <c r="F35" s="307">
        <f>F36*F33</f>
        <v>0</v>
      </c>
      <c r="G35" s="307"/>
      <c r="H35" s="307">
        <f>H36*H33</f>
        <v>153696.39300000001</v>
      </c>
      <c r="I35" s="306"/>
      <c r="J35" s="307">
        <f>J36*J33</f>
        <v>158735.61900000001</v>
      </c>
      <c r="K35" s="307"/>
      <c r="L35" s="307">
        <f>L36*L33</f>
        <v>50770.082999999999</v>
      </c>
      <c r="M35" s="307"/>
      <c r="N35" s="307">
        <f>N36*N33</f>
        <v>27337.736999999997</v>
      </c>
      <c r="O35" s="307"/>
      <c r="P35" s="307"/>
      <c r="Q35" s="309"/>
      <c r="R35" s="307">
        <f>SUM(C35:N35)</f>
        <v>390539.83199999999</v>
      </c>
      <c r="S35" s="305"/>
      <c r="T35" s="255"/>
    </row>
    <row r="36" spans="1:20" ht="15.6" x14ac:dyDescent="0.3">
      <c r="A36" s="310"/>
      <c r="B36" s="311" t="s">
        <v>149</v>
      </c>
      <c r="C36" s="312"/>
      <c r="D36" s="313">
        <v>0</v>
      </c>
      <c r="E36" s="314"/>
      <c r="F36" s="313">
        <v>0</v>
      </c>
      <c r="G36" s="315"/>
      <c r="H36" s="313">
        <v>0.5039226</v>
      </c>
      <c r="I36" s="313"/>
      <c r="J36" s="313">
        <v>0.5039226</v>
      </c>
      <c r="K36" s="315"/>
      <c r="L36" s="313">
        <v>0.78107819999999994</v>
      </c>
      <c r="M36" s="313"/>
      <c r="N36" s="313">
        <v>0.78107819999999994</v>
      </c>
      <c r="O36" s="316"/>
      <c r="P36" s="316"/>
      <c r="Q36" s="317"/>
      <c r="R36" s="316"/>
      <c r="S36" s="318"/>
      <c r="T36" s="5"/>
    </row>
    <row r="37" spans="1:20" ht="15.6" x14ac:dyDescent="0.3">
      <c r="A37" s="310"/>
      <c r="B37" s="311" t="s">
        <v>150</v>
      </c>
      <c r="C37" s="312"/>
      <c r="D37" s="313">
        <v>0</v>
      </c>
      <c r="E37" s="314"/>
      <c r="F37" s="313">
        <v>0</v>
      </c>
      <c r="G37" s="315"/>
      <c r="H37" s="313">
        <v>0.50994859999999997</v>
      </c>
      <c r="I37" s="313"/>
      <c r="J37" s="313">
        <v>0.50994859999999997</v>
      </c>
      <c r="K37" s="315"/>
      <c r="L37" s="313">
        <v>0.79041859999999997</v>
      </c>
      <c r="M37" s="313"/>
      <c r="N37" s="313">
        <v>0.79041859999999997</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9.5937999999999996E-3</v>
      </c>
      <c r="I39" s="321"/>
      <c r="J39" s="320">
        <v>3.1099999999999999E-3</v>
      </c>
      <c r="K39" s="321"/>
      <c r="L39" s="320">
        <v>1.8793799999999999E-2</v>
      </c>
      <c r="M39" s="321"/>
      <c r="N39" s="320">
        <v>1.1509999999999999E-2</v>
      </c>
      <c r="O39" s="321"/>
      <c r="P39" s="320"/>
      <c r="Q39" s="294"/>
      <c r="R39" s="321"/>
      <c r="S39" s="295"/>
      <c r="T39" s="255"/>
    </row>
    <row r="40" spans="1:20" s="256" customFormat="1" ht="15.6" x14ac:dyDescent="0.3">
      <c r="A40" s="291"/>
      <c r="B40" s="292" t="s">
        <v>14</v>
      </c>
      <c r="C40" s="292"/>
      <c r="D40" s="320">
        <v>0</v>
      </c>
      <c r="E40" s="292"/>
      <c r="F40" s="320">
        <v>0</v>
      </c>
      <c r="G40" s="321"/>
      <c r="H40" s="320">
        <v>9.6405999999999992E-3</v>
      </c>
      <c r="I40" s="321"/>
      <c r="J40" s="320">
        <v>3.4099999999999998E-3</v>
      </c>
      <c r="K40" s="321"/>
      <c r="L40" s="320">
        <v>1.8840599999999999E-2</v>
      </c>
      <c r="M40" s="321"/>
      <c r="N40" s="320">
        <v>1.1809999999999999E-2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9.5937999999999996E-3</v>
      </c>
      <c r="I42" s="321"/>
      <c r="J42" s="320">
        <v>1.0389799999999999E-2</v>
      </c>
      <c r="K42" s="321"/>
      <c r="L42" s="320">
        <f>+L39</f>
        <v>1.8793799999999999E-2</v>
      </c>
      <c r="M42" s="321"/>
      <c r="N42" s="320">
        <v>1.9547800000000001E-2</v>
      </c>
      <c r="O42" s="321"/>
      <c r="P42" s="320"/>
      <c r="Q42" s="294"/>
      <c r="R42" s="321">
        <f>SUMPRODUCT(D42:N42,D34:N34)/R34</f>
        <v>1.1810112311299052E-2</v>
      </c>
      <c r="S42" s="295"/>
      <c r="T42" s="255"/>
    </row>
    <row r="43" spans="1:20" s="256" customFormat="1" ht="15.6" x14ac:dyDescent="0.3">
      <c r="A43" s="291"/>
      <c r="B43" s="292" t="s">
        <v>290</v>
      </c>
      <c r="C43" s="292"/>
      <c r="D43" s="320">
        <f>+D40</f>
        <v>0</v>
      </c>
      <c r="E43" s="292"/>
      <c r="F43" s="320">
        <v>0</v>
      </c>
      <c r="G43" s="321"/>
      <c r="H43" s="320">
        <f>+H40</f>
        <v>9.6405999999999992E-3</v>
      </c>
      <c r="I43" s="321"/>
      <c r="J43" s="320">
        <v>1.0436600000000001E-2</v>
      </c>
      <c r="K43" s="321"/>
      <c r="L43" s="320">
        <f>+L40</f>
        <v>1.8840599999999999E-2</v>
      </c>
      <c r="M43" s="321"/>
      <c r="N43" s="320">
        <v>1.95946E-2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0.24999941427256819</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42384</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42200</v>
      </c>
      <c r="Q55" s="331"/>
      <c r="R55" s="330">
        <v>42291</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42292</v>
      </c>
      <c r="Q56" s="331"/>
      <c r="R56" s="330">
        <v>42383</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42373</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333</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395210</v>
      </c>
      <c r="K66" s="336"/>
      <c r="L66" s="336">
        <f>4670+234</f>
        <v>4904</v>
      </c>
      <c r="M66" s="336"/>
      <c r="N66" s="336">
        <v>234</v>
      </c>
      <c r="O66" s="336"/>
      <c r="P66" s="336">
        <v>0</v>
      </c>
      <c r="Q66" s="336"/>
      <c r="R66" s="337">
        <f>+J66-L66+N66-P66</f>
        <v>390540</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395210</v>
      </c>
      <c r="K69" s="336"/>
      <c r="L69" s="336">
        <f>SUM(L66:L68)</f>
        <v>4904</v>
      </c>
      <c r="M69" s="336"/>
      <c r="N69" s="336">
        <f>SUM(N66:N68)</f>
        <v>234</v>
      </c>
      <c r="O69" s="336"/>
      <c r="P69" s="336">
        <f>SUM(P66:P68)</f>
        <v>0</v>
      </c>
      <c r="Q69" s="336"/>
      <c r="R69" s="336">
        <f>SUM(R66:R68)</f>
        <v>390540</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395210</v>
      </c>
      <c r="K82" s="336"/>
      <c r="L82" s="336"/>
      <c r="M82" s="336"/>
      <c r="N82" s="336"/>
      <c r="O82" s="336"/>
      <c r="P82" s="336"/>
      <c r="Q82" s="336"/>
      <c r="R82" s="336">
        <f>SUM(R69:R81)</f>
        <v>390540</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42369</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4904+64</f>
        <v>4968</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3146+318-1070-90</f>
        <v>2304</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45+74</f>
        <v>119</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29</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209</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4968</v>
      </c>
      <c r="Q94" s="335"/>
      <c r="R94" s="336">
        <f>SUM(R86:R93)</f>
        <v>2661</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0</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4968</v>
      </c>
      <c r="Q98" s="335"/>
      <c r="R98" s="336">
        <f>R94+R96+R95+R97</f>
        <v>2661</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-100-88-6</f>
        <v>-194</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-376</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-421</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-244</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-136</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-64</v>
      </c>
      <c r="Q113" s="335"/>
      <c r="R113" s="337">
        <v>64</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-203</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-1141</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-234</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-1838</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-1898</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-607</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-327</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-4904</v>
      </c>
      <c r="Q128" s="336"/>
      <c r="R128" s="336">
        <f>SUM(R99:R127)</f>
        <v>-2661</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DECEMBER 2015</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-64</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-64</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64</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390540</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390540</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+'Sept 15'!O177</f>
        <v>91016</v>
      </c>
      <c r="P175" s="337">
        <f>+'Sept 15'!P177</f>
        <v>8494</v>
      </c>
      <c r="Q175" s="335"/>
      <c r="R175" s="337">
        <f>O175+P175</f>
        <v>99510</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234</v>
      </c>
      <c r="P176" s="336">
        <f>-P95-P120</f>
        <v>0</v>
      </c>
      <c r="Q176" s="335"/>
      <c r="R176" s="337">
        <f>O176+P176</f>
        <v>234</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91250</v>
      </c>
      <c r="P177" s="337">
        <f>P176+P175</f>
        <v>8494</v>
      </c>
      <c r="Q177" s="335"/>
      <c r="R177" s="337">
        <f>O177+P177</f>
        <v>99744</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60256</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3.092848180677541</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1.63</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4.3894736842105262</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3.07</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DECEMBER 2015</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42369</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2.3369999999999998E-2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1.1810112311299052E-2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1.1559887688700947E-2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6.7331292224387038E-3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10.71</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1.2408592899977228E-2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9.2700000000000005E-2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1</v>
      </c>
      <c r="P207" s="277">
        <v>30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52</v>
      </c>
      <c r="P208" s="371">
        <f>+P258</f>
        <v>7442</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-64</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'Sept 15'!P214+P213</f>
        <v>5228</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0</v>
      </c>
      <c r="P220" s="371">
        <v>0</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3253</v>
      </c>
      <c r="O225" s="280">
        <f t="shared" ref="O225:O232" si="2">N225/$N$234</f>
        <v>0.99601959583588484</v>
      </c>
      <c r="P225" s="269">
        <f t="shared" ref="P225:P232" si="3">+P237+P249+P261</f>
        <v>389501</v>
      </c>
      <c r="Q225" s="280">
        <f t="shared" ref="Q225:Q232" si="4">P225/$P$234</f>
        <v>0.99733958109284582</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7</v>
      </c>
      <c r="O226" s="399">
        <f t="shared" si="2"/>
        <v>2.1432945499081446E-3</v>
      </c>
      <c r="P226" s="337">
        <f t="shared" si="3"/>
        <v>648</v>
      </c>
      <c r="Q226" s="399">
        <f t="shared" si="4"/>
        <v>1.6592410508526655E-3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1</v>
      </c>
      <c r="O227" s="399">
        <f t="shared" si="2"/>
        <v>3.061849357011635E-4</v>
      </c>
      <c r="P227" s="337">
        <f t="shared" si="3"/>
        <v>72</v>
      </c>
      <c r="Q227" s="399">
        <f t="shared" si="4"/>
        <v>1.843601167614073E-4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1</v>
      </c>
      <c r="O228" s="399">
        <f t="shared" si="2"/>
        <v>3.061849357011635E-4</v>
      </c>
      <c r="P228" s="337">
        <f t="shared" si="3"/>
        <v>23</v>
      </c>
      <c r="Q228" s="399">
        <f t="shared" si="4"/>
        <v>5.8892815076560659E-5</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1</v>
      </c>
      <c r="O230" s="399">
        <f t="shared" si="2"/>
        <v>3.061849357011635E-4</v>
      </c>
      <c r="P230" s="337">
        <f t="shared" si="3"/>
        <v>73</v>
      </c>
      <c r="Q230" s="399">
        <f t="shared" si="4"/>
        <v>1.8692067393864906E-4</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2</v>
      </c>
      <c r="O231" s="399">
        <f t="shared" si="2"/>
        <v>6.1236987140232701E-4</v>
      </c>
      <c r="P231" s="337">
        <f t="shared" si="3"/>
        <v>33</v>
      </c>
      <c r="Q231" s="399">
        <f t="shared" si="4"/>
        <v>8.4498386848978337E-5</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1</v>
      </c>
      <c r="O232" s="561">
        <f t="shared" si="2"/>
        <v>3.061849357011635E-4</v>
      </c>
      <c r="P232" s="562">
        <f t="shared" si="3"/>
        <v>190</v>
      </c>
      <c r="Q232" s="561">
        <f t="shared" si="4"/>
        <v>4.8650586367593587E-4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3266</v>
      </c>
      <c r="O234" s="399">
        <f>SUM(O225:O233)</f>
        <v>0.99999999999999978</v>
      </c>
      <c r="P234" s="337">
        <f>SUM(P225:P233)</f>
        <v>390540</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3202</v>
      </c>
      <c r="O237" s="280">
        <f t="shared" ref="O237:O244" si="5">N237/$N$246</f>
        <v>0.99626633478531423</v>
      </c>
      <c r="P237" s="269">
        <v>382132</v>
      </c>
      <c r="Q237" s="280">
        <f t="shared" ref="Q237:Q244" si="6">P237/$P$246</f>
        <v>0.99747845198878615</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7</v>
      </c>
      <c r="O238" s="399">
        <f t="shared" si="5"/>
        <v>2.1779713752333543E-3</v>
      </c>
      <c r="P238" s="337">
        <v>648</v>
      </c>
      <c r="Q238" s="399">
        <f t="shared" si="6"/>
        <v>1.6914732000689119E-3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1</v>
      </c>
      <c r="O239" s="399">
        <f t="shared" si="5"/>
        <v>3.1113876789047915E-4</v>
      </c>
      <c r="P239" s="337">
        <v>72</v>
      </c>
      <c r="Q239" s="399">
        <f t="shared" si="6"/>
        <v>1.8794146667432354E-4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1</v>
      </c>
      <c r="O240" s="399">
        <f t="shared" si="5"/>
        <v>3.1113876789047915E-4</v>
      </c>
      <c r="P240" s="337">
        <v>23</v>
      </c>
      <c r="Q240" s="399">
        <f t="shared" si="6"/>
        <v>6.0036857409853355E-5</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2</v>
      </c>
      <c r="O243" s="399">
        <f t="shared" si="5"/>
        <v>6.222775357809583E-4</v>
      </c>
      <c r="P243" s="337">
        <v>33</v>
      </c>
      <c r="Q243" s="399">
        <f t="shared" si="6"/>
        <v>8.6139838892398293E-5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3.1113876789047915E-4</v>
      </c>
      <c r="P244" s="337">
        <v>190</v>
      </c>
      <c r="Q244" s="399">
        <f t="shared" si="6"/>
        <v>4.9595664816835382E-4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3214</v>
      </c>
      <c r="O246" s="399">
        <f>SUM(O237:O245)</f>
        <v>0.99999999999999989</v>
      </c>
      <c r="P246" s="337">
        <f>SUM(P237:P245)</f>
        <v>383098</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51</v>
      </c>
      <c r="O249" s="280">
        <f>N249/$N$258</f>
        <v>0.98076923076923073</v>
      </c>
      <c r="P249" s="269">
        <v>7369</v>
      </c>
      <c r="Q249" s="280">
        <f t="shared" ref="Q249:Q256" si="7">P249/$P$258</f>
        <v>0.99019080892233269</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0</v>
      </c>
      <c r="O251" s="399">
        <f t="shared" si="8"/>
        <v>0</v>
      </c>
      <c r="P251" s="337">
        <v>0</v>
      </c>
      <c r="Q251" s="399">
        <f t="shared" si="7"/>
        <v>0</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1</v>
      </c>
      <c r="O254" s="399">
        <f t="shared" si="8"/>
        <v>1.9230769230769232E-2</v>
      </c>
      <c r="P254" s="337">
        <v>73</v>
      </c>
      <c r="Q254" s="399">
        <f t="shared" si="7"/>
        <v>9.8091910776672946E-3</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52</v>
      </c>
      <c r="O258" s="399">
        <f>SUM(O249:O257)</f>
        <v>1</v>
      </c>
      <c r="P258" s="337">
        <f>SUM(P249:P257)</f>
        <v>7442</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3266</v>
      </c>
      <c r="O272" s="399"/>
      <c r="P272" s="407">
        <f>+P270+P258+P246</f>
        <v>390540</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DECEMBER 2015</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0.88170000000000004</v>
      </c>
      <c r="P16" s="247" t="s">
        <v>161</v>
      </c>
      <c r="Q16" s="246">
        <v>0.1183</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42481</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153696.39300000001</v>
      </c>
      <c r="I31" s="301"/>
      <c r="J31" s="302">
        <f>J30*J37</f>
        <v>228276.93779999999</v>
      </c>
      <c r="K31" s="301"/>
      <c r="L31" s="303">
        <f>L30*L37</f>
        <v>50770.082999999999</v>
      </c>
      <c r="M31" s="301"/>
      <c r="N31" s="302">
        <f>N30*N37</f>
        <v>39053.909999999996</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149268.342</v>
      </c>
      <c r="I32" s="306"/>
      <c r="J32" s="308">
        <f>J36*J30</f>
        <v>221700.19320000001</v>
      </c>
      <c r="K32" s="307"/>
      <c r="L32" s="307">
        <f>L36*L30</f>
        <v>49307.362000000001</v>
      </c>
      <c r="M32" s="307"/>
      <c r="N32" s="308">
        <f>N36*N30</f>
        <v>37928.74</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153696.39300000001</v>
      </c>
      <c r="I34" s="301"/>
      <c r="J34" s="301">
        <f>J33*J37</f>
        <v>158735.61900000001</v>
      </c>
      <c r="K34" s="301"/>
      <c r="L34" s="301">
        <f>L33*L37</f>
        <v>50770.082999999999</v>
      </c>
      <c r="M34" s="301"/>
      <c r="N34" s="301">
        <f>N33*N37</f>
        <v>27337.736999999997</v>
      </c>
      <c r="O34" s="301"/>
      <c r="P34" s="301"/>
      <c r="Q34" s="304"/>
      <c r="R34" s="301">
        <f>SUM(C34:N34)</f>
        <v>390539.83199999999</v>
      </c>
      <c r="S34" s="305"/>
      <c r="T34" s="255"/>
    </row>
    <row r="35" spans="1:20" s="256" customFormat="1" ht="15.6" x14ac:dyDescent="0.3">
      <c r="A35" s="296"/>
      <c r="B35" s="297" t="s">
        <v>287</v>
      </c>
      <c r="C35" s="306"/>
      <c r="D35" s="307">
        <f>D36*D33</f>
        <v>0</v>
      </c>
      <c r="E35" s="306"/>
      <c r="F35" s="307">
        <f>F36*F33</f>
        <v>0</v>
      </c>
      <c r="G35" s="307"/>
      <c r="H35" s="307">
        <f>H36*H33</f>
        <v>149268.342</v>
      </c>
      <c r="I35" s="306"/>
      <c r="J35" s="307">
        <f>J36*J33</f>
        <v>154162.386</v>
      </c>
      <c r="K35" s="307"/>
      <c r="L35" s="307">
        <f>L36*L33</f>
        <v>49307.362000000001</v>
      </c>
      <c r="M35" s="307"/>
      <c r="N35" s="307">
        <f>N36*N33</f>
        <v>26550.117999999999</v>
      </c>
      <c r="O35" s="307"/>
      <c r="P35" s="307"/>
      <c r="Q35" s="309"/>
      <c r="R35" s="307">
        <f>SUM(C35:N35)</f>
        <v>379288.20800000004</v>
      </c>
      <c r="S35" s="305"/>
      <c r="T35" s="255"/>
    </row>
    <row r="36" spans="1:20" ht="15.6" x14ac:dyDescent="0.3">
      <c r="A36" s="310"/>
      <c r="B36" s="311" t="s">
        <v>149</v>
      </c>
      <c r="C36" s="312"/>
      <c r="D36" s="313">
        <v>0</v>
      </c>
      <c r="E36" s="314"/>
      <c r="F36" s="313">
        <v>0</v>
      </c>
      <c r="G36" s="315"/>
      <c r="H36" s="313">
        <v>0.48940440000000002</v>
      </c>
      <c r="I36" s="313"/>
      <c r="J36" s="313">
        <v>0.48940440000000002</v>
      </c>
      <c r="K36" s="315"/>
      <c r="L36" s="313">
        <v>0.75857479999999999</v>
      </c>
      <c r="M36" s="313"/>
      <c r="N36" s="313">
        <v>0.75857479999999999</v>
      </c>
      <c r="O36" s="316"/>
      <c r="P36" s="316"/>
      <c r="Q36" s="317"/>
      <c r="R36" s="316"/>
      <c r="S36" s="318"/>
      <c r="T36" s="5"/>
    </row>
    <row r="37" spans="1:20" ht="15.6" x14ac:dyDescent="0.3">
      <c r="A37" s="310"/>
      <c r="B37" s="311" t="s">
        <v>150</v>
      </c>
      <c r="C37" s="312"/>
      <c r="D37" s="313">
        <v>0</v>
      </c>
      <c r="E37" s="314"/>
      <c r="F37" s="313">
        <v>0</v>
      </c>
      <c r="G37" s="315"/>
      <c r="H37" s="313">
        <v>0.5039226</v>
      </c>
      <c r="I37" s="313"/>
      <c r="J37" s="313">
        <v>0.5039226</v>
      </c>
      <c r="K37" s="315"/>
      <c r="L37" s="313">
        <v>0.78107819999999994</v>
      </c>
      <c r="M37" s="313"/>
      <c r="N37" s="313">
        <v>0.78107819999999994</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9.7062999999999993E-3</v>
      </c>
      <c r="I39" s="321"/>
      <c r="J39" s="320">
        <v>2.16E-3</v>
      </c>
      <c r="K39" s="321"/>
      <c r="L39" s="320">
        <v>1.8906300000000001E-2</v>
      </c>
      <c r="M39" s="321"/>
      <c r="N39" s="320">
        <v>1.056E-2</v>
      </c>
      <c r="O39" s="321"/>
      <c r="P39" s="320"/>
      <c r="Q39" s="294"/>
      <c r="R39" s="321"/>
      <c r="S39" s="295"/>
      <c r="T39" s="255"/>
    </row>
    <row r="40" spans="1:20" s="256" customFormat="1" ht="15.6" x14ac:dyDescent="0.3">
      <c r="A40" s="291"/>
      <c r="B40" s="292" t="s">
        <v>14</v>
      </c>
      <c r="C40" s="292"/>
      <c r="D40" s="320">
        <v>0</v>
      </c>
      <c r="E40" s="292"/>
      <c r="F40" s="320">
        <v>0</v>
      </c>
      <c r="G40" s="321"/>
      <c r="H40" s="320">
        <v>9.5937999999999996E-3</v>
      </c>
      <c r="I40" s="321"/>
      <c r="J40" s="320">
        <v>3.1099999999999999E-3</v>
      </c>
      <c r="K40" s="321"/>
      <c r="L40" s="320">
        <v>1.8793799999999999E-2</v>
      </c>
      <c r="M40" s="321"/>
      <c r="N40" s="320">
        <v>1.1509999999999999E-2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9.7062999999999993E-3</v>
      </c>
      <c r="I42" s="321"/>
      <c r="J42" s="320">
        <v>1.0502299999999999E-2</v>
      </c>
      <c r="K42" s="321"/>
      <c r="L42" s="320">
        <f>+L39</f>
        <v>1.8906300000000001E-2</v>
      </c>
      <c r="M42" s="321"/>
      <c r="N42" s="320">
        <v>1.9660299999999999E-2</v>
      </c>
      <c r="O42" s="321"/>
      <c r="P42" s="320"/>
      <c r="Q42" s="294"/>
      <c r="R42" s="321">
        <f>SUMPRODUCT(D42:N42,D34:N34)/R34</f>
        <v>1.1922612087782123E-2</v>
      </c>
      <c r="S42" s="295"/>
      <c r="T42" s="255"/>
    </row>
    <row r="43" spans="1:20" s="256" customFormat="1" ht="15.6" x14ac:dyDescent="0.3">
      <c r="A43" s="291"/>
      <c r="B43" s="292" t="s">
        <v>290</v>
      </c>
      <c r="C43" s="292"/>
      <c r="D43" s="320">
        <f>+D40</f>
        <v>0</v>
      </c>
      <c r="E43" s="292"/>
      <c r="F43" s="320">
        <v>0</v>
      </c>
      <c r="G43" s="321"/>
      <c r="H43" s="320">
        <f>+H40</f>
        <v>9.5937999999999996E-3</v>
      </c>
      <c r="I43" s="321"/>
      <c r="J43" s="320">
        <v>1.0389799999999999E-2</v>
      </c>
      <c r="K43" s="321"/>
      <c r="L43" s="320">
        <f>+L40</f>
        <v>1.8793799999999999E-2</v>
      </c>
      <c r="M43" s="321"/>
      <c r="N43" s="320">
        <v>1.9547800000000001E-2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0.2499993342796844</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42475</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42292</v>
      </c>
      <c r="Q55" s="331"/>
      <c r="R55" s="330">
        <v>42383</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42384</v>
      </c>
      <c r="Q56" s="331"/>
      <c r="R56" s="330">
        <v>42474</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42461</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334</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390540</v>
      </c>
      <c r="K66" s="336"/>
      <c r="L66" s="336">
        <f>11252+2+315</f>
        <v>11569</v>
      </c>
      <c r="M66" s="336"/>
      <c r="N66" s="336">
        <f>2+315</f>
        <v>317</v>
      </c>
      <c r="O66" s="336"/>
      <c r="P66" s="336">
        <v>0</v>
      </c>
      <c r="Q66" s="336"/>
      <c r="R66" s="337">
        <f>+J66-L66+N66-P66</f>
        <v>379288</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390540</v>
      </c>
      <c r="K69" s="336"/>
      <c r="L69" s="336">
        <f>SUM(L66:L68)</f>
        <v>11569</v>
      </c>
      <c r="M69" s="336"/>
      <c r="N69" s="336">
        <f>SUM(N66:N68)</f>
        <v>317</v>
      </c>
      <c r="O69" s="336"/>
      <c r="P69" s="336">
        <f>SUM(P66:P68)</f>
        <v>0</v>
      </c>
      <c r="Q69" s="336"/>
      <c r="R69" s="336">
        <f>SUM(R66:R68)</f>
        <v>379288</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390540</v>
      </c>
      <c r="K82" s="336"/>
      <c r="L82" s="336"/>
      <c r="M82" s="336"/>
      <c r="N82" s="336"/>
      <c r="O82" s="336"/>
      <c r="P82" s="336"/>
      <c r="Q82" s="336"/>
      <c r="R82" s="336">
        <f>SUM(R69:R81)</f>
        <v>379288</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42460</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11569+35</f>
        <v>11604</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2780+466-836-171</f>
        <v>2239</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80+2</f>
        <v>82</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34</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193</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11604</v>
      </c>
      <c r="Q94" s="335"/>
      <c r="R94" s="336">
        <f>SUM(R86:R93)</f>
        <v>2548</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0</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11604</v>
      </c>
      <c r="Q98" s="335"/>
      <c r="R98" s="336">
        <f>R94+R96+R95+R97</f>
        <v>2548</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-98-98-5</f>
        <v>-201</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-372</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-416</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-239</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-134</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-35</v>
      </c>
      <c r="Q113" s="335"/>
      <c r="R113" s="337">
        <v>35</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-199</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-1012</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-2</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-315</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-4428</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-4573</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-1463</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-788</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-11569</v>
      </c>
      <c r="Q128" s="336"/>
      <c r="R128" s="336">
        <f>SUM(R99:R127)</f>
        <v>-2548</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MARCH 2016</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-35</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-35</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35</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379288</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379288</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+'Dec 15'!O177</f>
        <v>91250</v>
      </c>
      <c r="P175" s="337">
        <f>+'Dec 15'!P177</f>
        <v>8494</v>
      </c>
      <c r="Q175" s="335"/>
      <c r="R175" s="337">
        <f>O175+P175</f>
        <v>99744</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315</v>
      </c>
      <c r="P176" s="336">
        <f>-P95-P120</f>
        <v>2</v>
      </c>
      <c r="Q176" s="335"/>
      <c r="R176" s="337">
        <f>O176+P176</f>
        <v>317</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91565</v>
      </c>
      <c r="P177" s="337">
        <f>P176+P175</f>
        <v>8496</v>
      </c>
      <c r="Q177" s="335"/>
      <c r="R177" s="337">
        <f>O177+P177</f>
        <v>100061</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59939</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2.9758883248730963</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1.63</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4.1742627345844507</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3.08</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MARCH 2016</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42460</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2.366E-2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1.1922612087782123E-2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1.1737387912217878E-2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6.5242996876120245E-3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10.58</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2.9623085983510013E-2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9.3100000000000002E-2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1</v>
      </c>
      <c r="P207" s="277">
        <v>109</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53</v>
      </c>
      <c r="P208" s="371">
        <f>+P258</f>
        <v>7485</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-35</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'Dec 15'!P214+P213</f>
        <v>5193</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1</v>
      </c>
      <c r="P220" s="371">
        <v>120</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3175</v>
      </c>
      <c r="O225" s="280">
        <f t="shared" ref="O225:O232" si="2">N225/$N$234</f>
        <v>0.99249765551734914</v>
      </c>
      <c r="P225" s="269">
        <f t="shared" ref="P225:P232" si="3">+P237+P249+P261</f>
        <v>377107</v>
      </c>
      <c r="Q225" s="280">
        <f t="shared" ref="Q225:Q232" si="4">P225/$P$234</f>
        <v>0.99424975216721856</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18</v>
      </c>
      <c r="O226" s="399">
        <f t="shared" si="2"/>
        <v>5.6267583619881217E-3</v>
      </c>
      <c r="P226" s="337">
        <f t="shared" si="3"/>
        <v>1704</v>
      </c>
      <c r="Q226" s="399">
        <f t="shared" si="4"/>
        <v>4.4926282930121703E-3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1</v>
      </c>
      <c r="O227" s="399">
        <f t="shared" si="2"/>
        <v>3.1259768677711783E-4</v>
      </c>
      <c r="P227" s="337">
        <f t="shared" si="3"/>
        <v>72</v>
      </c>
      <c r="Q227" s="399">
        <f t="shared" si="4"/>
        <v>1.8982936449347197E-4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1</v>
      </c>
      <c r="O228" s="399">
        <f t="shared" si="2"/>
        <v>3.1259768677711783E-4</v>
      </c>
      <c r="P228" s="337">
        <f t="shared" si="3"/>
        <v>109</v>
      </c>
      <c r="Q228" s="399">
        <f t="shared" si="4"/>
        <v>2.8738056569150617E-4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3</v>
      </c>
      <c r="O231" s="399">
        <f t="shared" si="2"/>
        <v>9.3779306033135354E-4</v>
      </c>
      <c r="P231" s="337">
        <f t="shared" si="3"/>
        <v>106</v>
      </c>
      <c r="Q231" s="399">
        <f t="shared" si="4"/>
        <v>2.7947100883761152E-4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1</v>
      </c>
      <c r="O232" s="561">
        <f t="shared" si="2"/>
        <v>3.1259768677711783E-4</v>
      </c>
      <c r="P232" s="562">
        <f t="shared" si="3"/>
        <v>190</v>
      </c>
      <c r="Q232" s="561">
        <f t="shared" si="4"/>
        <v>5.0093860074666219E-4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3199</v>
      </c>
      <c r="O234" s="399">
        <f>SUM(O225:O233)</f>
        <v>1</v>
      </c>
      <c r="P234" s="337">
        <f>SUM(P225:P233)</f>
        <v>379288</v>
      </c>
      <c r="Q234" s="399">
        <f>SUM(Q225:Q233)</f>
        <v>1.0000000000000002</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3126</v>
      </c>
      <c r="O237" s="280">
        <f t="shared" ref="O237:O244" si="5">N237/$N$246</f>
        <v>0.99364272091544814</v>
      </c>
      <c r="P237" s="269">
        <v>370001</v>
      </c>
      <c r="Q237" s="280">
        <f t="shared" ref="Q237:Q244" si="6">P237/$P$246</f>
        <v>0.9951533473371651</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16</v>
      </c>
      <c r="O238" s="399">
        <f t="shared" si="5"/>
        <v>5.0858232676414495E-3</v>
      </c>
      <c r="P238" s="337">
        <v>1470</v>
      </c>
      <c r="Q238" s="399">
        <f t="shared" si="6"/>
        <v>3.9537066672404473E-3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0</v>
      </c>
      <c r="O239" s="399">
        <f t="shared" si="5"/>
        <v>0</v>
      </c>
      <c r="P239" s="337">
        <v>0</v>
      </c>
      <c r="Q239" s="399">
        <f t="shared" si="6"/>
        <v>0</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1</v>
      </c>
      <c r="O240" s="399">
        <f t="shared" si="5"/>
        <v>3.178639542275906E-4</v>
      </c>
      <c r="P240" s="337">
        <v>109</v>
      </c>
      <c r="Q240" s="399">
        <f t="shared" si="6"/>
        <v>2.9316600457769302E-4</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2</v>
      </c>
      <c r="O243" s="399">
        <f t="shared" si="5"/>
        <v>6.3572790845518119E-4</v>
      </c>
      <c r="P243" s="337">
        <v>33</v>
      </c>
      <c r="Q243" s="399">
        <f t="shared" si="6"/>
        <v>8.8756680284989638E-5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3.178639542275906E-4</v>
      </c>
      <c r="P244" s="337">
        <v>190</v>
      </c>
      <c r="Q244" s="399">
        <f t="shared" si="6"/>
        <v>5.1102331073175846E-4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3146</v>
      </c>
      <c r="O246" s="399">
        <f>SUM(O237:O245)</f>
        <v>1</v>
      </c>
      <c r="P246" s="337">
        <f>SUM(P237:P245)</f>
        <v>371803</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49</v>
      </c>
      <c r="O249" s="280">
        <f>N249/$N$258</f>
        <v>0.92452830188679247</v>
      </c>
      <c r="P249" s="269">
        <v>7106</v>
      </c>
      <c r="Q249" s="280">
        <f t="shared" ref="Q249:Q256" si="7">P249/$P$258</f>
        <v>0.94936539746158988</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2</v>
      </c>
      <c r="O250" s="399">
        <f t="shared" ref="O250:O256" si="8">N250/$N$258</f>
        <v>3.7735849056603772E-2</v>
      </c>
      <c r="P250" s="337">
        <v>234</v>
      </c>
      <c r="Q250" s="399">
        <f t="shared" si="7"/>
        <v>3.1262525050100201E-2</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1</v>
      </c>
      <c r="O251" s="399">
        <f t="shared" si="8"/>
        <v>1.8867924528301886E-2</v>
      </c>
      <c r="P251" s="337">
        <v>72</v>
      </c>
      <c r="Q251" s="399">
        <f t="shared" si="7"/>
        <v>9.6192384769539074E-3</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1</v>
      </c>
      <c r="O255" s="399">
        <f t="shared" si="8"/>
        <v>1.8867924528301886E-2</v>
      </c>
      <c r="P255" s="337">
        <v>73</v>
      </c>
      <c r="Q255" s="399">
        <f t="shared" si="7"/>
        <v>9.7528390113560456E-3</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53</v>
      </c>
      <c r="O258" s="399">
        <f>SUM(O249:O257)</f>
        <v>1</v>
      </c>
      <c r="P258" s="337">
        <f>SUM(P249:P257)</f>
        <v>7485</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3199</v>
      </c>
      <c r="O272" s="399"/>
      <c r="P272" s="407">
        <f>+P270+P258+P246</f>
        <v>379288</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MARCH 2016</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0.88360000000000005</v>
      </c>
      <c r="P16" s="247" t="s">
        <v>161</v>
      </c>
      <c r="Q16" s="246">
        <v>0.1164</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42572</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149268.342</v>
      </c>
      <c r="I31" s="301"/>
      <c r="J31" s="302">
        <f>J30*J37</f>
        <v>221700.19320000001</v>
      </c>
      <c r="K31" s="301"/>
      <c r="L31" s="303">
        <f>L30*L37</f>
        <v>49307.362000000001</v>
      </c>
      <c r="M31" s="301"/>
      <c r="N31" s="302">
        <f>N30*N37</f>
        <v>37928.74</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146988.58900000001</v>
      </c>
      <c r="I32" s="306"/>
      <c r="J32" s="308">
        <f>J36*J30</f>
        <v>218314.19940000001</v>
      </c>
      <c r="K32" s="307"/>
      <c r="L32" s="307">
        <f>L36*L30</f>
        <v>48554.285000000003</v>
      </c>
      <c r="M32" s="307"/>
      <c r="N32" s="308">
        <f>N36*N30</f>
        <v>37349.449999999997</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149268.342</v>
      </c>
      <c r="I34" s="301"/>
      <c r="J34" s="301">
        <f>J33*J37</f>
        <v>154162.386</v>
      </c>
      <c r="K34" s="301"/>
      <c r="L34" s="301">
        <f>L33*L37</f>
        <v>49307.362000000001</v>
      </c>
      <c r="M34" s="301"/>
      <c r="N34" s="301">
        <f>N33*N37</f>
        <v>26550.117999999999</v>
      </c>
      <c r="O34" s="301"/>
      <c r="P34" s="301"/>
      <c r="Q34" s="304"/>
      <c r="R34" s="301">
        <f>SUM(C34:N34)</f>
        <v>379288.20800000004</v>
      </c>
      <c r="S34" s="305"/>
      <c r="T34" s="255"/>
    </row>
    <row r="35" spans="1:20" s="256" customFormat="1" ht="15.6" x14ac:dyDescent="0.3">
      <c r="A35" s="296"/>
      <c r="B35" s="297" t="s">
        <v>287</v>
      </c>
      <c r="C35" s="306"/>
      <c r="D35" s="307">
        <f>D36*D33</f>
        <v>0</v>
      </c>
      <c r="E35" s="306"/>
      <c r="F35" s="307">
        <f>F36*F33</f>
        <v>0</v>
      </c>
      <c r="G35" s="307"/>
      <c r="H35" s="307">
        <f>H36*H33</f>
        <v>146988.58900000001</v>
      </c>
      <c r="I35" s="306"/>
      <c r="J35" s="307">
        <f>J36*J33</f>
        <v>151807.88700000002</v>
      </c>
      <c r="K35" s="307"/>
      <c r="L35" s="307">
        <f>L36*L33</f>
        <v>48554.285000000003</v>
      </c>
      <c r="M35" s="307"/>
      <c r="N35" s="307">
        <f>N36*N33</f>
        <v>26144.615000000002</v>
      </c>
      <c r="O35" s="307"/>
      <c r="P35" s="307"/>
      <c r="Q35" s="309"/>
      <c r="R35" s="307">
        <f>SUM(C35:N35)</f>
        <v>373495.37600000005</v>
      </c>
      <c r="S35" s="305"/>
      <c r="T35" s="255"/>
    </row>
    <row r="36" spans="1:20" ht="15.6" x14ac:dyDescent="0.3">
      <c r="A36" s="310"/>
      <c r="B36" s="311" t="s">
        <v>149</v>
      </c>
      <c r="C36" s="312"/>
      <c r="D36" s="313">
        <v>0</v>
      </c>
      <c r="E36" s="314"/>
      <c r="F36" s="313">
        <v>0</v>
      </c>
      <c r="G36" s="315"/>
      <c r="H36" s="313">
        <v>0.48192980000000002</v>
      </c>
      <c r="I36" s="313"/>
      <c r="J36" s="313">
        <v>0.48192980000000002</v>
      </c>
      <c r="K36" s="315"/>
      <c r="L36" s="313">
        <v>0.74698900000000001</v>
      </c>
      <c r="M36" s="313"/>
      <c r="N36" s="313">
        <v>0.74698900000000001</v>
      </c>
      <c r="O36" s="316"/>
      <c r="P36" s="316"/>
      <c r="Q36" s="317"/>
      <c r="R36" s="316"/>
      <c r="S36" s="318"/>
      <c r="T36" s="5"/>
    </row>
    <row r="37" spans="1:20" ht="15.6" x14ac:dyDescent="0.3">
      <c r="A37" s="310"/>
      <c r="B37" s="311" t="s">
        <v>150</v>
      </c>
      <c r="C37" s="312"/>
      <c r="D37" s="313">
        <v>0</v>
      </c>
      <c r="E37" s="314"/>
      <c r="F37" s="313">
        <v>0</v>
      </c>
      <c r="G37" s="315"/>
      <c r="H37" s="313">
        <v>0.48940440000000002</v>
      </c>
      <c r="I37" s="313"/>
      <c r="J37" s="313">
        <v>0.48940440000000002</v>
      </c>
      <c r="K37" s="315"/>
      <c r="L37" s="313">
        <v>0.75857479999999999</v>
      </c>
      <c r="M37" s="313"/>
      <c r="N37" s="313">
        <v>0.75857479999999999</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9.6781000000000002E-3</v>
      </c>
      <c r="I39" s="321"/>
      <c r="J39" s="320">
        <v>1.1100000000000001E-3</v>
      </c>
      <c r="K39" s="321"/>
      <c r="L39" s="320">
        <v>1.8878099999999998E-2</v>
      </c>
      <c r="M39" s="321"/>
      <c r="N39" s="320">
        <v>9.5099999999999994E-3</v>
      </c>
      <c r="O39" s="321"/>
      <c r="P39" s="320"/>
      <c r="Q39" s="294"/>
      <c r="R39" s="321"/>
      <c r="S39" s="295"/>
      <c r="T39" s="255"/>
    </row>
    <row r="40" spans="1:20" s="256" customFormat="1" ht="15.6" x14ac:dyDescent="0.3">
      <c r="A40" s="291"/>
      <c r="B40" s="292" t="s">
        <v>14</v>
      </c>
      <c r="C40" s="292"/>
      <c r="D40" s="320">
        <v>0</v>
      </c>
      <c r="E40" s="292"/>
      <c r="F40" s="320">
        <v>0</v>
      </c>
      <c r="G40" s="321"/>
      <c r="H40" s="320">
        <v>9.7062999999999993E-3</v>
      </c>
      <c r="I40" s="321"/>
      <c r="J40" s="320">
        <v>2.16E-3</v>
      </c>
      <c r="K40" s="321"/>
      <c r="L40" s="320">
        <v>1.8906300000000001E-2</v>
      </c>
      <c r="M40" s="321"/>
      <c r="N40" s="320">
        <v>1.056E-2</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9.6781000000000002E-3</v>
      </c>
      <c r="I42" s="321"/>
      <c r="J42" s="320">
        <v>1.04741E-2</v>
      </c>
      <c r="K42" s="321"/>
      <c r="L42" s="320">
        <f>+L39</f>
        <v>1.8878099999999998E-2</v>
      </c>
      <c r="M42" s="321"/>
      <c r="N42" s="320">
        <v>1.96321E-2</v>
      </c>
      <c r="O42" s="321"/>
      <c r="P42" s="320"/>
      <c r="Q42" s="294"/>
      <c r="R42" s="321">
        <f>SUMPRODUCT(D42:N42,D34:N34)/R34</f>
        <v>1.1894411623977509E-2</v>
      </c>
      <c r="S42" s="295"/>
      <c r="T42" s="255"/>
    </row>
    <row r="43" spans="1:20" s="256" customFormat="1" ht="15.6" x14ac:dyDescent="0.3">
      <c r="A43" s="291"/>
      <c r="B43" s="292" t="s">
        <v>290</v>
      </c>
      <c r="C43" s="292"/>
      <c r="D43" s="320">
        <f>+D40</f>
        <v>0</v>
      </c>
      <c r="E43" s="292"/>
      <c r="F43" s="320">
        <v>0</v>
      </c>
      <c r="G43" s="321"/>
      <c r="H43" s="320">
        <f>+H40</f>
        <v>9.7062999999999993E-3</v>
      </c>
      <c r="I43" s="321"/>
      <c r="J43" s="320">
        <v>1.0502299999999999E-2</v>
      </c>
      <c r="K43" s="321"/>
      <c r="L43" s="320">
        <f>+L40</f>
        <v>1.8906300000000001E-2</v>
      </c>
      <c r="M43" s="321"/>
      <c r="N43" s="320">
        <v>1.9660299999999999E-2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0.24999926705962891</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42566</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42384</v>
      </c>
      <c r="Q55" s="331"/>
      <c r="R55" s="330">
        <v>42474</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42475</v>
      </c>
      <c r="Q56" s="331"/>
      <c r="R56" s="330">
        <v>42565</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42552</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335</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379288</v>
      </c>
      <c r="K66" s="336"/>
      <c r="L66" s="336">
        <f>5793+175</f>
        <v>5968</v>
      </c>
      <c r="M66" s="336"/>
      <c r="N66" s="336">
        <v>175</v>
      </c>
      <c r="O66" s="336"/>
      <c r="P66" s="336">
        <v>0</v>
      </c>
      <c r="Q66" s="336"/>
      <c r="R66" s="337">
        <f>+J66-L66+N66-P66</f>
        <v>373495</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379288</v>
      </c>
      <c r="K69" s="336"/>
      <c r="L69" s="336">
        <f>SUM(L66:L68)</f>
        <v>5968</v>
      </c>
      <c r="M69" s="336"/>
      <c r="N69" s="336">
        <f>SUM(N66:N68)</f>
        <v>175</v>
      </c>
      <c r="O69" s="336"/>
      <c r="P69" s="336">
        <f>SUM(P66:P68)</f>
        <v>0</v>
      </c>
      <c r="Q69" s="336"/>
      <c r="R69" s="336">
        <f>SUM(R66:R68)</f>
        <v>373495</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379288</v>
      </c>
      <c r="K82" s="336"/>
      <c r="L82" s="336"/>
      <c r="M82" s="336"/>
      <c r="N82" s="336"/>
      <c r="O82" s="336"/>
      <c r="P82" s="336"/>
      <c r="Q82" s="336"/>
      <c r="R82" s="336">
        <f>SUM(R69:R81)</f>
        <v>373495</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42551</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5968+36</f>
        <v>6004</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3166-85-1011-96</f>
        <v>1974</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191+8</f>
        <v>199</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34</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170</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6004</v>
      </c>
      <c r="Q94" s="335"/>
      <c r="R94" s="336">
        <f>SUM(R86:R93)</f>
        <v>2377</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-58</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6004</v>
      </c>
      <c r="Q98" s="335"/>
      <c r="R98" s="336">
        <f>R94+R96+R95+R97</f>
        <v>2319</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-95-104-5</f>
        <v>-204</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-360</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-403</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-232</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-130</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-36</v>
      </c>
      <c r="Q113" s="335"/>
      <c r="R113" s="337">
        <v>36</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-193</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-823</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-175</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-2280</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-2354</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-753</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-406</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-5968</v>
      </c>
      <c r="Q128" s="336"/>
      <c r="R128" s="336">
        <f>SUM(R99:R127)</f>
        <v>-2319</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JUNE 2016</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-36</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-36</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36</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58</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373495</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373495</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+'March 16'!O177</f>
        <v>91565</v>
      </c>
      <c r="P175" s="337">
        <f>+'March 16'!P177</f>
        <v>8496</v>
      </c>
      <c r="Q175" s="335"/>
      <c r="R175" s="337">
        <f>O175+P175</f>
        <v>100061</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175</v>
      </c>
      <c r="P176" s="336">
        <f>-P95-P120</f>
        <v>0</v>
      </c>
      <c r="Q176" s="335"/>
      <c r="R176" s="337">
        <f>O176+P176</f>
        <v>175</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91740</v>
      </c>
      <c r="P177" s="337">
        <f>P176+P175</f>
        <v>8496</v>
      </c>
      <c r="Q177" s="335"/>
      <c r="R177" s="337">
        <f>O177+P177</f>
        <v>100236</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59764</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2.7693315858453471</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1.64</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3.729281767955801</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3.08</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JUNE 2016</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42551</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2.3709999999999998E-2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1.1894411623977509E-2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1.1815588376022489E-2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6.1140874480605763E-3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10.4</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1.5734745101347789E-2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9.2499999999999999E-2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1</v>
      </c>
      <c r="P207" s="277">
        <v>115</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50</v>
      </c>
      <c r="P208" s="371">
        <f>+P258</f>
        <v>6976</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-36</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'March 16'!P214+P213</f>
        <v>5157</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0</v>
      </c>
      <c r="P220" s="371">
        <v>0</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3122</v>
      </c>
      <c r="O225" s="280">
        <f t="shared" ref="O225:O232" si="2">N225/$N$234</f>
        <v>0.99300254452926207</v>
      </c>
      <c r="P225" s="269">
        <f t="shared" ref="P225:P232" si="3">+P237+P249+P261</f>
        <v>371665</v>
      </c>
      <c r="Q225" s="280">
        <f t="shared" ref="Q225:Q232" si="4">P225/$P$234</f>
        <v>0.99510033601520775</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10</v>
      </c>
      <c r="O226" s="399">
        <f t="shared" si="2"/>
        <v>3.1806615776081423E-3</v>
      </c>
      <c r="P226" s="337">
        <f t="shared" si="3"/>
        <v>802</v>
      </c>
      <c r="Q226" s="399">
        <f t="shared" si="4"/>
        <v>2.1472844348652594E-3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7</v>
      </c>
      <c r="O227" s="399">
        <f t="shared" si="2"/>
        <v>2.2264631043256997E-3</v>
      </c>
      <c r="P227" s="337">
        <f t="shared" si="3"/>
        <v>673</v>
      </c>
      <c r="Q227" s="399">
        <f t="shared" si="4"/>
        <v>1.8018982851176052E-3</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1</v>
      </c>
      <c r="O228" s="399">
        <f t="shared" si="2"/>
        <v>3.1806615776081427E-4</v>
      </c>
      <c r="P228" s="337">
        <f t="shared" si="3"/>
        <v>23</v>
      </c>
      <c r="Q228" s="399">
        <f t="shared" si="4"/>
        <v>6.1580476311597209E-5</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3</v>
      </c>
      <c r="O231" s="399">
        <f t="shared" si="2"/>
        <v>9.5419847328244271E-4</v>
      </c>
      <c r="P231" s="337">
        <f t="shared" si="3"/>
        <v>142</v>
      </c>
      <c r="Q231" s="399">
        <f t="shared" si="4"/>
        <v>3.8019250592377407E-4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1</v>
      </c>
      <c r="O232" s="561">
        <f t="shared" si="2"/>
        <v>3.1806615776081427E-4</v>
      </c>
      <c r="P232" s="562">
        <f t="shared" si="3"/>
        <v>190</v>
      </c>
      <c r="Q232" s="561">
        <f t="shared" si="4"/>
        <v>5.0870828257406394E-4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3144</v>
      </c>
      <c r="O234" s="399">
        <f>SUM(O225:O233)</f>
        <v>1</v>
      </c>
      <c r="P234" s="337">
        <f>SUM(P225:P233)</f>
        <v>373495</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3073</v>
      </c>
      <c r="O237" s="280">
        <f t="shared" ref="O237:O244" si="5">N237/$N$246</f>
        <v>0.99321266968325794</v>
      </c>
      <c r="P237" s="269">
        <v>364762</v>
      </c>
      <c r="Q237" s="280">
        <f t="shared" ref="Q237:Q244" si="6">P237/$P$246</f>
        <v>0.99520625124481954</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10</v>
      </c>
      <c r="O238" s="399">
        <f t="shared" si="5"/>
        <v>3.2320620555914671E-3</v>
      </c>
      <c r="P238" s="337">
        <v>802</v>
      </c>
      <c r="Q238" s="399">
        <f t="shared" si="6"/>
        <v>2.1881539565479554E-3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6</v>
      </c>
      <c r="O239" s="399">
        <f t="shared" si="5"/>
        <v>1.9392372333548805E-3</v>
      </c>
      <c r="P239" s="337">
        <v>600</v>
      </c>
      <c r="Q239" s="399">
        <f t="shared" si="6"/>
        <v>1.6370229101356274E-3</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1</v>
      </c>
      <c r="O240" s="399">
        <f t="shared" si="5"/>
        <v>3.2320620555914673E-4</v>
      </c>
      <c r="P240" s="337">
        <v>23</v>
      </c>
      <c r="Q240" s="399">
        <f t="shared" si="6"/>
        <v>6.2752544888532378E-5</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3</v>
      </c>
      <c r="O243" s="399">
        <f t="shared" si="5"/>
        <v>9.6961861667744023E-4</v>
      </c>
      <c r="P243" s="337">
        <v>142</v>
      </c>
      <c r="Q243" s="399">
        <f t="shared" si="6"/>
        <v>3.8742875539876512E-4</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3.2320620555914673E-4</v>
      </c>
      <c r="P244" s="337">
        <v>190</v>
      </c>
      <c r="Q244" s="399">
        <f t="shared" si="6"/>
        <v>5.1839058820961532E-4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3094</v>
      </c>
      <c r="O246" s="399">
        <f>SUM(O237:O245)</f>
        <v>1</v>
      </c>
      <c r="P246" s="337">
        <f>SUM(P237:P245)</f>
        <v>366519</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49</v>
      </c>
      <c r="O249" s="280">
        <f>N249/$N$258</f>
        <v>0.98</v>
      </c>
      <c r="P249" s="269">
        <v>6903</v>
      </c>
      <c r="Q249" s="280">
        <f t="shared" ref="Q249:Q256" si="7">P249/$P$258</f>
        <v>0.98953555045871555</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1</v>
      </c>
      <c r="O251" s="399">
        <f t="shared" si="8"/>
        <v>0.02</v>
      </c>
      <c r="P251" s="337">
        <v>73</v>
      </c>
      <c r="Q251" s="399">
        <f t="shared" si="7"/>
        <v>1.0464449541284403E-2</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50</v>
      </c>
      <c r="O258" s="399">
        <f>SUM(O249:O257)</f>
        <v>1</v>
      </c>
      <c r="P258" s="337">
        <f>SUM(P249:P257)</f>
        <v>6976</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3144</v>
      </c>
      <c r="O272" s="399"/>
      <c r="P272" s="407">
        <f>+P270+P258+P246</f>
        <v>373495</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JUNE 2016</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0.88390000000000002</v>
      </c>
      <c r="P16" s="247" t="s">
        <v>161</v>
      </c>
      <c r="Q16" s="246">
        <v>0.11609999999999999</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42663</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146988.58900000001</v>
      </c>
      <c r="I31" s="301"/>
      <c r="J31" s="302">
        <f>J30*J37</f>
        <v>218314.19940000001</v>
      </c>
      <c r="K31" s="301"/>
      <c r="L31" s="303">
        <f>L30*L37</f>
        <v>48554.285000000003</v>
      </c>
      <c r="M31" s="301"/>
      <c r="N31" s="302">
        <f>N30*N37</f>
        <v>37349.449999999997</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145122.05000000002</v>
      </c>
      <c r="I32" s="306"/>
      <c r="J32" s="308">
        <f>J36*J30</f>
        <v>215541.93</v>
      </c>
      <c r="K32" s="307"/>
      <c r="L32" s="307">
        <f>L36*L30</f>
        <v>47937.707999999999</v>
      </c>
      <c r="M32" s="307"/>
      <c r="N32" s="308">
        <f>N36*N30</f>
        <v>36875.160000000003</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146988.58900000001</v>
      </c>
      <c r="I34" s="301"/>
      <c r="J34" s="301">
        <f>J33*J37</f>
        <v>151807.88700000002</v>
      </c>
      <c r="K34" s="301"/>
      <c r="L34" s="301">
        <f>L33*L37</f>
        <v>48554.285000000003</v>
      </c>
      <c r="M34" s="301"/>
      <c r="N34" s="301">
        <f>N33*N37</f>
        <v>26144.615000000002</v>
      </c>
      <c r="O34" s="301"/>
      <c r="P34" s="301"/>
      <c r="Q34" s="304"/>
      <c r="R34" s="301">
        <f>SUM(C34:N34)</f>
        <v>373495.37600000005</v>
      </c>
      <c r="S34" s="305"/>
      <c r="T34" s="255"/>
    </row>
    <row r="35" spans="1:20" s="256" customFormat="1" ht="15.6" x14ac:dyDescent="0.3">
      <c r="A35" s="296"/>
      <c r="B35" s="297" t="s">
        <v>287</v>
      </c>
      <c r="C35" s="306"/>
      <c r="D35" s="307">
        <f>D36*D33</f>
        <v>0</v>
      </c>
      <c r="E35" s="306"/>
      <c r="F35" s="307">
        <f>F36*F33</f>
        <v>0</v>
      </c>
      <c r="G35" s="307"/>
      <c r="H35" s="307">
        <f>H36*H33</f>
        <v>145122.05000000002</v>
      </c>
      <c r="I35" s="306"/>
      <c r="J35" s="307">
        <f>J36*J33</f>
        <v>149880.15</v>
      </c>
      <c r="K35" s="307"/>
      <c r="L35" s="307">
        <f>L36*L33</f>
        <v>47937.707999999999</v>
      </c>
      <c r="M35" s="307"/>
      <c r="N35" s="307">
        <f>N36*N33</f>
        <v>25812.612000000001</v>
      </c>
      <c r="O35" s="307"/>
      <c r="P35" s="307"/>
      <c r="Q35" s="309"/>
      <c r="R35" s="307">
        <f>SUM(C35:N35)</f>
        <v>368752.52</v>
      </c>
      <c r="S35" s="305"/>
      <c r="T35" s="255"/>
    </row>
    <row r="36" spans="1:20" ht="15.6" x14ac:dyDescent="0.3">
      <c r="A36" s="310"/>
      <c r="B36" s="311" t="s">
        <v>149</v>
      </c>
      <c r="C36" s="312"/>
      <c r="D36" s="313">
        <v>0</v>
      </c>
      <c r="E36" s="314"/>
      <c r="F36" s="313">
        <v>0</v>
      </c>
      <c r="G36" s="315"/>
      <c r="H36" s="313">
        <v>0.47581000000000001</v>
      </c>
      <c r="I36" s="313"/>
      <c r="J36" s="313">
        <v>0.47581000000000001</v>
      </c>
      <c r="K36" s="315"/>
      <c r="L36" s="313">
        <v>0.73750320000000003</v>
      </c>
      <c r="M36" s="313"/>
      <c r="N36" s="313">
        <v>0.73750320000000003</v>
      </c>
      <c r="O36" s="316"/>
      <c r="P36" s="316"/>
      <c r="Q36" s="317"/>
      <c r="R36" s="316"/>
      <c r="S36" s="318"/>
      <c r="T36" s="5"/>
    </row>
    <row r="37" spans="1:20" ht="15.6" x14ac:dyDescent="0.3">
      <c r="A37" s="310"/>
      <c r="B37" s="311" t="s">
        <v>150</v>
      </c>
      <c r="C37" s="312"/>
      <c r="D37" s="313">
        <v>0</v>
      </c>
      <c r="E37" s="314"/>
      <c r="F37" s="313">
        <v>0</v>
      </c>
      <c r="G37" s="315"/>
      <c r="H37" s="313">
        <v>0.48192980000000002</v>
      </c>
      <c r="I37" s="313"/>
      <c r="J37" s="313">
        <v>0.48192980000000002</v>
      </c>
      <c r="K37" s="315"/>
      <c r="L37" s="313">
        <v>0.74698900000000001</v>
      </c>
      <c r="M37" s="313"/>
      <c r="N37" s="313">
        <v>0.74698900000000001</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9.0749999999999997E-3</v>
      </c>
      <c r="I39" s="321"/>
      <c r="J39" s="320">
        <v>6.4999999999999997E-4</v>
      </c>
      <c r="K39" s="321"/>
      <c r="L39" s="320">
        <v>1.8275E-2</v>
      </c>
      <c r="M39" s="321"/>
      <c r="N39" s="320">
        <v>9.0500000000000008E-3</v>
      </c>
      <c r="O39" s="321"/>
      <c r="P39" s="320"/>
      <c r="Q39" s="294"/>
      <c r="R39" s="321"/>
      <c r="S39" s="295"/>
      <c r="T39" s="255"/>
    </row>
    <row r="40" spans="1:20" s="256" customFormat="1" ht="15.6" x14ac:dyDescent="0.3">
      <c r="A40" s="291"/>
      <c r="B40" s="292" t="s">
        <v>14</v>
      </c>
      <c r="C40" s="292"/>
      <c r="D40" s="320">
        <v>0</v>
      </c>
      <c r="E40" s="292"/>
      <c r="F40" s="320">
        <v>0</v>
      </c>
      <c r="G40" s="321"/>
      <c r="H40" s="320">
        <v>9.6781000000000002E-3</v>
      </c>
      <c r="I40" s="321"/>
      <c r="J40" s="320">
        <v>1.1100000000000001E-3</v>
      </c>
      <c r="K40" s="321"/>
      <c r="L40" s="320">
        <v>1.8878099999999998E-2</v>
      </c>
      <c r="M40" s="321"/>
      <c r="N40" s="320">
        <v>9.5099999999999994E-3</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9.0749999999999997E-3</v>
      </c>
      <c r="I42" s="321"/>
      <c r="J42" s="320">
        <v>9.8709999999999996E-3</v>
      </c>
      <c r="K42" s="321"/>
      <c r="L42" s="320">
        <f>+L39</f>
        <v>1.8275E-2</v>
      </c>
      <c r="M42" s="321"/>
      <c r="N42" s="320">
        <v>1.9029000000000001E-2</v>
      </c>
      <c r="O42" s="321"/>
      <c r="P42" s="320"/>
      <c r="Q42" s="294"/>
      <c r="R42" s="321">
        <f>SUMPRODUCT(D42:N42,D34:N34)/R34</f>
        <v>1.1291311234230647E-2</v>
      </c>
      <c r="S42" s="295"/>
      <c r="T42" s="255"/>
    </row>
    <row r="43" spans="1:20" s="256" customFormat="1" ht="15.6" x14ac:dyDescent="0.3">
      <c r="A43" s="291"/>
      <c r="B43" s="292" t="s">
        <v>290</v>
      </c>
      <c r="C43" s="292"/>
      <c r="D43" s="320">
        <f>+D40</f>
        <v>0</v>
      </c>
      <c r="E43" s="292"/>
      <c r="F43" s="320">
        <v>0</v>
      </c>
      <c r="G43" s="321"/>
      <c r="H43" s="320">
        <f>+H40</f>
        <v>9.6781000000000002E-3</v>
      </c>
      <c r="I43" s="321"/>
      <c r="J43" s="320">
        <v>1.04741E-2</v>
      </c>
      <c r="K43" s="321"/>
      <c r="L43" s="320">
        <f>+L40</f>
        <v>1.8878099999999998E-2</v>
      </c>
      <c r="M43" s="321"/>
      <c r="N43" s="320">
        <v>1.96321E-2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0.24999922034479743</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42660</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42475</v>
      </c>
      <c r="Q55" s="331"/>
      <c r="R55" s="330">
        <v>42565</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94</v>
      </c>
      <c r="O56" s="292"/>
      <c r="P56" s="330">
        <v>42566</v>
      </c>
      <c r="Q56" s="331"/>
      <c r="R56" s="330">
        <v>42659</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42646</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336</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373495</v>
      </c>
      <c r="K66" s="336"/>
      <c r="L66" s="336">
        <f>4743+50-1</f>
        <v>4792</v>
      </c>
      <c r="M66" s="336"/>
      <c r="N66" s="336">
        <v>50</v>
      </c>
      <c r="O66" s="336"/>
      <c r="P66" s="336">
        <v>0</v>
      </c>
      <c r="Q66" s="336"/>
      <c r="R66" s="337">
        <f>+J66-L66+N66-P66</f>
        <v>368753</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373495</v>
      </c>
      <c r="K69" s="336"/>
      <c r="L69" s="336">
        <f>SUM(L66:L68)</f>
        <v>4792</v>
      </c>
      <c r="M69" s="336"/>
      <c r="N69" s="336">
        <f>SUM(N66:N68)</f>
        <v>50</v>
      </c>
      <c r="O69" s="336"/>
      <c r="P69" s="336">
        <f>SUM(P66:P68)</f>
        <v>0</v>
      </c>
      <c r="Q69" s="336"/>
      <c r="R69" s="336">
        <f>SUM(R66:R68)</f>
        <v>368753</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373495</v>
      </c>
      <c r="K82" s="336"/>
      <c r="L82" s="336"/>
      <c r="M82" s="336"/>
      <c r="N82" s="336"/>
      <c r="O82" s="336"/>
      <c r="P82" s="336"/>
      <c r="Q82" s="336"/>
      <c r="R82" s="336">
        <f>SUM(R69:R81)</f>
        <v>368753</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42643</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4792-83</f>
        <v>4709</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2487+332-582-66</f>
        <v>2171</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74+3</f>
        <v>77</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30</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135</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4709</v>
      </c>
      <c r="Q94" s="335"/>
      <c r="R94" s="336">
        <f>SUM(R86:R93)</f>
        <v>2413</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25</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4709</v>
      </c>
      <c r="Q98" s="335"/>
      <c r="R98" s="336">
        <f>R94+R96+R95+R97</f>
        <v>2438</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-95-76-5</f>
        <v>-176</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-343</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-386</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-229</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-128</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83</v>
      </c>
      <c r="Q113" s="335"/>
      <c r="R113" s="337">
        <v>-83</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-193</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-890</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-50</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-1866</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-1928</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-616</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-332</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-4792</v>
      </c>
      <c r="Q128" s="336"/>
      <c r="R128" s="336">
        <f>SUM(R99:R127)</f>
        <v>-2438</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SEPTEMBER 2016</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83</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83</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-83</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368753</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368753</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+'June 16'!O177</f>
        <v>91740</v>
      </c>
      <c r="P175" s="337">
        <f>+'June 16'!P177</f>
        <v>8496</v>
      </c>
      <c r="Q175" s="335"/>
      <c r="R175" s="337">
        <f>O175+P175</f>
        <v>100236</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50</v>
      </c>
      <c r="P176" s="336">
        <f>-P95-P120</f>
        <v>0</v>
      </c>
      <c r="Q176" s="335"/>
      <c r="R176" s="337">
        <f>O176+P176</f>
        <v>50</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91790</v>
      </c>
      <c r="P177" s="337">
        <f>P176+P175</f>
        <v>8496</v>
      </c>
      <c r="Q177" s="335"/>
      <c r="R177" s="337">
        <f>O177+P177</f>
        <v>100286</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59714</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3.1001371742112482</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1.64</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4.2885154061624648</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3.1</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SEPTEMBER 2016</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42643</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2.3216043589193141E-2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1.1291311234230647E-2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1.1924732354962494E-2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6.5275304890293042E-3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10.17</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1.2830158368920602E-2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9.1600000000000001E-2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1</v>
      </c>
      <c r="P207" s="277">
        <v>4</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49</v>
      </c>
      <c r="P208" s="371">
        <f>+P258</f>
        <v>6791</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1</v>
      </c>
      <c r="P209" s="371">
        <f>+P270</f>
        <v>109</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83</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'June 16'!P214+P213</f>
        <v>5240</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2</v>
      </c>
      <c r="P220" s="371">
        <v>246</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3073</v>
      </c>
      <c r="O225" s="280">
        <f t="shared" ref="O225:O232" si="2">N225/$N$234</f>
        <v>0.99321266968325794</v>
      </c>
      <c r="P225" s="269">
        <f t="shared" ref="P225:P232" si="3">+P237+P249+P261</f>
        <v>364569</v>
      </c>
      <c r="Q225" s="280">
        <f t="shared" ref="Q225:Q232" si="4">P225/$P$234</f>
        <v>0.98865365163130881</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15</v>
      </c>
      <c r="O226" s="399">
        <f t="shared" si="2"/>
        <v>4.8480930833872012E-3</v>
      </c>
      <c r="P226" s="337">
        <f t="shared" si="3"/>
        <v>3768</v>
      </c>
      <c r="Q226" s="399">
        <f t="shared" si="4"/>
        <v>1.0218221953448514E-2</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1</v>
      </c>
      <c r="O227" s="399">
        <f t="shared" si="2"/>
        <v>3.2320620555914673E-4</v>
      </c>
      <c r="P227" s="337">
        <f t="shared" si="3"/>
        <v>62</v>
      </c>
      <c r="Q227" s="399">
        <f t="shared" si="4"/>
        <v>1.6813422534867512E-4</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2</v>
      </c>
      <c r="O228" s="399">
        <f t="shared" si="2"/>
        <v>6.4641241111829345E-4</v>
      </c>
      <c r="P228" s="337">
        <f t="shared" si="3"/>
        <v>131</v>
      </c>
      <c r="Q228" s="399">
        <f t="shared" si="4"/>
        <v>3.5525134710768456E-4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2</v>
      </c>
      <c r="O231" s="399">
        <f t="shared" si="2"/>
        <v>6.4641241111829345E-4</v>
      </c>
      <c r="P231" s="337">
        <f t="shared" si="3"/>
        <v>33</v>
      </c>
      <c r="Q231" s="399">
        <f t="shared" si="4"/>
        <v>8.9490797363004507E-5</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1</v>
      </c>
      <c r="O232" s="561">
        <f t="shared" si="2"/>
        <v>3.2320620555914673E-4</v>
      </c>
      <c r="P232" s="562">
        <f t="shared" si="3"/>
        <v>190</v>
      </c>
      <c r="Q232" s="561">
        <f t="shared" si="4"/>
        <v>5.1525004542335928E-4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3094</v>
      </c>
      <c r="O234" s="399">
        <f>SUM(O225:O233)</f>
        <v>1</v>
      </c>
      <c r="P234" s="337">
        <f>SUM(P225:P233)</f>
        <v>368753</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3025</v>
      </c>
      <c r="O237" s="280">
        <f t="shared" ref="O237:O244" si="5">N237/$N$246</f>
        <v>0.99375821287779242</v>
      </c>
      <c r="P237" s="269">
        <v>357840</v>
      </c>
      <c r="Q237" s="280">
        <f t="shared" ref="Q237:Q244" si="6">P237/$P$246</f>
        <v>0.98890986118672497</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15</v>
      </c>
      <c r="O238" s="399">
        <f t="shared" si="5"/>
        <v>4.9277266754270696E-3</v>
      </c>
      <c r="P238" s="337">
        <v>3768</v>
      </c>
      <c r="Q238" s="399">
        <f t="shared" si="6"/>
        <v>1.0413068290162027E-2</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0</v>
      </c>
      <c r="O239" s="399">
        <f t="shared" si="5"/>
        <v>0</v>
      </c>
      <c r="P239" s="337">
        <v>0</v>
      </c>
      <c r="Q239" s="399">
        <f t="shared" si="6"/>
        <v>0</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1</v>
      </c>
      <c r="O240" s="399">
        <f t="shared" si="5"/>
        <v>3.2851511169513798E-4</v>
      </c>
      <c r="P240" s="337">
        <v>22</v>
      </c>
      <c r="Q240" s="399">
        <f t="shared" si="6"/>
        <v>6.0798169422389756E-5</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2</v>
      </c>
      <c r="O243" s="399">
        <f t="shared" si="5"/>
        <v>6.5703022339027597E-4</v>
      </c>
      <c r="P243" s="337">
        <v>33</v>
      </c>
      <c r="Q243" s="399">
        <f t="shared" si="6"/>
        <v>9.1197254133584634E-5</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1</v>
      </c>
      <c r="O244" s="399">
        <f t="shared" si="5"/>
        <v>3.2851511169513798E-4</v>
      </c>
      <c r="P244" s="337">
        <v>190</v>
      </c>
      <c r="Q244" s="399">
        <f t="shared" si="6"/>
        <v>5.2507509955700246E-4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3044</v>
      </c>
      <c r="O246" s="399">
        <f>SUM(O237:O245)</f>
        <v>1</v>
      </c>
      <c r="P246" s="337">
        <f>SUM(P237:P245)</f>
        <v>361853</v>
      </c>
      <c r="Q246" s="399">
        <f>SUM(Q237:Q245)</f>
        <v>0.99999999999999989</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48</v>
      </c>
      <c r="O249" s="280">
        <f>N249/$N$258</f>
        <v>0.97959183673469385</v>
      </c>
      <c r="P249" s="269">
        <v>6729</v>
      </c>
      <c r="Q249" s="280">
        <f t="shared" ref="Q249:Q256" si="7">P249/$P$258</f>
        <v>0.99087026947430423</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1</v>
      </c>
      <c r="O251" s="399">
        <f t="shared" si="8"/>
        <v>2.0408163265306121E-2</v>
      </c>
      <c r="P251" s="337">
        <v>62</v>
      </c>
      <c r="Q251" s="399">
        <f t="shared" si="7"/>
        <v>9.1297305256957742E-3</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49</v>
      </c>
      <c r="O258" s="399">
        <f>SUM(O249:O257)</f>
        <v>1</v>
      </c>
      <c r="P258" s="337">
        <f>SUM(P249:P257)</f>
        <v>6791</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1</v>
      </c>
      <c r="O264" s="399">
        <v>1</v>
      </c>
      <c r="P264" s="337">
        <v>109</v>
      </c>
      <c r="Q264" s="399">
        <v>1</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1</v>
      </c>
      <c r="O270" s="399">
        <f>SUM(O261:O268)</f>
        <v>1</v>
      </c>
      <c r="P270" s="337">
        <f>SUM(P261:P268)</f>
        <v>109</v>
      </c>
      <c r="Q270" s="399">
        <f>SUM(Q261:Q268)</f>
        <v>1</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3094</v>
      </c>
      <c r="O272" s="399"/>
      <c r="P272" s="407">
        <f>+P270+P258+P246</f>
        <v>368753</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SEPTEMBER 2016</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0.88380000000000003</v>
      </c>
      <c r="P16" s="247" t="s">
        <v>161</v>
      </c>
      <c r="Q16" s="246">
        <v>0.1162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42758</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145122.05000000002</v>
      </c>
      <c r="I31" s="301"/>
      <c r="J31" s="302">
        <f>J30*J37</f>
        <v>215541.93</v>
      </c>
      <c r="K31" s="301"/>
      <c r="L31" s="303">
        <f>L30*L37</f>
        <v>47937.707999999999</v>
      </c>
      <c r="M31" s="301"/>
      <c r="N31" s="302">
        <f>N30*N37</f>
        <v>36875.160000000003</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142309.34</v>
      </c>
      <c r="I32" s="306"/>
      <c r="J32" s="308">
        <f>J36*J30</f>
        <v>211364.364</v>
      </c>
      <c r="K32" s="307"/>
      <c r="L32" s="307">
        <f>L36*L30</f>
        <v>47008.584999999999</v>
      </c>
      <c r="M32" s="307"/>
      <c r="N32" s="308">
        <f>N36*N30</f>
        <v>36160.449999999997</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145122.05000000002</v>
      </c>
      <c r="I34" s="301"/>
      <c r="J34" s="301">
        <f>J33*J37</f>
        <v>149880.15</v>
      </c>
      <c r="K34" s="301"/>
      <c r="L34" s="301">
        <f>L33*L37</f>
        <v>47937.707999999999</v>
      </c>
      <c r="M34" s="301"/>
      <c r="N34" s="301">
        <f>N33*N37</f>
        <v>25812.612000000001</v>
      </c>
      <c r="O34" s="301"/>
      <c r="P34" s="301"/>
      <c r="Q34" s="304"/>
      <c r="R34" s="301">
        <f>SUM(C34:N34)</f>
        <v>368752.52</v>
      </c>
      <c r="S34" s="305"/>
      <c r="T34" s="255"/>
    </row>
    <row r="35" spans="1:20" s="256" customFormat="1" ht="15.6" x14ac:dyDescent="0.3">
      <c r="A35" s="296"/>
      <c r="B35" s="297" t="s">
        <v>287</v>
      </c>
      <c r="C35" s="306"/>
      <c r="D35" s="307">
        <f>D36*D33</f>
        <v>0</v>
      </c>
      <c r="E35" s="306"/>
      <c r="F35" s="307">
        <f>F36*F33</f>
        <v>0</v>
      </c>
      <c r="G35" s="307"/>
      <c r="H35" s="307">
        <f>H36*H33</f>
        <v>142309.34</v>
      </c>
      <c r="I35" s="306"/>
      <c r="J35" s="307">
        <f>J36*J33</f>
        <v>146975.22</v>
      </c>
      <c r="K35" s="307"/>
      <c r="L35" s="307">
        <f>L36*L33</f>
        <v>47008.584999999999</v>
      </c>
      <c r="M35" s="307"/>
      <c r="N35" s="307">
        <f>N36*N33</f>
        <v>25312.314999999999</v>
      </c>
      <c r="O35" s="307"/>
      <c r="P35" s="307"/>
      <c r="Q35" s="309"/>
      <c r="R35" s="307">
        <f>SUM(C35:N35)</f>
        <v>361605.46</v>
      </c>
      <c r="S35" s="305"/>
      <c r="T35" s="255"/>
    </row>
    <row r="36" spans="1:20" ht="15.6" x14ac:dyDescent="0.3">
      <c r="A36" s="310"/>
      <c r="B36" s="311" t="s">
        <v>149</v>
      </c>
      <c r="C36" s="312"/>
      <c r="D36" s="313">
        <v>0</v>
      </c>
      <c r="E36" s="314"/>
      <c r="F36" s="313">
        <v>0</v>
      </c>
      <c r="G36" s="315"/>
      <c r="H36" s="313">
        <v>0.466588</v>
      </c>
      <c r="I36" s="313"/>
      <c r="J36" s="313">
        <v>0.466588</v>
      </c>
      <c r="K36" s="315"/>
      <c r="L36" s="313">
        <v>0.72320899999999999</v>
      </c>
      <c r="M36" s="313"/>
      <c r="N36" s="313">
        <v>0.72320899999999999</v>
      </c>
      <c r="O36" s="316"/>
      <c r="P36" s="316"/>
      <c r="Q36" s="317"/>
      <c r="R36" s="316"/>
      <c r="S36" s="318"/>
      <c r="T36" s="5"/>
    </row>
    <row r="37" spans="1:20" ht="15.6" x14ac:dyDescent="0.3">
      <c r="A37" s="310"/>
      <c r="B37" s="311" t="s">
        <v>150</v>
      </c>
      <c r="C37" s="312"/>
      <c r="D37" s="313">
        <v>0</v>
      </c>
      <c r="E37" s="314"/>
      <c r="F37" s="313">
        <v>0</v>
      </c>
      <c r="G37" s="315"/>
      <c r="H37" s="313">
        <v>0.47581000000000001</v>
      </c>
      <c r="I37" s="313"/>
      <c r="J37" s="313">
        <v>0.47581000000000001</v>
      </c>
      <c r="K37" s="315"/>
      <c r="L37" s="313">
        <v>0.73750320000000003</v>
      </c>
      <c r="M37" s="313"/>
      <c r="N37" s="313">
        <v>0.73750320000000003</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7.8100000000000001E-3</v>
      </c>
      <c r="I39" s="321"/>
      <c r="J39" s="320">
        <v>4.8999999999999998E-4</v>
      </c>
      <c r="K39" s="321"/>
      <c r="L39" s="320">
        <v>1.7010000000000001E-2</v>
      </c>
      <c r="M39" s="321"/>
      <c r="N39" s="320">
        <v>8.8900000000000003E-3</v>
      </c>
      <c r="O39" s="321"/>
      <c r="P39" s="320"/>
      <c r="Q39" s="294"/>
      <c r="R39" s="321"/>
      <c r="S39" s="295"/>
      <c r="T39" s="255"/>
    </row>
    <row r="40" spans="1:20" s="256" customFormat="1" ht="15.6" x14ac:dyDescent="0.3">
      <c r="A40" s="291"/>
      <c r="B40" s="292" t="s">
        <v>14</v>
      </c>
      <c r="C40" s="292"/>
      <c r="D40" s="320">
        <v>0</v>
      </c>
      <c r="E40" s="292"/>
      <c r="F40" s="320">
        <v>0</v>
      </c>
      <c r="G40" s="321"/>
      <c r="H40" s="320">
        <v>9.0749999999999997E-3</v>
      </c>
      <c r="I40" s="321"/>
      <c r="J40" s="320">
        <v>6.4999999999999997E-4</v>
      </c>
      <c r="K40" s="321"/>
      <c r="L40" s="320">
        <v>1.8275E-2</v>
      </c>
      <c r="M40" s="321"/>
      <c r="N40" s="320">
        <v>9.0500000000000008E-3</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7.8100000000000001E-3</v>
      </c>
      <c r="I42" s="321"/>
      <c r="J42" s="320">
        <v>8.6060000000000008E-3</v>
      </c>
      <c r="K42" s="321"/>
      <c r="L42" s="320">
        <f>+L39</f>
        <v>1.7010000000000001E-2</v>
      </c>
      <c r="M42" s="321"/>
      <c r="N42" s="320">
        <v>1.7763999999999999E-2</v>
      </c>
      <c r="O42" s="321"/>
      <c r="P42" s="320"/>
      <c r="Q42" s="294"/>
      <c r="R42" s="321">
        <f>SUMPRODUCT(D42:N42,D34:N34)/R34</f>
        <v>1.0026310963374568E-2</v>
      </c>
      <c r="S42" s="295"/>
      <c r="T42" s="255"/>
    </row>
    <row r="43" spans="1:20" s="256" customFormat="1" ht="15.6" x14ac:dyDescent="0.3">
      <c r="A43" s="291"/>
      <c r="B43" s="292" t="s">
        <v>290</v>
      </c>
      <c r="C43" s="292"/>
      <c r="D43" s="320">
        <f>+D40</f>
        <v>0</v>
      </c>
      <c r="E43" s="292"/>
      <c r="F43" s="320">
        <v>0</v>
      </c>
      <c r="G43" s="321"/>
      <c r="H43" s="320">
        <f>+H40</f>
        <v>9.0749999999999997E-3</v>
      </c>
      <c r="I43" s="321"/>
      <c r="J43" s="320">
        <v>9.8709999999999996E-3</v>
      </c>
      <c r="K43" s="321"/>
      <c r="L43" s="320">
        <f>+L40</f>
        <v>1.8275E-2</v>
      </c>
      <c r="M43" s="321"/>
      <c r="N43" s="320">
        <v>1.9029000000000001E-2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0.24999917036706001</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42751</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94</v>
      </c>
      <c r="O55" s="329"/>
      <c r="P55" s="330">
        <v>42566</v>
      </c>
      <c r="Q55" s="331"/>
      <c r="R55" s="330">
        <v>42659</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91</v>
      </c>
      <c r="O56" s="292"/>
      <c r="P56" s="330">
        <v>42660</v>
      </c>
      <c r="Q56" s="331"/>
      <c r="R56" s="330">
        <v>42750</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42738</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337</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368753</v>
      </c>
      <c r="K66" s="336"/>
      <c r="L66" s="336">
        <f>7147+45+1</f>
        <v>7193</v>
      </c>
      <c r="M66" s="336"/>
      <c r="N66" s="336">
        <v>45</v>
      </c>
      <c r="O66" s="336"/>
      <c r="P66" s="336">
        <v>0</v>
      </c>
      <c r="Q66" s="336"/>
      <c r="R66" s="337">
        <f>+J66-L66+N66-P66</f>
        <v>361605</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368753</v>
      </c>
      <c r="K69" s="336"/>
      <c r="L69" s="336">
        <f>SUM(L66:L68)</f>
        <v>7193</v>
      </c>
      <c r="M69" s="336"/>
      <c r="N69" s="336">
        <f>SUM(N66:N68)</f>
        <v>45</v>
      </c>
      <c r="O69" s="336"/>
      <c r="P69" s="336">
        <f>SUM(P66:P68)</f>
        <v>0</v>
      </c>
      <c r="Q69" s="336"/>
      <c r="R69" s="336">
        <f>SUM(R66:R68)</f>
        <v>361605</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368753</v>
      </c>
      <c r="K82" s="336"/>
      <c r="L82" s="336"/>
      <c r="M82" s="336"/>
      <c r="N82" s="336"/>
      <c r="O82" s="336"/>
      <c r="P82" s="336"/>
      <c r="Q82" s="336"/>
      <c r="R82" s="336">
        <f>SUM(R69:R81)</f>
        <v>361605</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42734</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7193-23</f>
        <v>7170</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2476+317-668-68</f>
        <v>2057</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28+44</f>
        <v>72</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24</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186</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7170</v>
      </c>
      <c r="Q94" s="335"/>
      <c r="R94" s="336">
        <f>SUM(R86:R93)</f>
        <v>2339</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-41</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7170</v>
      </c>
      <c r="Q98" s="335"/>
      <c r="R98" s="336">
        <f>R94+R96+R95+R97</f>
        <v>2298</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-94-77-5</f>
        <v>-176</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-283</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-321</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-203</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-115</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23</v>
      </c>
      <c r="Q113" s="335"/>
      <c r="R113" s="337">
        <v>-23</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-190</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-977</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-45</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-2813</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-2905</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-929</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-501</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-7193</v>
      </c>
      <c r="Q128" s="336"/>
      <c r="R128" s="336">
        <f>SUM(R99:R127)</f>
        <v>-2298</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DECEMBER 2016</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23</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23</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-23</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41</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361605</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361605</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+'Sept 16'!O177</f>
        <v>91790</v>
      </c>
      <c r="P175" s="337">
        <f>+'Sept 16'!P177</f>
        <v>8496</v>
      </c>
      <c r="Q175" s="335"/>
      <c r="R175" s="337">
        <f>O175+P175</f>
        <v>100286</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45</v>
      </c>
      <c r="P176" s="336">
        <f>-P95-P120</f>
        <v>0</v>
      </c>
      <c r="Q176" s="335"/>
      <c r="R176" s="337">
        <f>O176+P176</f>
        <v>45</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91835</v>
      </c>
      <c r="P177" s="337">
        <f>P176+P175</f>
        <v>8496</v>
      </c>
      <c r="Q177" s="335"/>
      <c r="R177" s="337">
        <f>O177+P177</f>
        <v>100331</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59669</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3.5099337748344372</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1.65</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4.767295597484277</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3.11</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DECEMBER 2016</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42734</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2.1739999999999999E-2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1.0026310963374568E-2</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1.1713689036625431E-2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6.2318137072783133E-3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9.94</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1.9506281982790648E-2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9.1300000000000006E-2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52</v>
      </c>
      <c r="P208" s="371">
        <f>+P258</f>
        <v>7660</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23</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'Sept 16'!P214+P213</f>
        <v>5263</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1</v>
      </c>
      <c r="P216" s="371">
        <v>109</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3.28</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3.52</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1</v>
      </c>
      <c r="P220" s="371">
        <v>182</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0</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3021</v>
      </c>
      <c r="O225" s="280">
        <f t="shared" ref="O225:O232" si="2">N225/$N$234</f>
        <v>0.99538714991762767</v>
      </c>
      <c r="P225" s="269">
        <f t="shared" ref="P225:P232" si="3">+P237+P249+P261</f>
        <v>357976</v>
      </c>
      <c r="Q225" s="280">
        <f t="shared" ref="Q225:Q232" si="4">P225/$P$234</f>
        <v>0.98996418744209846</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4</v>
      </c>
      <c r="O226" s="399">
        <f t="shared" si="2"/>
        <v>1.3179571663920922E-3</v>
      </c>
      <c r="P226" s="337">
        <f t="shared" si="3"/>
        <v>171</v>
      </c>
      <c r="Q226" s="399">
        <f t="shared" si="4"/>
        <v>4.7289169121002197E-4</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6</v>
      </c>
      <c r="O227" s="399">
        <f t="shared" si="2"/>
        <v>1.9769357495881385E-3</v>
      </c>
      <c r="P227" s="337">
        <f t="shared" si="3"/>
        <v>2450</v>
      </c>
      <c r="Q227" s="399">
        <f t="shared" si="4"/>
        <v>6.7753487921903737E-3</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2</v>
      </c>
      <c r="O228" s="399">
        <f t="shared" si="2"/>
        <v>6.5897858319604609E-4</v>
      </c>
      <c r="P228" s="337">
        <f t="shared" si="3"/>
        <v>813</v>
      </c>
      <c r="Q228" s="399">
        <f t="shared" si="4"/>
        <v>2.2483096196125605E-3</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0</v>
      </c>
      <c r="O231" s="399">
        <f t="shared" si="2"/>
        <v>0</v>
      </c>
      <c r="P231" s="337">
        <f t="shared" si="3"/>
        <v>0</v>
      </c>
      <c r="Q231" s="399">
        <f t="shared" si="4"/>
        <v>0</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2</v>
      </c>
      <c r="O232" s="561">
        <f t="shared" si="2"/>
        <v>6.5897858319604609E-4</v>
      </c>
      <c r="P232" s="562">
        <f t="shared" si="3"/>
        <v>195</v>
      </c>
      <c r="Q232" s="561">
        <f t="shared" si="4"/>
        <v>5.3926245488862155E-4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3035</v>
      </c>
      <c r="O234" s="399">
        <f>SUM(O225:O233)</f>
        <v>1</v>
      </c>
      <c r="P234" s="337">
        <f>SUM(P225:P233)</f>
        <v>361605</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2974</v>
      </c>
      <c r="O237" s="280">
        <f t="shared" ref="O237:O244" si="5">N237/$N$246</f>
        <v>0.9969829031176668</v>
      </c>
      <c r="P237" s="269">
        <v>351431</v>
      </c>
      <c r="Q237" s="280">
        <f t="shared" ref="Q237:Q244" si="6">P237/$P$246</f>
        <v>0.99289720154261252</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4</v>
      </c>
      <c r="O238" s="399">
        <f t="shared" si="5"/>
        <v>1.3409319477036541E-3</v>
      </c>
      <c r="P238" s="337">
        <v>171</v>
      </c>
      <c r="Q238" s="399">
        <f t="shared" si="6"/>
        <v>4.8312590939270225E-4</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3</v>
      </c>
      <c r="O239" s="399">
        <f t="shared" si="5"/>
        <v>1.0056989607777405E-3</v>
      </c>
      <c r="P239" s="337">
        <v>2148</v>
      </c>
      <c r="Q239" s="399">
        <f t="shared" si="6"/>
        <v>6.0687394934241193E-3</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0</v>
      </c>
      <c r="O243" s="399">
        <f t="shared" si="5"/>
        <v>0</v>
      </c>
      <c r="P243" s="337">
        <v>0</v>
      </c>
      <c r="Q243" s="399">
        <f t="shared" si="6"/>
        <v>0</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2</v>
      </c>
      <c r="O244" s="399">
        <f t="shared" si="5"/>
        <v>6.7046597385182706E-4</v>
      </c>
      <c r="P244" s="337">
        <v>195</v>
      </c>
      <c r="Q244" s="399">
        <f t="shared" si="6"/>
        <v>5.5093305457062534E-4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2983</v>
      </c>
      <c r="O246" s="399">
        <f>SUM(O237:O245)</f>
        <v>1</v>
      </c>
      <c r="P246" s="337">
        <f>SUM(P237:P245)</f>
        <v>353945</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47</v>
      </c>
      <c r="O249" s="280">
        <f>N249/$N$258</f>
        <v>0.90384615384615385</v>
      </c>
      <c r="P249" s="269">
        <v>6545</v>
      </c>
      <c r="Q249" s="280">
        <f t="shared" ref="Q249:Q256" si="7">P249/$P$258</f>
        <v>0.8544386422976501</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0</v>
      </c>
      <c r="O250" s="399">
        <f t="shared" ref="O250:O256" si="8">N250/$N$258</f>
        <v>0</v>
      </c>
      <c r="P250" s="337">
        <v>0</v>
      </c>
      <c r="Q250" s="399">
        <f t="shared" si="7"/>
        <v>0</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3</v>
      </c>
      <c r="O251" s="399">
        <f t="shared" si="8"/>
        <v>5.7692307692307696E-2</v>
      </c>
      <c r="P251" s="337">
        <v>302</v>
      </c>
      <c r="Q251" s="399">
        <f t="shared" si="7"/>
        <v>3.9425587467362924E-2</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2</v>
      </c>
      <c r="O252" s="399">
        <f t="shared" si="8"/>
        <v>3.8461538461538464E-2</v>
      </c>
      <c r="P252" s="337">
        <v>813</v>
      </c>
      <c r="Q252" s="399">
        <f t="shared" si="7"/>
        <v>0.10613577023498695</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52</v>
      </c>
      <c r="O258" s="399">
        <f>SUM(O249:O257)</f>
        <v>1</v>
      </c>
      <c r="P258" s="337">
        <f>SUM(P249:P257)</f>
        <v>7660</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3035</v>
      </c>
      <c r="O272" s="399"/>
      <c r="P272" s="407">
        <f>+P270+P258+P246</f>
        <v>361605</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320</v>
      </c>
      <c r="C276" s="241"/>
      <c r="D276" s="241"/>
      <c r="E276" s="241"/>
      <c r="F276" s="286" t="s">
        <v>172</v>
      </c>
      <c r="G276" s="241"/>
      <c r="H276" s="241" t="s">
        <v>200</v>
      </c>
      <c r="I276" s="250"/>
      <c r="J276" s="250"/>
      <c r="K276" s="250"/>
      <c r="L276" s="250"/>
      <c r="M276" s="250"/>
      <c r="N276" s="250"/>
      <c r="O276" s="250"/>
      <c r="P276" s="250"/>
      <c r="Q276" s="250"/>
      <c r="R276" s="250"/>
      <c r="S276" s="250"/>
      <c r="T276" s="255"/>
    </row>
    <row r="277" spans="1:20" s="256" customFormat="1" ht="15.6" x14ac:dyDescent="0.3">
      <c r="A277" s="285"/>
      <c r="B277" s="241" t="s">
        <v>321</v>
      </c>
      <c r="C277" s="241"/>
      <c r="D277" s="241"/>
      <c r="E277" s="241"/>
      <c r="F277" s="286" t="s">
        <v>272</v>
      </c>
      <c r="G277" s="241"/>
      <c r="H277" s="241" t="s">
        <v>273</v>
      </c>
      <c r="I277" s="250"/>
      <c r="J277" s="250"/>
      <c r="K277" s="250"/>
      <c r="L277" s="250"/>
      <c r="M277" s="250"/>
      <c r="N277" s="250"/>
      <c r="O277" s="250"/>
      <c r="P277" s="250"/>
      <c r="Q277" s="250"/>
      <c r="R277" s="250"/>
      <c r="S277" s="250"/>
      <c r="T277" s="255"/>
    </row>
    <row r="278" spans="1:20" s="256" customFormat="1" ht="15.6" x14ac:dyDescent="0.3">
      <c r="A278" s="285"/>
      <c r="B278" s="241" t="s">
        <v>322</v>
      </c>
      <c r="C278" s="241"/>
      <c r="D278" s="241"/>
      <c r="E278" s="241"/>
      <c r="F278" s="286" t="s">
        <v>171</v>
      </c>
      <c r="G278" s="241"/>
      <c r="H278" s="241" t="s">
        <v>201</v>
      </c>
      <c r="I278" s="250"/>
      <c r="J278" s="250"/>
      <c r="K278" s="250"/>
      <c r="L278" s="250"/>
      <c r="M278" s="250"/>
      <c r="N278" s="250"/>
      <c r="O278" s="250"/>
      <c r="P278" s="250"/>
      <c r="Q278" s="250"/>
      <c r="R278" s="250"/>
      <c r="S278" s="250"/>
      <c r="T278" s="255"/>
    </row>
    <row r="279" spans="1:20" s="256" customFormat="1" ht="15.6" x14ac:dyDescent="0.3">
      <c r="A279" s="285"/>
      <c r="B279" s="241"/>
      <c r="C279" s="241"/>
      <c r="D279" s="241"/>
      <c r="E279" s="241"/>
      <c r="F279" s="241"/>
      <c r="G279" s="287"/>
      <c r="H279" s="250"/>
      <c r="I279" s="250"/>
      <c r="J279" s="250"/>
      <c r="K279" s="250"/>
      <c r="L279" s="250"/>
      <c r="M279" s="250"/>
      <c r="N279" s="250"/>
      <c r="O279" s="250"/>
      <c r="P279" s="250"/>
      <c r="Q279" s="250"/>
      <c r="R279" s="250"/>
      <c r="S279" s="250"/>
      <c r="T279" s="255"/>
    </row>
    <row r="280" spans="1:20" s="256" customFormat="1" ht="18" thickBot="1" x14ac:dyDescent="0.35">
      <c r="A280" s="285"/>
      <c r="B280" s="288" t="str">
        <f>B189</f>
        <v>PM8 INVESTOR REPORT QUARTER ENDING DECEMBER 2016</v>
      </c>
      <c r="C280" s="241"/>
      <c r="D280" s="241"/>
      <c r="E280" s="241"/>
      <c r="F280" s="241"/>
      <c r="G280" s="287"/>
      <c r="H280" s="250"/>
      <c r="I280" s="250"/>
      <c r="J280" s="250"/>
      <c r="K280" s="250"/>
      <c r="L280" s="250"/>
      <c r="M280" s="250"/>
      <c r="N280" s="250"/>
      <c r="O280" s="250"/>
      <c r="P280" s="250"/>
      <c r="Q280" s="250"/>
      <c r="R280" s="250"/>
      <c r="S280" s="250"/>
      <c r="T280" s="255"/>
    </row>
    <row r="281" spans="1:20" x14ac:dyDescent="0.25">
      <c r="A281" s="101"/>
      <c r="B281" s="101"/>
      <c r="C281" s="101"/>
      <c r="D281" s="101"/>
      <c r="E281" s="101"/>
      <c r="F281" s="101"/>
      <c r="G281" s="101"/>
      <c r="H281" s="101"/>
      <c r="I281" s="101"/>
      <c r="J281" s="101"/>
      <c r="K281" s="101"/>
      <c r="L281" s="101"/>
      <c r="M281" s="101"/>
      <c r="N281" s="101"/>
      <c r="O281" s="101"/>
      <c r="P281" s="101"/>
      <c r="Q281" s="101"/>
      <c r="R281" s="101"/>
      <c r="S281"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0.88380000000000003</v>
      </c>
      <c r="P16" s="247" t="s">
        <v>161</v>
      </c>
      <c r="Q16" s="246">
        <v>0.1162</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42845</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142309.34</v>
      </c>
      <c r="I31" s="301"/>
      <c r="J31" s="302">
        <f>J30*J37</f>
        <v>211364.364</v>
      </c>
      <c r="K31" s="301"/>
      <c r="L31" s="303">
        <f>L30*L37</f>
        <v>47008.584999999999</v>
      </c>
      <c r="M31" s="301"/>
      <c r="N31" s="302">
        <f>N30*N37</f>
        <v>36160.449999999997</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140098.334</v>
      </c>
      <c r="I32" s="306"/>
      <c r="J32" s="308">
        <f>J36*J30</f>
        <v>208080.47639999999</v>
      </c>
      <c r="K32" s="307"/>
      <c r="L32" s="307">
        <f>L36*L30</f>
        <v>46278.218999999997</v>
      </c>
      <c r="M32" s="307"/>
      <c r="N32" s="308">
        <f>N36*N30</f>
        <v>35598.629999999997</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142309.34</v>
      </c>
      <c r="I34" s="301"/>
      <c r="J34" s="301">
        <f>J33*J37</f>
        <v>146975.22</v>
      </c>
      <c r="K34" s="301"/>
      <c r="L34" s="301">
        <f>L33*L37</f>
        <v>47008.584999999999</v>
      </c>
      <c r="M34" s="301"/>
      <c r="N34" s="301">
        <f>N33*N37</f>
        <v>25312.314999999999</v>
      </c>
      <c r="O34" s="301"/>
      <c r="P34" s="301"/>
      <c r="Q34" s="304"/>
      <c r="R34" s="301">
        <f>SUM(C34:N34)</f>
        <v>361605.46</v>
      </c>
      <c r="S34" s="305"/>
      <c r="T34" s="255"/>
    </row>
    <row r="35" spans="1:20" s="256" customFormat="1" ht="15.6" x14ac:dyDescent="0.3">
      <c r="A35" s="296"/>
      <c r="B35" s="297" t="s">
        <v>287</v>
      </c>
      <c r="C35" s="306"/>
      <c r="D35" s="307">
        <f>D36*D33</f>
        <v>0</v>
      </c>
      <c r="E35" s="306"/>
      <c r="F35" s="307">
        <f>F36*F33</f>
        <v>0</v>
      </c>
      <c r="G35" s="307"/>
      <c r="H35" s="307">
        <f>H36*H33</f>
        <v>140098.334</v>
      </c>
      <c r="I35" s="306"/>
      <c r="J35" s="307">
        <f>J36*J33</f>
        <v>144691.72200000001</v>
      </c>
      <c r="K35" s="307"/>
      <c r="L35" s="307">
        <f>L36*L33</f>
        <v>46278.218999999997</v>
      </c>
      <c r="M35" s="307"/>
      <c r="N35" s="307">
        <f>N36*N33</f>
        <v>24919.040999999997</v>
      </c>
      <c r="O35" s="307"/>
      <c r="P35" s="307"/>
      <c r="Q35" s="309"/>
      <c r="R35" s="307">
        <f>SUM(C35:N35)</f>
        <v>355987.31599999999</v>
      </c>
      <c r="S35" s="305"/>
      <c r="T35" s="255"/>
    </row>
    <row r="36" spans="1:20" ht="15.6" x14ac:dyDescent="0.3">
      <c r="A36" s="310"/>
      <c r="B36" s="311" t="s">
        <v>149</v>
      </c>
      <c r="C36" s="312"/>
      <c r="D36" s="313">
        <v>0</v>
      </c>
      <c r="E36" s="314"/>
      <c r="F36" s="313">
        <v>0</v>
      </c>
      <c r="G36" s="315"/>
      <c r="H36" s="313">
        <v>0.45933879999999999</v>
      </c>
      <c r="I36" s="313"/>
      <c r="J36" s="313">
        <v>0.45933879999999999</v>
      </c>
      <c r="K36" s="315"/>
      <c r="L36" s="313">
        <v>0.71197259999999996</v>
      </c>
      <c r="M36" s="313"/>
      <c r="N36" s="313">
        <v>0.71197259999999996</v>
      </c>
      <c r="O36" s="316"/>
      <c r="P36" s="316"/>
      <c r="Q36" s="317"/>
      <c r="R36" s="316"/>
      <c r="S36" s="318"/>
      <c r="T36" s="5"/>
    </row>
    <row r="37" spans="1:20" ht="15.6" x14ac:dyDescent="0.3">
      <c r="A37" s="310"/>
      <c r="B37" s="311" t="s">
        <v>150</v>
      </c>
      <c r="C37" s="312"/>
      <c r="D37" s="313">
        <v>0</v>
      </c>
      <c r="E37" s="314"/>
      <c r="F37" s="313">
        <v>0</v>
      </c>
      <c r="G37" s="315"/>
      <c r="H37" s="313">
        <v>0.466588</v>
      </c>
      <c r="I37" s="313"/>
      <c r="J37" s="313">
        <v>0.466588</v>
      </c>
      <c r="K37" s="315"/>
      <c r="L37" s="313">
        <v>0.72320899999999999</v>
      </c>
      <c r="M37" s="313"/>
      <c r="N37" s="313">
        <v>0.72320899999999999</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7.3663000000000001E-3</v>
      </c>
      <c r="I39" s="321"/>
      <c r="J39" s="320">
        <v>3.3E-4</v>
      </c>
      <c r="K39" s="321"/>
      <c r="L39" s="320">
        <v>1.6566299999999999E-2</v>
      </c>
      <c r="M39" s="321"/>
      <c r="N39" s="320">
        <v>8.7299999999999999E-3</v>
      </c>
      <c r="O39" s="321"/>
      <c r="P39" s="320"/>
      <c r="Q39" s="294"/>
      <c r="R39" s="321"/>
      <c r="S39" s="295"/>
      <c r="T39" s="255"/>
    </row>
    <row r="40" spans="1:20" s="256" customFormat="1" ht="15.6" x14ac:dyDescent="0.3">
      <c r="A40" s="291"/>
      <c r="B40" s="292" t="s">
        <v>14</v>
      </c>
      <c r="C40" s="292"/>
      <c r="D40" s="320">
        <v>0</v>
      </c>
      <c r="E40" s="292"/>
      <c r="F40" s="320">
        <v>0</v>
      </c>
      <c r="G40" s="321"/>
      <c r="H40" s="320">
        <v>7.8100000000000001E-3</v>
      </c>
      <c r="I40" s="321"/>
      <c r="J40" s="320">
        <v>4.8999999999999998E-4</v>
      </c>
      <c r="K40" s="321"/>
      <c r="L40" s="320">
        <v>1.7010000000000001E-2</v>
      </c>
      <c r="M40" s="321"/>
      <c r="N40" s="320">
        <v>8.8900000000000003E-3</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7.3663000000000001E-3</v>
      </c>
      <c r="I42" s="321"/>
      <c r="J42" s="320">
        <v>8.1623000000000008E-3</v>
      </c>
      <c r="K42" s="321"/>
      <c r="L42" s="320">
        <f>+L39</f>
        <v>1.6566299999999999E-2</v>
      </c>
      <c r="M42" s="321"/>
      <c r="N42" s="320">
        <v>1.73203E-2</v>
      </c>
      <c r="O42" s="321"/>
      <c r="P42" s="320"/>
      <c r="Q42" s="294"/>
      <c r="R42" s="321">
        <f>SUMPRODUCT(D42:N42,D34:N34)/R34</f>
        <v>9.5826106735998964E-3</v>
      </c>
      <c r="S42" s="295"/>
      <c r="T42" s="255"/>
    </row>
    <row r="43" spans="1:20" s="256" customFormat="1" ht="15.6" x14ac:dyDescent="0.3">
      <c r="A43" s="291"/>
      <c r="B43" s="292" t="s">
        <v>290</v>
      </c>
      <c r="C43" s="292"/>
      <c r="D43" s="320">
        <f>+D40</f>
        <v>0</v>
      </c>
      <c r="E43" s="292"/>
      <c r="F43" s="320">
        <v>0</v>
      </c>
      <c r="G43" s="321"/>
      <c r="H43" s="320">
        <f>+H40</f>
        <v>7.8100000000000001E-3</v>
      </c>
      <c r="I43" s="321"/>
      <c r="J43" s="320">
        <v>8.6060000000000008E-3</v>
      </c>
      <c r="K43" s="321"/>
      <c r="L43" s="320">
        <f>+L40</f>
        <v>1.7010000000000001E-2</v>
      </c>
      <c r="M43" s="321"/>
      <c r="N43" s="320">
        <v>1.7763999999999999E-2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0.24999910811492659</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42843</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91</v>
      </c>
      <c r="O55" s="329"/>
      <c r="P55" s="330">
        <v>42660</v>
      </c>
      <c r="Q55" s="331"/>
      <c r="R55" s="330">
        <v>42750</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92</v>
      </c>
      <c r="O56" s="292"/>
      <c r="P56" s="330">
        <v>42751</v>
      </c>
      <c r="Q56" s="331"/>
      <c r="R56" s="330">
        <v>42842</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42828</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338</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361605</v>
      </c>
      <c r="K66" s="336"/>
      <c r="L66" s="336">
        <f>5618+171</f>
        <v>5789</v>
      </c>
      <c r="M66" s="336"/>
      <c r="N66" s="336">
        <v>171</v>
      </c>
      <c r="O66" s="336"/>
      <c r="P66" s="336">
        <v>0</v>
      </c>
      <c r="Q66" s="336"/>
      <c r="R66" s="337">
        <f>+J66-L66+N66-P66</f>
        <v>355987</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361605</v>
      </c>
      <c r="K69" s="336"/>
      <c r="L69" s="336">
        <f>SUM(L66:L68)</f>
        <v>5789</v>
      </c>
      <c r="M69" s="336"/>
      <c r="N69" s="336">
        <f>SUM(N66:N68)</f>
        <v>171</v>
      </c>
      <c r="O69" s="336"/>
      <c r="P69" s="336">
        <f>SUM(P66:P68)</f>
        <v>0</v>
      </c>
      <c r="Q69" s="336"/>
      <c r="R69" s="336">
        <f>SUM(R66:R68)</f>
        <v>355987</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361605</v>
      </c>
      <c r="K82" s="336"/>
      <c r="L82" s="336"/>
      <c r="M82" s="336"/>
      <c r="N82" s="336"/>
      <c r="O82" s="336"/>
      <c r="P82" s="336"/>
      <c r="Q82" s="336"/>
      <c r="R82" s="336">
        <f>SUM(R69:R81)</f>
        <v>355987</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42825</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5789-4</f>
        <v>5785</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2669+336-824-92</f>
        <v>2089</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42+1</f>
        <v>43</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20</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151</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5785</v>
      </c>
      <c r="Q94" s="335"/>
      <c r="R94" s="336">
        <f>SUM(R86:R93)</f>
        <v>2303</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-262</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5785</v>
      </c>
      <c r="Q98" s="335"/>
      <c r="R98" s="336">
        <f>R94+R96+R95+R97</f>
        <v>2041</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-90-83-5</f>
        <v>-178</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-265</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-302</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-196</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-111</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4</v>
      </c>
      <c r="Q113" s="335"/>
      <c r="R113" s="337">
        <v>-4</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-182</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-793</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-171</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-2211</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-2284</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-730</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-393</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-5789</v>
      </c>
      <c r="Q128" s="336"/>
      <c r="R128" s="336">
        <f>SUM(R99:R127)</f>
        <v>-2041</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MARCH 2017</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4</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4</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-4</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f>-R97</f>
        <v>262</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355987</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355987</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+'Dec 16'!O177</f>
        <v>91835</v>
      </c>
      <c r="P175" s="337">
        <f>+'Dec 16'!P177</f>
        <v>8496</v>
      </c>
      <c r="Q175" s="335"/>
      <c r="R175" s="337">
        <f>O175+P175</f>
        <v>100331</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171</v>
      </c>
      <c r="P176" s="336">
        <f>-P95-P120</f>
        <v>0</v>
      </c>
      <c r="Q176" s="335"/>
      <c r="R176" s="337">
        <f>O176+P176</f>
        <v>171</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92006</v>
      </c>
      <c r="P177" s="337">
        <f>P176+P175</f>
        <v>8496</v>
      </c>
      <c r="Q177" s="335"/>
      <c r="R177" s="337">
        <f>O177+P177</f>
        <v>100502</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59498</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3.2821869488536155</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1.65</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4.214983713355049</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3.12</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MARCH 2017</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42825</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2.1559999999999999E-2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9.5826106735998964E-3</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1.1977389326400103E-2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5.6442803611675722E-3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9.6999999999999993</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1.6009181288975539E-2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9.0700000000000003E-2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52</v>
      </c>
      <c r="P208" s="371">
        <f>+P258</f>
        <v>7612</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4</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'Dec 16'!P214+P213</f>
        <v>5267</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2</v>
      </c>
      <c r="P220" s="371">
        <v>209</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1.49</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2973</v>
      </c>
      <c r="O225" s="280">
        <f t="shared" ref="O225:O232" si="2">N225/$N$234</f>
        <v>0.99564634963161425</v>
      </c>
      <c r="P225" s="269">
        <f t="shared" ref="P225:P232" si="3">+P237+P249+P261</f>
        <v>352306</v>
      </c>
      <c r="Q225" s="280">
        <f t="shared" ref="Q225:Q232" si="4">P225/$P$234</f>
        <v>0.98965973476559532</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4</v>
      </c>
      <c r="O226" s="399">
        <f t="shared" si="2"/>
        <v>1.3395847287340924E-3</v>
      </c>
      <c r="P226" s="337">
        <f t="shared" si="3"/>
        <v>2142</v>
      </c>
      <c r="Q226" s="399">
        <f t="shared" si="4"/>
        <v>6.0170736571841105E-3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4</v>
      </c>
      <c r="O227" s="399">
        <f t="shared" si="2"/>
        <v>1.3395847287340924E-3</v>
      </c>
      <c r="P227" s="337">
        <f t="shared" si="3"/>
        <v>1082</v>
      </c>
      <c r="Q227" s="399">
        <f t="shared" si="4"/>
        <v>3.0394368333675108E-3</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1</v>
      </c>
      <c r="O228" s="399">
        <f t="shared" si="2"/>
        <v>3.348961821835231E-4</v>
      </c>
      <c r="P228" s="337">
        <f t="shared" si="3"/>
        <v>21</v>
      </c>
      <c r="Q228" s="399">
        <f t="shared" si="4"/>
        <v>5.8990918207687356E-5</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0</v>
      </c>
      <c r="O229" s="399">
        <f t="shared" si="2"/>
        <v>0</v>
      </c>
      <c r="P229" s="337">
        <f t="shared" si="3"/>
        <v>0</v>
      </c>
      <c r="Q229" s="399">
        <f t="shared" si="4"/>
        <v>0</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2</v>
      </c>
      <c r="O231" s="399">
        <f t="shared" si="2"/>
        <v>6.6979236436704619E-4</v>
      </c>
      <c r="P231" s="337">
        <f t="shared" si="3"/>
        <v>241</v>
      </c>
      <c r="Q231" s="399">
        <f t="shared" si="4"/>
        <v>6.7699101371679305E-4</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2</v>
      </c>
      <c r="O232" s="561">
        <f t="shared" si="2"/>
        <v>6.6979236436704619E-4</v>
      </c>
      <c r="P232" s="562">
        <f t="shared" si="3"/>
        <v>195</v>
      </c>
      <c r="Q232" s="561">
        <f t="shared" si="4"/>
        <v>5.4777281192852547E-4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2986</v>
      </c>
      <c r="O234" s="399">
        <f>SUM(O225:O233)</f>
        <v>1</v>
      </c>
      <c r="P234" s="337">
        <f>SUM(P225:P233)</f>
        <v>355987</v>
      </c>
      <c r="Q234" s="399">
        <f>SUM(Q225:Q233)</f>
        <v>0.99999999999999989</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2926</v>
      </c>
      <c r="O237" s="280">
        <f t="shared" ref="O237:O244" si="5">N237/$N$246</f>
        <v>0.99727334696659853</v>
      </c>
      <c r="P237" s="269">
        <v>345821</v>
      </c>
      <c r="Q237" s="280">
        <f t="shared" ref="Q237:Q244" si="6">P237/$P$246</f>
        <v>0.99266881951919628</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3</v>
      </c>
      <c r="O238" s="399">
        <f t="shared" si="5"/>
        <v>1.0224948875255625E-3</v>
      </c>
      <c r="P238" s="337">
        <v>2069</v>
      </c>
      <c r="Q238" s="399">
        <f t="shared" si="6"/>
        <v>5.9390025116612842E-3</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2</v>
      </c>
      <c r="O239" s="399">
        <f t="shared" si="5"/>
        <v>6.8166325835037494E-4</v>
      </c>
      <c r="P239" s="337">
        <v>269</v>
      </c>
      <c r="Q239" s="399">
        <f t="shared" si="6"/>
        <v>7.7215644061715103E-4</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1</v>
      </c>
      <c r="O240" s="399">
        <f t="shared" si="5"/>
        <v>3.4083162917518747E-4</v>
      </c>
      <c r="P240" s="337">
        <v>21</v>
      </c>
      <c r="Q240" s="399">
        <f t="shared" si="6"/>
        <v>6.0279870828848224E-5</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0</v>
      </c>
      <c r="O243" s="399">
        <f t="shared" si="5"/>
        <v>0</v>
      </c>
      <c r="P243" s="337">
        <v>0</v>
      </c>
      <c r="Q243" s="399">
        <f t="shared" si="6"/>
        <v>0</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2</v>
      </c>
      <c r="O244" s="399">
        <f t="shared" si="5"/>
        <v>6.8166325835037494E-4</v>
      </c>
      <c r="P244" s="337">
        <v>195</v>
      </c>
      <c r="Q244" s="399">
        <f t="shared" si="6"/>
        <v>5.5974165769644775E-4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2934</v>
      </c>
      <c r="O246" s="399">
        <f>SUM(O237:O245)</f>
        <v>1</v>
      </c>
      <c r="P246" s="337">
        <f>SUM(P237:P245)</f>
        <v>348375</v>
      </c>
      <c r="Q246" s="399">
        <f>SUM(Q237:Q245)</f>
        <v>0.99999999999999989</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47</v>
      </c>
      <c r="O249" s="280">
        <f>N249/$N$258</f>
        <v>0.90384615384615385</v>
      </c>
      <c r="P249" s="269">
        <v>6485</v>
      </c>
      <c r="Q249" s="280">
        <f t="shared" ref="Q249:Q256" si="7">P249/$P$258</f>
        <v>0.85194429847609043</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1</v>
      </c>
      <c r="O250" s="399">
        <f t="shared" ref="O250:O256" si="8">N250/$N$258</f>
        <v>1.9230769230769232E-2</v>
      </c>
      <c r="P250" s="337">
        <v>73</v>
      </c>
      <c r="Q250" s="399">
        <f t="shared" si="7"/>
        <v>9.590120861797162E-3</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2</v>
      </c>
      <c r="O251" s="399">
        <f t="shared" si="8"/>
        <v>3.8461538461538464E-2</v>
      </c>
      <c r="P251" s="337">
        <v>813</v>
      </c>
      <c r="Q251" s="399">
        <f t="shared" si="7"/>
        <v>0.10680504466631634</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0</v>
      </c>
      <c r="O252" s="399">
        <f t="shared" si="8"/>
        <v>0</v>
      </c>
      <c r="P252" s="337">
        <v>0</v>
      </c>
      <c r="Q252" s="399">
        <f t="shared" si="7"/>
        <v>0</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0</v>
      </c>
      <c r="O253" s="399">
        <f t="shared" si="8"/>
        <v>0</v>
      </c>
      <c r="P253" s="337">
        <v>0</v>
      </c>
      <c r="Q253" s="399">
        <f t="shared" si="7"/>
        <v>0</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2</v>
      </c>
      <c r="O255" s="399">
        <f t="shared" si="8"/>
        <v>3.8461538461538464E-2</v>
      </c>
      <c r="P255" s="337">
        <v>241</v>
      </c>
      <c r="Q255" s="399">
        <f t="shared" si="7"/>
        <v>3.1660535995796109E-2</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52</v>
      </c>
      <c r="O258" s="399">
        <f>SUM(O249:O257)</f>
        <v>1</v>
      </c>
      <c r="P258" s="337">
        <f>SUM(P249:P257)</f>
        <v>7612</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2986</v>
      </c>
      <c r="O272" s="399"/>
      <c r="P272" s="407">
        <f>+P270+P258+P246</f>
        <v>355987</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322</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B189</f>
        <v>PM8 INVESTOR REPORT QUARTER ENDING MARCH 2017</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7"/>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9.36328125" style="1" customWidth="1"/>
    <col min="5" max="5" width="2.08984375" style="1" customWidth="1"/>
    <col min="6" max="6" width="35.54296875" style="1" customWidth="1"/>
    <col min="7" max="7" width="5.08984375" style="1" customWidth="1"/>
    <col min="8" max="8" width="27.63281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t="s">
        <v>246</v>
      </c>
      <c r="I9" s="8"/>
      <c r="J9" s="8"/>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0.82679999999999998</v>
      </c>
      <c r="P16" s="17" t="s">
        <v>161</v>
      </c>
      <c r="Q16" s="140">
        <v>0.17319999999999999</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38832</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30361.35</v>
      </c>
      <c r="E31" s="32"/>
      <c r="F31" s="125">
        <f>F37*F30</f>
        <v>200410.31999999998</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24651.85</v>
      </c>
      <c r="E32" s="36"/>
      <c r="F32" s="126">
        <f>F36*F30</f>
        <v>162734.88</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30361.35</v>
      </c>
      <c r="E34" s="32"/>
      <c r="F34" s="31">
        <f>+F31*0.696969697</f>
        <v>139679.92000607302</v>
      </c>
      <c r="G34" s="31"/>
      <c r="H34" s="31">
        <v>305000</v>
      </c>
      <c r="I34" s="31"/>
      <c r="J34" s="31">
        <v>315000</v>
      </c>
      <c r="K34" s="31"/>
      <c r="L34" s="31">
        <v>65000</v>
      </c>
      <c r="M34" s="31"/>
      <c r="N34" s="31">
        <v>35000</v>
      </c>
      <c r="O34" s="31"/>
      <c r="P34" s="31"/>
      <c r="Q34" s="147"/>
      <c r="R34" s="31">
        <f>SUM(C34:N34)</f>
        <v>890041.27000607306</v>
      </c>
      <c r="S34" s="34"/>
      <c r="T34" s="5"/>
    </row>
    <row r="35" spans="1:20" ht="15.6" x14ac:dyDescent="0.3">
      <c r="A35" s="28"/>
      <c r="B35" s="29" t="s">
        <v>287</v>
      </c>
      <c r="C35" s="36"/>
      <c r="D35" s="35">
        <f>D36*D33</f>
        <v>24651.85</v>
      </c>
      <c r="E35" s="36"/>
      <c r="F35" s="35">
        <f>F36*F33</f>
        <v>113421.28</v>
      </c>
      <c r="G35" s="35"/>
      <c r="H35" s="35">
        <v>305000</v>
      </c>
      <c r="I35" s="35"/>
      <c r="J35" s="35">
        <v>315000</v>
      </c>
      <c r="K35" s="35"/>
      <c r="L35" s="35">
        <v>65000</v>
      </c>
      <c r="M35" s="35"/>
      <c r="N35" s="35">
        <v>35000</v>
      </c>
      <c r="O35" s="35"/>
      <c r="P35" s="35"/>
      <c r="Q35" s="37"/>
      <c r="R35" s="35">
        <f>SUM(C35:N35)</f>
        <v>858073.13</v>
      </c>
      <c r="S35" s="34"/>
      <c r="T35" s="5"/>
    </row>
    <row r="36" spans="1:20" ht="15.6" x14ac:dyDescent="0.3">
      <c r="A36" s="28"/>
      <c r="B36" s="123" t="s">
        <v>149</v>
      </c>
      <c r="C36" s="127"/>
      <c r="D36" s="138">
        <v>0.493037</v>
      </c>
      <c r="E36" s="139"/>
      <c r="F36" s="138">
        <v>0.49313600000000002</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0.60722699999999996</v>
      </c>
      <c r="E37" s="139"/>
      <c r="F37" s="138">
        <v>0.60730399999999995</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4.7106299999999997E-2</v>
      </c>
      <c r="E39" s="25"/>
      <c r="F39" s="38">
        <v>2.6239999999999999E-2</v>
      </c>
      <c r="G39" s="39"/>
      <c r="H39" s="38">
        <v>4.7906299999999999E-2</v>
      </c>
      <c r="I39" s="39"/>
      <c r="J39" s="38">
        <v>2.6939999999999999E-2</v>
      </c>
      <c r="K39" s="39"/>
      <c r="L39" s="38">
        <v>5.2506299999999999E-2</v>
      </c>
      <c r="M39" s="39"/>
      <c r="N39" s="38">
        <v>3.1140000000000001E-2</v>
      </c>
      <c r="O39" s="39"/>
      <c r="P39" s="38"/>
      <c r="Q39" s="146"/>
      <c r="R39" s="39"/>
      <c r="S39" s="25"/>
      <c r="T39" s="5"/>
    </row>
    <row r="40" spans="1:20" ht="15.6" x14ac:dyDescent="0.3">
      <c r="A40" s="24"/>
      <c r="B40" s="25" t="s">
        <v>14</v>
      </c>
      <c r="C40" s="25"/>
      <c r="D40" s="38">
        <v>4.6899999999999997E-2</v>
      </c>
      <c r="E40" s="25"/>
      <c r="F40" s="38">
        <v>2.2950000000000002E-2</v>
      </c>
      <c r="G40" s="39"/>
      <c r="H40" s="38">
        <v>4.7699999999999999E-2</v>
      </c>
      <c r="I40" s="39"/>
      <c r="J40" s="38">
        <v>2.3650000000000001E-2</v>
      </c>
      <c r="K40" s="39"/>
      <c r="L40" s="38">
        <v>5.2299999999999999E-2</v>
      </c>
      <c r="M40" s="39"/>
      <c r="N40" s="38">
        <v>2.785E-2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4.7106299999999997E-2</v>
      </c>
      <c r="E42" s="25"/>
      <c r="F42" s="38">
        <v>4.7319300000000002E-2</v>
      </c>
      <c r="G42" s="39"/>
      <c r="H42" s="38">
        <f>+H39</f>
        <v>4.7906299999999999E-2</v>
      </c>
      <c r="I42" s="39"/>
      <c r="J42" s="38">
        <v>4.8304300000000001E-2</v>
      </c>
      <c r="K42" s="39"/>
      <c r="L42" s="38">
        <f>+L39</f>
        <v>5.2506299999999999E-2</v>
      </c>
      <c r="M42" s="39"/>
      <c r="N42" s="38">
        <v>5.2883300000000001E-2</v>
      </c>
      <c r="O42" s="39"/>
      <c r="P42" s="38"/>
      <c r="Q42" s="146"/>
      <c r="R42" s="39">
        <f>SUMPRODUCT(D42:N42,D34:N34)/R34</f>
        <v>4.8459402225195784E-2</v>
      </c>
      <c r="S42" s="25"/>
      <c r="T42" s="5"/>
    </row>
    <row r="43" spans="1:20" ht="15.6" x14ac:dyDescent="0.3">
      <c r="A43" s="24"/>
      <c r="B43" s="25" t="s">
        <v>290</v>
      </c>
      <c r="C43" s="25"/>
      <c r="D43" s="38">
        <f>+D40</f>
        <v>4.6899999999999997E-2</v>
      </c>
      <c r="E43" s="25"/>
      <c r="F43" s="38">
        <v>4.7113000000000002E-2</v>
      </c>
      <c r="G43" s="39"/>
      <c r="H43" s="38">
        <f>+H40</f>
        <v>4.7699999999999999E-2</v>
      </c>
      <c r="I43" s="39"/>
      <c r="J43" s="38">
        <v>4.8098000000000002E-2</v>
      </c>
      <c r="K43" s="39"/>
      <c r="L43" s="38">
        <f>+L40</f>
        <v>5.2299999999999999E-2</v>
      </c>
      <c r="M43" s="39"/>
      <c r="N43" s="38">
        <v>5.2677000000000002E-2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0.1319133946879241</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38825</v>
      </c>
      <c r="S54" s="25"/>
      <c r="T54" s="5"/>
    </row>
    <row r="55" spans="1:21" ht="15.6" x14ac:dyDescent="0.3">
      <c r="A55" s="24"/>
      <c r="B55" s="25" t="s">
        <v>140</v>
      </c>
      <c r="C55" s="25"/>
      <c r="D55" s="25"/>
      <c r="E55" s="25"/>
      <c r="F55" s="25"/>
      <c r="G55" s="25"/>
      <c r="H55" s="58"/>
      <c r="I55" s="58"/>
      <c r="J55" s="58"/>
      <c r="K55" s="58"/>
      <c r="L55" s="58"/>
      <c r="M55" s="58"/>
      <c r="N55" s="25">
        <f>+R55-P55+1</f>
        <v>91</v>
      </c>
      <c r="O55" s="58"/>
      <c r="P55" s="45">
        <v>38642</v>
      </c>
      <c r="Q55" s="46"/>
      <c r="R55" s="45">
        <v>38732</v>
      </c>
      <c r="S55" s="25"/>
      <c r="T55" s="5"/>
    </row>
    <row r="56" spans="1:21" ht="15.6" x14ac:dyDescent="0.3">
      <c r="A56" s="24"/>
      <c r="B56" s="25" t="s">
        <v>141</v>
      </c>
      <c r="C56" s="25"/>
      <c r="D56" s="25"/>
      <c r="E56" s="25"/>
      <c r="F56" s="25"/>
      <c r="G56" s="25"/>
      <c r="H56" s="25"/>
      <c r="I56" s="25"/>
      <c r="J56" s="25"/>
      <c r="K56" s="25"/>
      <c r="L56" s="25"/>
      <c r="M56" s="25"/>
      <c r="N56" s="25">
        <f>+R56-P56+1</f>
        <v>92</v>
      </c>
      <c r="O56" s="25"/>
      <c r="P56" s="45">
        <v>38733</v>
      </c>
      <c r="Q56" s="46"/>
      <c r="R56" s="45">
        <v>38824</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38810</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259</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890041</v>
      </c>
      <c r="K67" s="34"/>
      <c r="L67" s="34">
        <f>31968+5084</f>
        <v>37052</v>
      </c>
      <c r="M67" s="34"/>
      <c r="N67" s="34">
        <v>5084</v>
      </c>
      <c r="O67" s="34"/>
      <c r="P67" s="34">
        <v>0</v>
      </c>
      <c r="Q67" s="34"/>
      <c r="R67" s="53">
        <f>+J67-L67+N67-P67</f>
        <v>858073</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890041</v>
      </c>
      <c r="K70" s="34"/>
      <c r="L70" s="34">
        <f>SUM(L67:L69)</f>
        <v>37052</v>
      </c>
      <c r="M70" s="34"/>
      <c r="N70" s="34">
        <f>SUM(N67:N69)</f>
        <v>5084</v>
      </c>
      <c r="O70" s="34"/>
      <c r="P70" s="34">
        <f>SUM(P67:P69)</f>
        <v>0</v>
      </c>
      <c r="Q70" s="34"/>
      <c r="R70" s="54">
        <f>SUM(R67:R69)</f>
        <v>858073</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890041</v>
      </c>
      <c r="K83" s="34"/>
      <c r="L83" s="34"/>
      <c r="M83" s="34"/>
      <c r="N83" s="34"/>
      <c r="O83" s="34"/>
      <c r="P83" s="54"/>
      <c r="Q83" s="34"/>
      <c r="R83" s="54">
        <f>SUM(R70:R82)</f>
        <v>858073</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+P187</f>
        <v>38807</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v>37052</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12885+2353-1952-441+4</f>
        <v>12849</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510+31</f>
        <v>541</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475</v>
      </c>
      <c r="S91" s="25"/>
      <c r="T91" s="5"/>
    </row>
    <row r="92" spans="1:20" ht="15.6" x14ac:dyDescent="0.3">
      <c r="A92" s="24"/>
      <c r="B92" s="25" t="s">
        <v>154</v>
      </c>
      <c r="C92" s="25"/>
      <c r="D92" s="25"/>
      <c r="E92" s="25"/>
      <c r="F92" s="25"/>
      <c r="G92" s="25"/>
      <c r="H92" s="25"/>
      <c r="I92" s="25"/>
      <c r="J92" s="25"/>
      <c r="K92" s="25"/>
      <c r="L92" s="25"/>
      <c r="M92" s="25"/>
      <c r="N92" s="25"/>
      <c r="O92" s="25"/>
      <c r="P92" s="34"/>
      <c r="Q92" s="25"/>
      <c r="R92" s="53">
        <v>0</v>
      </c>
      <c r="S92" s="25"/>
      <c r="T92" s="5"/>
    </row>
    <row r="93" spans="1:20" ht="15.6" x14ac:dyDescent="0.3">
      <c r="A93" s="24"/>
      <c r="B93" s="25" t="s">
        <v>199</v>
      </c>
      <c r="C93" s="25"/>
      <c r="D93" s="25"/>
      <c r="E93" s="25"/>
      <c r="F93" s="25"/>
      <c r="G93" s="25"/>
      <c r="H93" s="25"/>
      <c r="I93" s="25"/>
      <c r="J93" s="25"/>
      <c r="K93" s="25"/>
      <c r="L93" s="25"/>
      <c r="M93" s="25"/>
      <c r="N93" s="25"/>
      <c r="O93" s="25"/>
      <c r="P93" s="34"/>
      <c r="Q93" s="25"/>
      <c r="R93" s="53">
        <v>194</v>
      </c>
      <c r="S93" s="25"/>
      <c r="T93" s="5"/>
    </row>
    <row r="94" spans="1:20" ht="15.6" x14ac:dyDescent="0.3">
      <c r="A94" s="24"/>
      <c r="B94" s="25" t="s">
        <v>35</v>
      </c>
      <c r="C94" s="25"/>
      <c r="D94" s="25"/>
      <c r="E94" s="25"/>
      <c r="F94" s="25"/>
      <c r="G94" s="25"/>
      <c r="H94" s="25"/>
      <c r="I94" s="25"/>
      <c r="J94" s="25"/>
      <c r="K94" s="25"/>
      <c r="L94" s="25"/>
      <c r="M94" s="25"/>
      <c r="N94" s="25"/>
      <c r="O94" s="25"/>
      <c r="P94" s="34">
        <f>SUM(P87:P93)</f>
        <v>37052</v>
      </c>
      <c r="Q94" s="25"/>
      <c r="R94" s="54">
        <f>SUM(R87:R93)</f>
        <v>14059</v>
      </c>
      <c r="S94" s="25"/>
      <c r="T94" s="5"/>
    </row>
    <row r="95" spans="1:20" ht="15.6" x14ac:dyDescent="0.3">
      <c r="A95" s="24"/>
      <c r="B95" s="25" t="s">
        <v>235</v>
      </c>
      <c r="C95" s="25"/>
      <c r="D95" s="25"/>
      <c r="E95" s="25"/>
      <c r="F95" s="25"/>
      <c r="G95" s="25"/>
      <c r="H95" s="25"/>
      <c r="I95" s="25"/>
      <c r="J95" s="25"/>
      <c r="K95" s="25"/>
      <c r="L95" s="25"/>
      <c r="M95" s="25"/>
      <c r="N95" s="25"/>
      <c r="O95" s="25"/>
      <c r="P95" s="34">
        <v>-36</v>
      </c>
      <c r="Q95" s="25"/>
      <c r="R95" s="54">
        <f>-P95</f>
        <v>36</v>
      </c>
      <c r="S95" s="25"/>
      <c r="T95" s="5"/>
    </row>
    <row r="96" spans="1:20" ht="15.6" x14ac:dyDescent="0.3">
      <c r="A96" s="24"/>
      <c r="B96" s="25" t="s">
        <v>36</v>
      </c>
      <c r="C96" s="25"/>
      <c r="D96" s="25"/>
      <c r="E96" s="25"/>
      <c r="F96" s="25"/>
      <c r="G96" s="25"/>
      <c r="H96" s="25"/>
      <c r="I96" s="25"/>
      <c r="J96" s="25"/>
      <c r="K96" s="25"/>
      <c r="L96" s="25"/>
      <c r="M96" s="25"/>
      <c r="N96" s="25"/>
      <c r="O96" s="25"/>
      <c r="P96" s="34">
        <f>-R96</f>
        <v>0</v>
      </c>
      <c r="Q96" s="25"/>
      <c r="R96" s="53">
        <v>0</v>
      </c>
      <c r="S96" s="25"/>
      <c r="T96" s="5"/>
    </row>
    <row r="97" spans="1:21" ht="15.6" x14ac:dyDescent="0.3">
      <c r="A97" s="24"/>
      <c r="B97" s="25" t="s">
        <v>37</v>
      </c>
      <c r="C97" s="25"/>
      <c r="D97" s="25"/>
      <c r="E97" s="25"/>
      <c r="F97" s="25"/>
      <c r="G97" s="25"/>
      <c r="H97" s="25"/>
      <c r="I97" s="25"/>
      <c r="J97" s="25"/>
      <c r="K97" s="25"/>
      <c r="L97" s="25"/>
      <c r="M97" s="25"/>
      <c r="N97" s="25"/>
      <c r="O97" s="25"/>
      <c r="P97" s="34">
        <f>P94+P96+P95</f>
        <v>37016</v>
      </c>
      <c r="Q97" s="25"/>
      <c r="R97" s="54">
        <f>R94+R96+R95</f>
        <v>14095</v>
      </c>
      <c r="S97" s="25"/>
      <c r="T97" s="5"/>
    </row>
    <row r="98" spans="1:21" ht="15.6" x14ac:dyDescent="0.3">
      <c r="A98" s="24"/>
      <c r="B98" s="119" t="s">
        <v>38</v>
      </c>
      <c r="C98" s="25"/>
      <c r="D98" s="25"/>
      <c r="E98" s="25"/>
      <c r="F98" s="25"/>
      <c r="G98" s="25"/>
      <c r="H98" s="25"/>
      <c r="I98" s="25"/>
      <c r="J98" s="25"/>
      <c r="K98" s="25"/>
      <c r="L98" s="25"/>
      <c r="M98" s="25"/>
      <c r="N98" s="25"/>
      <c r="O98" s="25"/>
      <c r="P98" s="34"/>
      <c r="Q98" s="25"/>
      <c r="R98" s="53"/>
      <c r="S98" s="25"/>
      <c r="T98" s="5"/>
    </row>
    <row r="99" spans="1:21" ht="15.6" x14ac:dyDescent="0.3">
      <c r="A99" s="24">
        <v>1</v>
      </c>
      <c r="B99" s="25" t="s">
        <v>39</v>
      </c>
      <c r="C99" s="25"/>
      <c r="D99" s="25"/>
      <c r="E99" s="25"/>
      <c r="F99" s="25"/>
      <c r="G99" s="25"/>
      <c r="H99" s="25"/>
      <c r="I99" s="25"/>
      <c r="J99" s="25"/>
      <c r="K99" s="25"/>
      <c r="L99" s="25"/>
      <c r="M99" s="25"/>
      <c r="N99" s="25"/>
      <c r="O99" s="25"/>
      <c r="P99" s="25"/>
      <c r="Q99" s="25"/>
      <c r="R99" s="53">
        <v>0</v>
      </c>
      <c r="S99" s="25"/>
      <c r="T99" s="5"/>
    </row>
    <row r="100" spans="1:21" ht="15.6" x14ac:dyDescent="0.3">
      <c r="A100" s="24">
        <f>+A99+1</f>
        <v>2</v>
      </c>
      <c r="B100" s="25" t="s">
        <v>40</v>
      </c>
      <c r="C100" s="25"/>
      <c r="D100" s="25"/>
      <c r="E100" s="25"/>
      <c r="F100" s="25"/>
      <c r="G100" s="25"/>
      <c r="H100" s="25"/>
      <c r="I100" s="25"/>
      <c r="J100" s="25"/>
      <c r="K100" s="25"/>
      <c r="L100" s="25"/>
      <c r="M100" s="25"/>
      <c r="N100" s="25"/>
      <c r="O100" s="25"/>
      <c r="P100" s="25"/>
      <c r="Q100" s="25"/>
      <c r="R100" s="53">
        <v>-2</v>
      </c>
      <c r="S100" s="25"/>
      <c r="T100" s="5"/>
    </row>
    <row r="101" spans="1:21" ht="15.6" x14ac:dyDescent="0.3">
      <c r="A101" s="24">
        <f>+A100+1</f>
        <v>3</v>
      </c>
      <c r="B101" s="25" t="s">
        <v>174</v>
      </c>
      <c r="C101" s="25"/>
      <c r="D101" s="25"/>
      <c r="E101" s="25"/>
      <c r="F101" s="25"/>
      <c r="G101" s="25"/>
      <c r="H101" s="25"/>
      <c r="I101" s="25"/>
      <c r="J101" s="25"/>
      <c r="K101" s="25"/>
      <c r="L101" s="25"/>
      <c r="M101" s="25"/>
      <c r="N101" s="25"/>
      <c r="O101" s="25"/>
      <c r="P101" s="25"/>
      <c r="Q101" s="25"/>
      <c r="R101" s="53">
        <f>-217-57-17</f>
        <v>-291</v>
      </c>
      <c r="S101" s="25"/>
      <c r="T101" s="5"/>
    </row>
    <row r="102" spans="1:21" ht="15.6" x14ac:dyDescent="0.3">
      <c r="A102" s="24" t="s">
        <v>146</v>
      </c>
      <c r="B102" s="25" t="s">
        <v>131</v>
      </c>
      <c r="C102" s="25"/>
      <c r="D102" s="25"/>
      <c r="E102" s="25"/>
      <c r="F102" s="25"/>
      <c r="G102" s="25"/>
      <c r="H102" s="25"/>
      <c r="I102" s="25"/>
      <c r="J102" s="25"/>
      <c r="K102" s="25"/>
      <c r="L102" s="25"/>
      <c r="M102" s="25"/>
      <c r="N102" s="25"/>
      <c r="O102" s="25"/>
      <c r="P102" s="25"/>
      <c r="Q102" s="25"/>
      <c r="R102" s="53">
        <v>-336</v>
      </c>
      <c r="S102" s="25"/>
      <c r="T102" s="5"/>
    </row>
    <row r="103" spans="1:21" ht="15.6" x14ac:dyDescent="0.3">
      <c r="A103" s="24" t="s">
        <v>147</v>
      </c>
      <c r="B103" s="25" t="s">
        <v>218</v>
      </c>
      <c r="C103" s="25"/>
      <c r="D103" s="25"/>
      <c r="E103" s="25"/>
      <c r="F103" s="25"/>
      <c r="G103" s="25"/>
      <c r="H103" s="25"/>
      <c r="I103" s="25"/>
      <c r="J103" s="25"/>
      <c r="K103" s="25"/>
      <c r="L103" s="25"/>
      <c r="M103" s="25"/>
      <c r="N103" s="25"/>
      <c r="O103" s="25"/>
      <c r="P103" s="25"/>
      <c r="Q103" s="25"/>
      <c r="R103" s="53">
        <v>-2</v>
      </c>
      <c r="S103" s="25"/>
      <c r="T103" s="5"/>
    </row>
    <row r="104" spans="1:21" ht="15.6" x14ac:dyDescent="0.3">
      <c r="A104" s="24" t="s">
        <v>176</v>
      </c>
      <c r="B104" s="25" t="s">
        <v>230</v>
      </c>
      <c r="C104" s="25"/>
      <c r="D104" s="25"/>
      <c r="E104" s="25"/>
      <c r="F104" s="25"/>
      <c r="G104" s="25"/>
      <c r="H104" s="25"/>
      <c r="I104" s="25"/>
      <c r="J104" s="25"/>
      <c r="K104" s="25"/>
      <c r="L104" s="25"/>
      <c r="M104" s="25"/>
      <c r="N104" s="25"/>
      <c r="O104" s="25"/>
      <c r="P104" s="25"/>
      <c r="Q104" s="25"/>
      <c r="R104" s="53">
        <v>-360</v>
      </c>
      <c r="S104" s="25"/>
      <c r="T104" s="5"/>
      <c r="U104" s="110"/>
    </row>
    <row r="105" spans="1:21" ht="15.6" x14ac:dyDescent="0.3">
      <c r="A105" s="24" t="s">
        <v>177</v>
      </c>
      <c r="B105" s="25" t="s">
        <v>231</v>
      </c>
      <c r="C105" s="25"/>
      <c r="D105" s="25"/>
      <c r="E105" s="25"/>
      <c r="F105" s="25"/>
      <c r="G105" s="25"/>
      <c r="H105" s="25"/>
      <c r="I105" s="25"/>
      <c r="J105" s="25"/>
      <c r="K105" s="25"/>
      <c r="L105" s="25"/>
      <c r="M105" s="25"/>
      <c r="N105" s="25"/>
      <c r="O105" s="25"/>
      <c r="P105" s="25"/>
      <c r="Q105" s="25"/>
      <c r="R105" s="53">
        <v>-1666</v>
      </c>
      <c r="S105" s="25"/>
      <c r="T105" s="5"/>
      <c r="U105" s="110"/>
    </row>
    <row r="106" spans="1:21" ht="15.6" x14ac:dyDescent="0.3">
      <c r="A106" s="24" t="s">
        <v>248</v>
      </c>
      <c r="B106" s="25" t="s">
        <v>232</v>
      </c>
      <c r="C106" s="25"/>
      <c r="D106" s="25"/>
      <c r="E106" s="25"/>
      <c r="F106" s="25"/>
      <c r="G106" s="25"/>
      <c r="H106" s="25"/>
      <c r="I106" s="25"/>
      <c r="J106" s="25"/>
      <c r="K106" s="25"/>
      <c r="L106" s="25"/>
      <c r="M106" s="25"/>
      <c r="N106" s="25"/>
      <c r="O106" s="25"/>
      <c r="P106" s="25"/>
      <c r="Q106" s="25"/>
      <c r="R106" s="53">
        <v>-3683</v>
      </c>
      <c r="S106" s="25"/>
      <c r="T106" s="5"/>
    </row>
    <row r="107" spans="1:21" ht="15.6" x14ac:dyDescent="0.3">
      <c r="A107" s="24" t="s">
        <v>205</v>
      </c>
      <c r="B107" s="25" t="s">
        <v>233</v>
      </c>
      <c r="C107" s="25"/>
      <c r="D107" s="25"/>
      <c r="E107" s="25"/>
      <c r="F107" s="25"/>
      <c r="G107" s="25"/>
      <c r="H107" s="25"/>
      <c r="I107" s="25"/>
      <c r="J107" s="25"/>
      <c r="K107" s="25"/>
      <c r="L107" s="25"/>
      <c r="M107" s="25"/>
      <c r="N107" s="25"/>
      <c r="O107" s="25"/>
      <c r="P107" s="25"/>
      <c r="Q107" s="25"/>
      <c r="R107" s="53">
        <v>-3835</v>
      </c>
      <c r="S107" s="25"/>
      <c r="T107" s="5"/>
      <c r="U107" s="110"/>
    </row>
    <row r="108" spans="1:21" ht="15.6" x14ac:dyDescent="0.3">
      <c r="A108" s="24" t="s">
        <v>249</v>
      </c>
      <c r="B108" s="25" t="s">
        <v>234</v>
      </c>
      <c r="C108" s="25"/>
      <c r="D108" s="25"/>
      <c r="E108" s="25"/>
      <c r="F108" s="25"/>
      <c r="G108" s="25"/>
      <c r="H108" s="25"/>
      <c r="I108" s="25"/>
      <c r="J108" s="25"/>
      <c r="K108" s="25"/>
      <c r="L108" s="25"/>
      <c r="M108" s="25"/>
      <c r="N108" s="25"/>
      <c r="O108" s="25"/>
      <c r="P108" s="25"/>
      <c r="Q108" s="25"/>
      <c r="R108" s="53">
        <v>-860</v>
      </c>
      <c r="S108" s="25"/>
      <c r="T108" s="5"/>
      <c r="U108" s="110"/>
    </row>
    <row r="109" spans="1:21" ht="15.6" x14ac:dyDescent="0.3">
      <c r="A109" s="24" t="s">
        <v>250</v>
      </c>
      <c r="B109" s="25" t="s">
        <v>168</v>
      </c>
      <c r="C109" s="25"/>
      <c r="D109" s="25"/>
      <c r="E109" s="25"/>
      <c r="F109" s="25"/>
      <c r="G109" s="25"/>
      <c r="H109" s="25"/>
      <c r="I109" s="25"/>
      <c r="J109" s="25"/>
      <c r="K109" s="25"/>
      <c r="L109" s="25"/>
      <c r="M109" s="25"/>
      <c r="N109" s="25"/>
      <c r="O109" s="25"/>
      <c r="P109" s="25"/>
      <c r="Q109" s="25"/>
      <c r="R109" s="53">
        <v>-467</v>
      </c>
      <c r="S109" s="25"/>
      <c r="T109" s="5"/>
    </row>
    <row r="110" spans="1:21" ht="15.6" x14ac:dyDescent="0.3">
      <c r="A110" s="24">
        <v>6</v>
      </c>
      <c r="B110" s="25" t="s">
        <v>41</v>
      </c>
      <c r="C110" s="25"/>
      <c r="D110" s="25"/>
      <c r="E110" s="25"/>
      <c r="F110" s="25"/>
      <c r="G110" s="25"/>
      <c r="H110" s="25"/>
      <c r="I110" s="25"/>
      <c r="J110" s="25"/>
      <c r="K110" s="25"/>
      <c r="L110" s="25"/>
      <c r="M110" s="25"/>
      <c r="N110" s="25"/>
      <c r="O110" s="25"/>
      <c r="P110" s="25"/>
      <c r="Q110" s="25"/>
      <c r="R110" s="53">
        <v>-8</v>
      </c>
      <c r="S110" s="25"/>
      <c r="T110" s="5"/>
    </row>
    <row r="111" spans="1:21" ht="15.6" x14ac:dyDescent="0.3">
      <c r="A111" s="24">
        <f t="shared" ref="A111:A116" si="0">+A110+1</f>
        <v>7</v>
      </c>
      <c r="B111" s="25" t="s">
        <v>53</v>
      </c>
      <c r="C111" s="25"/>
      <c r="D111" s="25"/>
      <c r="E111" s="25"/>
      <c r="F111" s="25"/>
      <c r="G111" s="25"/>
      <c r="H111" s="25"/>
      <c r="I111" s="25"/>
      <c r="J111" s="25"/>
      <c r="K111" s="25"/>
      <c r="L111" s="25"/>
      <c r="M111" s="25"/>
      <c r="N111" s="25"/>
      <c r="O111" s="25"/>
      <c r="P111" s="25"/>
      <c r="Q111" s="25"/>
      <c r="R111" s="53">
        <v>0</v>
      </c>
      <c r="S111" s="25"/>
      <c r="T111" s="5"/>
    </row>
    <row r="112" spans="1:21" ht="15.6" x14ac:dyDescent="0.3">
      <c r="A112" s="24">
        <f t="shared" si="0"/>
        <v>8</v>
      </c>
      <c r="B112" s="25" t="s">
        <v>144</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9</v>
      </c>
      <c r="B113" s="25" t="s">
        <v>42</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10</v>
      </c>
      <c r="B114" s="25" t="s">
        <v>43</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11</v>
      </c>
      <c r="B115" s="25" t="s">
        <v>175</v>
      </c>
      <c r="C115" s="25"/>
      <c r="D115" s="25"/>
      <c r="E115" s="25"/>
      <c r="F115" s="25"/>
      <c r="G115" s="25"/>
      <c r="H115" s="25"/>
      <c r="I115" s="25"/>
      <c r="J115" s="25"/>
      <c r="K115" s="25"/>
      <c r="L115" s="25"/>
      <c r="M115" s="25"/>
      <c r="N115" s="25"/>
      <c r="O115" s="25"/>
      <c r="P115" s="25"/>
      <c r="Q115" s="25"/>
      <c r="R115" s="53">
        <v>-442</v>
      </c>
      <c r="S115" s="25"/>
      <c r="T115" s="5"/>
    </row>
    <row r="116" spans="1:20" ht="15.6" x14ac:dyDescent="0.3">
      <c r="A116" s="24">
        <f t="shared" si="0"/>
        <v>12</v>
      </c>
      <c r="B116" s="25" t="s">
        <v>145</v>
      </c>
      <c r="C116" s="25"/>
      <c r="D116" s="25"/>
      <c r="E116" s="25"/>
      <c r="F116" s="25"/>
      <c r="G116" s="25"/>
      <c r="H116" s="25"/>
      <c r="I116" s="25"/>
      <c r="J116" s="25"/>
      <c r="K116" s="25"/>
      <c r="L116" s="25"/>
      <c r="M116" s="25"/>
      <c r="N116" s="25"/>
      <c r="O116" s="25"/>
      <c r="P116" s="25"/>
      <c r="Q116" s="25"/>
      <c r="R116" s="53">
        <f>-R97-SUM(R99:R115)</f>
        <v>-2143</v>
      </c>
      <c r="S116" s="25"/>
      <c r="T116" s="5"/>
    </row>
    <row r="117" spans="1:20" ht="15.6" x14ac:dyDescent="0.3">
      <c r="A117" s="24"/>
      <c r="B117" s="119" t="s">
        <v>44</v>
      </c>
      <c r="C117" s="25"/>
      <c r="D117" s="25"/>
      <c r="E117" s="25"/>
      <c r="F117" s="25"/>
      <c r="G117" s="25"/>
      <c r="H117" s="25"/>
      <c r="I117" s="25"/>
      <c r="J117" s="25"/>
      <c r="K117" s="25"/>
      <c r="L117" s="25"/>
      <c r="M117" s="25"/>
      <c r="N117" s="25"/>
      <c r="O117" s="25"/>
      <c r="P117" s="25"/>
      <c r="Q117" s="25"/>
      <c r="R117" s="59"/>
      <c r="S117" s="25"/>
      <c r="T117" s="5"/>
    </row>
    <row r="118" spans="1:20" ht="15.6" x14ac:dyDescent="0.3">
      <c r="A118" s="24"/>
      <c r="B118" s="25" t="s">
        <v>45</v>
      </c>
      <c r="C118" s="25"/>
      <c r="D118" s="25"/>
      <c r="E118" s="25"/>
      <c r="F118" s="25"/>
      <c r="G118" s="25"/>
      <c r="H118" s="25"/>
      <c r="I118" s="25"/>
      <c r="J118" s="25"/>
      <c r="K118" s="25"/>
      <c r="L118" s="25"/>
      <c r="M118" s="25"/>
      <c r="N118" s="25"/>
      <c r="O118" s="25"/>
      <c r="P118" s="34">
        <v>-195</v>
      </c>
      <c r="Q118" s="34"/>
      <c r="R118" s="53"/>
      <c r="S118" s="25"/>
      <c r="T118" s="5"/>
    </row>
    <row r="119" spans="1:20" ht="15.6" x14ac:dyDescent="0.3">
      <c r="A119" s="24"/>
      <c r="B119" s="25" t="s">
        <v>46</v>
      </c>
      <c r="C119" s="25"/>
      <c r="D119" s="25"/>
      <c r="E119" s="25"/>
      <c r="F119" s="25"/>
      <c r="G119" s="25"/>
      <c r="H119" s="25"/>
      <c r="I119" s="25"/>
      <c r="J119" s="25"/>
      <c r="K119" s="25"/>
      <c r="L119" s="25"/>
      <c r="M119" s="25"/>
      <c r="N119" s="25"/>
      <c r="O119" s="25"/>
      <c r="P119" s="34">
        <f>-O173</f>
        <v>-4853</v>
      </c>
      <c r="Q119" s="34"/>
      <c r="R119" s="53"/>
      <c r="S119" s="25"/>
      <c r="T119" s="5"/>
    </row>
    <row r="120" spans="1:20" ht="15.6" x14ac:dyDescent="0.3">
      <c r="A120" s="24"/>
      <c r="B120" s="25" t="s">
        <v>219</v>
      </c>
      <c r="C120" s="25"/>
      <c r="D120" s="25"/>
      <c r="E120" s="25"/>
      <c r="F120" s="25"/>
      <c r="G120" s="25"/>
      <c r="H120" s="25"/>
      <c r="I120" s="25"/>
      <c r="J120" s="25"/>
      <c r="K120" s="25"/>
      <c r="L120" s="25"/>
      <c r="M120" s="25"/>
      <c r="N120" s="25"/>
      <c r="O120" s="25"/>
      <c r="P120" s="34">
        <v>-5709</v>
      </c>
      <c r="Q120" s="34"/>
      <c r="R120" s="53"/>
      <c r="S120" s="25"/>
      <c r="T120" s="5"/>
    </row>
    <row r="121" spans="1:20" ht="15.6" x14ac:dyDescent="0.3">
      <c r="A121" s="24"/>
      <c r="B121" s="25" t="s">
        <v>220</v>
      </c>
      <c r="C121" s="25"/>
      <c r="D121" s="25"/>
      <c r="E121" s="25"/>
      <c r="F121" s="25"/>
      <c r="G121" s="25"/>
      <c r="H121" s="25"/>
      <c r="I121" s="25"/>
      <c r="J121" s="25"/>
      <c r="K121" s="25"/>
      <c r="L121" s="25"/>
      <c r="M121" s="25"/>
      <c r="N121" s="25"/>
      <c r="O121" s="25"/>
      <c r="P121" s="34">
        <v>-26259</v>
      </c>
      <c r="Q121" s="34"/>
      <c r="R121" s="53"/>
      <c r="S121" s="25"/>
      <c r="T121" s="5"/>
    </row>
    <row r="122" spans="1:20" ht="15.6" x14ac:dyDescent="0.3">
      <c r="A122" s="24"/>
      <c r="B122" s="25" t="s">
        <v>221</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222</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223</v>
      </c>
      <c r="C124" s="25"/>
      <c r="D124" s="25"/>
      <c r="E124" s="25"/>
      <c r="F124" s="25"/>
      <c r="G124" s="25"/>
      <c r="H124" s="25"/>
      <c r="I124" s="25"/>
      <c r="J124" s="25"/>
      <c r="K124" s="25"/>
      <c r="L124" s="25"/>
      <c r="M124" s="25"/>
      <c r="N124" s="25"/>
      <c r="O124" s="25"/>
      <c r="P124" s="34">
        <v>0</v>
      </c>
      <c r="Q124" s="34"/>
      <c r="R124" s="53"/>
      <c r="S124" s="25"/>
      <c r="T124" s="5"/>
    </row>
    <row r="125" spans="1:20" ht="15.6" x14ac:dyDescent="0.3">
      <c r="A125" s="24"/>
      <c r="B125" s="25" t="s">
        <v>173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47</v>
      </c>
      <c r="C126" s="25"/>
      <c r="D126" s="25"/>
      <c r="E126" s="25"/>
      <c r="F126" s="25"/>
      <c r="G126" s="25"/>
      <c r="H126" s="25"/>
      <c r="I126" s="25"/>
      <c r="J126" s="25"/>
      <c r="K126" s="25"/>
      <c r="L126" s="25"/>
      <c r="M126" s="25"/>
      <c r="N126" s="25"/>
      <c r="O126" s="25"/>
      <c r="P126" s="34">
        <f>SUM(P118:P125)</f>
        <v>-37016</v>
      </c>
      <c r="Q126" s="34"/>
      <c r="R126" s="34">
        <f>SUM(R98:R125)</f>
        <v>-14095</v>
      </c>
      <c r="S126" s="25"/>
      <c r="T126" s="5"/>
    </row>
    <row r="127" spans="1:20" ht="15.6" x14ac:dyDescent="0.3">
      <c r="A127" s="24"/>
      <c r="B127" s="25" t="s">
        <v>48</v>
      </c>
      <c r="C127" s="25"/>
      <c r="D127" s="25"/>
      <c r="E127" s="25"/>
      <c r="F127" s="25"/>
      <c r="G127" s="25"/>
      <c r="H127" s="25"/>
      <c r="I127" s="25"/>
      <c r="J127" s="25"/>
      <c r="K127" s="25"/>
      <c r="L127" s="25"/>
      <c r="M127" s="25"/>
      <c r="N127" s="25"/>
      <c r="O127" s="25"/>
      <c r="P127" s="34">
        <f>P97+P126</f>
        <v>0</v>
      </c>
      <c r="Q127" s="34"/>
      <c r="R127" s="34">
        <f>R97+R126</f>
        <v>0</v>
      </c>
      <c r="S127" s="25"/>
      <c r="T127" s="5"/>
    </row>
    <row r="128" spans="1:20" ht="15.6" x14ac:dyDescent="0.3">
      <c r="A128" s="24"/>
      <c r="B128" s="25"/>
      <c r="C128" s="25"/>
      <c r="D128" s="25"/>
      <c r="E128" s="25"/>
      <c r="F128" s="25"/>
      <c r="G128" s="25"/>
      <c r="H128" s="25"/>
      <c r="I128" s="25"/>
      <c r="J128" s="25"/>
      <c r="K128" s="25"/>
      <c r="L128" s="25"/>
      <c r="M128" s="25"/>
      <c r="N128" s="25"/>
      <c r="O128" s="25"/>
      <c r="P128" s="34"/>
      <c r="Q128" s="34"/>
      <c r="R128" s="34"/>
      <c r="S128" s="25"/>
      <c r="T128" s="5"/>
    </row>
    <row r="129" spans="1:21" ht="15.6" x14ac:dyDescent="0.3">
      <c r="A129" s="6"/>
      <c r="B129" s="8"/>
      <c r="C129" s="8"/>
      <c r="D129" s="8"/>
      <c r="E129" s="8"/>
      <c r="F129" s="8"/>
      <c r="G129" s="8"/>
      <c r="H129" s="8"/>
      <c r="I129" s="8"/>
      <c r="J129" s="8"/>
      <c r="K129" s="8"/>
      <c r="L129" s="8"/>
      <c r="M129" s="8"/>
      <c r="N129" s="8"/>
      <c r="O129" s="8"/>
      <c r="P129" s="8"/>
      <c r="Q129" s="8"/>
      <c r="R129" s="52"/>
      <c r="S129" s="8"/>
      <c r="T129" s="5"/>
    </row>
    <row r="130" spans="1:21" ht="18" thickBot="1" x14ac:dyDescent="0.35">
      <c r="A130" s="102"/>
      <c r="B130" s="103" t="str">
        <f>B62</f>
        <v>PM8 INVESTOR REPORT QUARTER ENDING MARCH 2006</v>
      </c>
      <c r="C130" s="104"/>
      <c r="D130" s="104"/>
      <c r="E130" s="104"/>
      <c r="F130" s="104"/>
      <c r="G130" s="104"/>
      <c r="H130" s="104"/>
      <c r="I130" s="104"/>
      <c r="J130" s="104"/>
      <c r="K130" s="104"/>
      <c r="L130" s="104"/>
      <c r="M130" s="104"/>
      <c r="N130" s="104"/>
      <c r="O130" s="104"/>
      <c r="P130" s="104"/>
      <c r="Q130" s="104"/>
      <c r="R130" s="107"/>
      <c r="S130" s="106"/>
      <c r="T130" s="5"/>
    </row>
    <row r="131" spans="1:21" ht="15.6" x14ac:dyDescent="0.3">
      <c r="A131" s="2"/>
      <c r="B131" s="60" t="s">
        <v>49</v>
      </c>
      <c r="C131" s="4"/>
      <c r="D131" s="4"/>
      <c r="E131" s="4"/>
      <c r="F131" s="4"/>
      <c r="G131" s="4"/>
      <c r="H131" s="4"/>
      <c r="I131" s="4"/>
      <c r="J131" s="4"/>
      <c r="K131" s="4"/>
      <c r="L131" s="4"/>
      <c r="M131" s="4"/>
      <c r="N131" s="4"/>
      <c r="O131" s="4"/>
      <c r="P131" s="4"/>
      <c r="Q131" s="4"/>
      <c r="R131" s="50"/>
      <c r="S131" s="4"/>
      <c r="T131" s="5"/>
    </row>
    <row r="132" spans="1:21" ht="15.6" x14ac:dyDescent="0.3">
      <c r="A132" s="6"/>
      <c r="B132" s="21"/>
      <c r="C132" s="8"/>
      <c r="D132" s="8"/>
      <c r="E132" s="8"/>
      <c r="F132" s="8"/>
      <c r="G132" s="8"/>
      <c r="H132" s="8"/>
      <c r="I132" s="8"/>
      <c r="J132" s="8"/>
      <c r="K132" s="8"/>
      <c r="L132" s="8"/>
      <c r="M132" s="8"/>
      <c r="N132" s="8"/>
      <c r="O132" s="8"/>
      <c r="P132" s="8"/>
      <c r="Q132" s="8"/>
      <c r="R132" s="52"/>
      <c r="S132" s="8"/>
      <c r="T132" s="5"/>
    </row>
    <row r="133" spans="1:21" ht="15.6" x14ac:dyDescent="0.3">
      <c r="A133" s="6"/>
      <c r="B133" s="120" t="s">
        <v>50</v>
      </c>
      <c r="C133" s="8"/>
      <c r="D133" s="8"/>
      <c r="E133" s="8"/>
      <c r="F133" s="8"/>
      <c r="G133" s="8"/>
      <c r="H133" s="8"/>
      <c r="I133" s="8"/>
      <c r="J133" s="8"/>
      <c r="K133" s="8"/>
      <c r="L133" s="8"/>
      <c r="M133" s="8"/>
      <c r="N133" s="8"/>
      <c r="O133" s="8"/>
      <c r="P133" s="8"/>
      <c r="Q133" s="8"/>
      <c r="R133" s="52"/>
      <c r="S133" s="8"/>
      <c r="T133" s="5"/>
    </row>
    <row r="134" spans="1:21" ht="15.6" x14ac:dyDescent="0.3">
      <c r="A134" s="24"/>
      <c r="B134" s="25" t="s">
        <v>51</v>
      </c>
      <c r="C134" s="25"/>
      <c r="D134" s="25"/>
      <c r="E134" s="25"/>
      <c r="F134" s="25"/>
      <c r="G134" s="25"/>
      <c r="H134" s="25"/>
      <c r="I134" s="25"/>
      <c r="J134" s="25"/>
      <c r="K134" s="25"/>
      <c r="L134" s="25"/>
      <c r="M134" s="25"/>
      <c r="N134" s="25"/>
      <c r="O134" s="25"/>
      <c r="P134" s="25"/>
      <c r="Q134" s="25"/>
      <c r="R134" s="53">
        <f>+R33*0.019</f>
        <v>19000</v>
      </c>
      <c r="S134" s="25"/>
      <c r="T134" s="5"/>
    </row>
    <row r="135" spans="1:21" ht="15.6" x14ac:dyDescent="0.3">
      <c r="A135" s="24"/>
      <c r="B135" s="25" t="s">
        <v>52</v>
      </c>
      <c r="C135" s="25"/>
      <c r="D135" s="25"/>
      <c r="E135" s="25"/>
      <c r="F135" s="25"/>
      <c r="G135" s="25"/>
      <c r="H135" s="25"/>
      <c r="I135" s="25"/>
      <c r="J135" s="25"/>
      <c r="K135" s="25"/>
      <c r="L135" s="25"/>
      <c r="M135" s="25"/>
      <c r="N135" s="25"/>
      <c r="O135" s="25"/>
      <c r="P135" s="25"/>
      <c r="Q135" s="25"/>
      <c r="R135" s="53">
        <v>0</v>
      </c>
      <c r="S135" s="25"/>
      <c r="T135" s="5"/>
    </row>
    <row r="136" spans="1:21" ht="15.6" x14ac:dyDescent="0.3">
      <c r="A136" s="24"/>
      <c r="B136" s="25" t="s">
        <v>155</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142</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143</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53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148</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203</v>
      </c>
      <c r="C141" s="25"/>
      <c r="D141" s="25"/>
      <c r="E141" s="25"/>
      <c r="F141" s="25"/>
      <c r="G141" s="25"/>
      <c r="H141" s="25"/>
      <c r="I141" s="25"/>
      <c r="J141" s="25"/>
      <c r="K141" s="25"/>
      <c r="L141" s="25"/>
      <c r="M141" s="25"/>
      <c r="N141" s="25"/>
      <c r="O141" s="25"/>
      <c r="P141" s="25"/>
      <c r="Q141" s="25"/>
      <c r="R141" s="53">
        <v>0</v>
      </c>
      <c r="S141" s="25"/>
      <c r="T141" s="5"/>
      <c r="U141" s="110"/>
    </row>
    <row r="142" spans="1:21" ht="15.6" x14ac:dyDescent="0.3">
      <c r="A142" s="24"/>
      <c r="B142" s="25" t="s">
        <v>54</v>
      </c>
      <c r="C142" s="25"/>
      <c r="D142" s="25"/>
      <c r="E142" s="25"/>
      <c r="F142" s="25"/>
      <c r="G142" s="25"/>
      <c r="H142" s="25"/>
      <c r="I142" s="25"/>
      <c r="J142" s="25"/>
      <c r="K142" s="25"/>
      <c r="L142" s="25"/>
      <c r="M142" s="25"/>
      <c r="N142" s="25"/>
      <c r="O142" s="25"/>
      <c r="P142" s="25"/>
      <c r="Q142" s="25"/>
      <c r="R142" s="53">
        <f>SUM(R134:R141)</f>
        <v>19000</v>
      </c>
      <c r="S142" s="25"/>
      <c r="T142" s="5"/>
    </row>
    <row r="143" spans="1:21" ht="15.6" x14ac:dyDescent="0.3">
      <c r="A143" s="24"/>
      <c r="B143" s="25"/>
      <c r="C143" s="25"/>
      <c r="D143" s="25"/>
      <c r="E143" s="25"/>
      <c r="F143" s="25"/>
      <c r="G143" s="25"/>
      <c r="H143" s="25"/>
      <c r="I143" s="25"/>
      <c r="J143" s="25"/>
      <c r="K143" s="25"/>
      <c r="L143" s="25"/>
      <c r="M143" s="25"/>
      <c r="N143" s="25"/>
      <c r="O143" s="25"/>
      <c r="P143" s="25"/>
      <c r="Q143" s="25"/>
      <c r="R143" s="53"/>
      <c r="S143" s="25"/>
      <c r="T143" s="5"/>
    </row>
    <row r="144" spans="1:21" ht="15.6" x14ac:dyDescent="0.3">
      <c r="A144" s="24"/>
      <c r="B144" s="141" t="s">
        <v>264</v>
      </c>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25" t="s">
        <v>206</v>
      </c>
      <c r="C145" s="25"/>
      <c r="D145" s="25"/>
      <c r="E145" s="25"/>
      <c r="F145" s="25"/>
      <c r="G145" s="25"/>
      <c r="H145" s="25"/>
      <c r="I145" s="25"/>
      <c r="J145" s="25"/>
      <c r="K145" s="25"/>
      <c r="L145" s="25"/>
      <c r="M145" s="25"/>
      <c r="N145" s="25"/>
      <c r="O145" s="25"/>
      <c r="P145" s="25"/>
      <c r="Q145" s="25"/>
      <c r="R145" s="53">
        <f>+R33*0.005</f>
        <v>5000</v>
      </c>
      <c r="S145" s="25"/>
      <c r="T145" s="5"/>
    </row>
    <row r="146" spans="1:20" ht="15.6" x14ac:dyDescent="0.3">
      <c r="A146" s="24"/>
      <c r="B146" s="25" t="s">
        <v>260</v>
      </c>
      <c r="C146" s="25"/>
      <c r="D146" s="25"/>
      <c r="E146" s="25"/>
      <c r="F146" s="25"/>
      <c r="G146" s="25"/>
      <c r="H146" s="25"/>
      <c r="I146" s="25"/>
      <c r="J146" s="25"/>
      <c r="K146" s="25"/>
      <c r="L146" s="25"/>
      <c r="M146" s="25"/>
      <c r="N146" s="25"/>
      <c r="O146" s="25"/>
      <c r="P146" s="25"/>
      <c r="Q146" s="25"/>
      <c r="R146" s="53">
        <v>0</v>
      </c>
      <c r="S146" s="25"/>
      <c r="T146" s="5"/>
    </row>
    <row r="147" spans="1:20" ht="15.6" x14ac:dyDescent="0.3">
      <c r="A147" s="24"/>
      <c r="B147" s="25" t="s">
        <v>265</v>
      </c>
      <c r="C147" s="25"/>
      <c r="D147" s="25"/>
      <c r="E147" s="25"/>
      <c r="F147" s="25"/>
      <c r="G147" s="25"/>
      <c r="H147" s="25"/>
      <c r="I147" s="25"/>
      <c r="J147" s="25"/>
      <c r="K147" s="25"/>
      <c r="L147" s="25"/>
      <c r="M147" s="25"/>
      <c r="N147" s="25"/>
      <c r="O147" s="25"/>
      <c r="P147" s="25"/>
      <c r="Q147" s="25"/>
      <c r="R147" s="53">
        <f>SUM(R145:R146)</f>
        <v>5000</v>
      </c>
      <c r="S147" s="25"/>
      <c r="T147" s="5"/>
    </row>
    <row r="148" spans="1:20" ht="15.6" x14ac:dyDescent="0.3">
      <c r="A148" s="24"/>
      <c r="B148" s="25"/>
      <c r="C148" s="25"/>
      <c r="D148" s="25"/>
      <c r="E148" s="25"/>
      <c r="F148" s="25"/>
      <c r="G148" s="25"/>
      <c r="H148" s="25"/>
      <c r="I148" s="25"/>
      <c r="J148" s="25"/>
      <c r="K148" s="25"/>
      <c r="L148" s="25"/>
      <c r="M148" s="25"/>
      <c r="N148" s="25"/>
      <c r="O148" s="25"/>
      <c r="P148" s="25"/>
      <c r="Q148" s="25"/>
      <c r="R148" s="53"/>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61"/>
      <c r="S149" s="25"/>
      <c r="T149" s="5"/>
    </row>
    <row r="150" spans="1:20" ht="15.6" x14ac:dyDescent="0.3">
      <c r="A150" s="6"/>
      <c r="B150" s="120" t="s">
        <v>28</v>
      </c>
      <c r="C150" s="8"/>
      <c r="D150" s="8"/>
      <c r="E150" s="8"/>
      <c r="F150" s="8"/>
      <c r="G150" s="8"/>
      <c r="H150" s="8"/>
      <c r="I150" s="8"/>
      <c r="J150" s="8"/>
      <c r="K150" s="8"/>
      <c r="L150" s="8"/>
      <c r="M150" s="8"/>
      <c r="N150" s="8"/>
      <c r="O150" s="8"/>
      <c r="P150" s="8"/>
      <c r="Q150" s="8"/>
      <c r="R150" s="52"/>
      <c r="S150" s="8"/>
      <c r="T150" s="5"/>
    </row>
    <row r="151" spans="1:20" ht="15.6" x14ac:dyDescent="0.3">
      <c r="A151" s="24"/>
      <c r="B151" s="25" t="s">
        <v>55</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56</v>
      </c>
      <c r="C152" s="146"/>
      <c r="D152" s="146"/>
      <c r="E152" s="146"/>
      <c r="F152" s="146"/>
      <c r="G152" s="146"/>
      <c r="H152" s="146"/>
      <c r="I152" s="146"/>
      <c r="J152" s="146"/>
      <c r="K152" s="146"/>
      <c r="L152" s="146"/>
      <c r="M152" s="146"/>
      <c r="N152" s="146"/>
      <c r="O152" s="146"/>
      <c r="P152" s="146"/>
      <c r="Q152" s="146"/>
      <c r="R152" s="59" t="s">
        <v>137</v>
      </c>
      <c r="S152" s="25"/>
      <c r="T152" s="5"/>
    </row>
    <row r="153" spans="1:20" ht="15.6" x14ac:dyDescent="0.3">
      <c r="A153" s="24"/>
      <c r="B153" s="25" t="s">
        <v>57</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58</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c r="C155" s="25"/>
      <c r="D155" s="25"/>
      <c r="E155" s="25"/>
      <c r="F155" s="25"/>
      <c r="G155" s="25"/>
      <c r="H155" s="25"/>
      <c r="I155" s="25"/>
      <c r="J155" s="25"/>
      <c r="K155" s="25"/>
      <c r="L155" s="25"/>
      <c r="M155" s="25"/>
      <c r="N155" s="25"/>
      <c r="O155" s="25"/>
      <c r="P155" s="25"/>
      <c r="Q155" s="25"/>
      <c r="R155" s="61"/>
      <c r="S155" s="25"/>
      <c r="T155" s="5"/>
    </row>
    <row r="156" spans="1:20" ht="15.6" x14ac:dyDescent="0.3">
      <c r="A156" s="6"/>
      <c r="B156" s="120" t="s">
        <v>59</v>
      </c>
      <c r="C156" s="8"/>
      <c r="D156" s="8"/>
      <c r="E156" s="8"/>
      <c r="F156" s="8"/>
      <c r="G156" s="8"/>
      <c r="H156" s="8"/>
      <c r="I156" s="8"/>
      <c r="J156" s="8"/>
      <c r="K156" s="8"/>
      <c r="L156" s="8"/>
      <c r="M156" s="8"/>
      <c r="N156" s="8"/>
      <c r="O156" s="8"/>
      <c r="P156" s="8"/>
      <c r="Q156" s="8"/>
      <c r="R156" s="63"/>
      <c r="S156" s="8"/>
      <c r="T156" s="5"/>
    </row>
    <row r="157" spans="1:20" ht="15.6" x14ac:dyDescent="0.3">
      <c r="A157" s="24"/>
      <c r="B157" s="25" t="s">
        <v>60</v>
      </c>
      <c r="C157" s="25"/>
      <c r="D157" s="25"/>
      <c r="E157" s="25"/>
      <c r="F157" s="25"/>
      <c r="G157" s="25"/>
      <c r="H157" s="25"/>
      <c r="I157" s="25"/>
      <c r="J157" s="25"/>
      <c r="K157" s="25"/>
      <c r="L157" s="25"/>
      <c r="M157" s="25"/>
      <c r="N157" s="25"/>
      <c r="O157" s="25"/>
      <c r="P157" s="25"/>
      <c r="Q157" s="25"/>
      <c r="R157" s="53">
        <v>0</v>
      </c>
      <c r="S157" s="25"/>
      <c r="T157" s="5"/>
    </row>
    <row r="158" spans="1:20" ht="15.6" x14ac:dyDescent="0.3">
      <c r="A158" s="24"/>
      <c r="B158" s="25" t="s">
        <v>61</v>
      </c>
      <c r="C158" s="25"/>
      <c r="D158" s="25"/>
      <c r="E158" s="25"/>
      <c r="F158" s="25"/>
      <c r="G158" s="25"/>
      <c r="H158" s="25"/>
      <c r="I158" s="25"/>
      <c r="J158" s="25"/>
      <c r="K158" s="25"/>
      <c r="L158" s="25"/>
      <c r="M158" s="25"/>
      <c r="N158" s="25"/>
      <c r="O158" s="25"/>
      <c r="P158" s="25"/>
      <c r="Q158" s="25"/>
      <c r="R158" s="53">
        <v>0</v>
      </c>
      <c r="S158" s="25"/>
      <c r="T158" s="5"/>
    </row>
    <row r="159" spans="1:20" ht="15.6" x14ac:dyDescent="0.3">
      <c r="A159" s="24"/>
      <c r="B159" s="25" t="s">
        <v>62</v>
      </c>
      <c r="C159" s="25"/>
      <c r="D159" s="25"/>
      <c r="E159" s="25"/>
      <c r="F159" s="25"/>
      <c r="G159" s="25"/>
      <c r="H159" s="25"/>
      <c r="I159" s="25"/>
      <c r="J159" s="25"/>
      <c r="K159" s="25"/>
      <c r="L159" s="25"/>
      <c r="M159" s="25"/>
      <c r="N159" s="25"/>
      <c r="O159" s="25"/>
      <c r="P159" s="25"/>
      <c r="Q159" s="25"/>
      <c r="R159" s="53">
        <f>R158+R157</f>
        <v>0</v>
      </c>
      <c r="S159" s="25"/>
      <c r="T159" s="5"/>
    </row>
    <row r="160" spans="1:20" ht="15.6" x14ac:dyDescent="0.3">
      <c r="A160" s="24"/>
      <c r="B160" s="155" t="s">
        <v>308</v>
      </c>
      <c r="C160" s="25"/>
      <c r="D160" s="25"/>
      <c r="E160" s="25"/>
      <c r="F160" s="25"/>
      <c r="G160" s="25"/>
      <c r="H160" s="25"/>
      <c r="I160" s="25"/>
      <c r="J160" s="25"/>
      <c r="K160" s="25"/>
      <c r="L160" s="25"/>
      <c r="M160" s="25"/>
      <c r="N160" s="25"/>
      <c r="O160" s="25"/>
      <c r="P160" s="25"/>
      <c r="Q160" s="25"/>
      <c r="R160" s="53">
        <f>R112</f>
        <v>0</v>
      </c>
      <c r="S160" s="25"/>
      <c r="T160" s="5"/>
    </row>
    <row r="161" spans="1:20" ht="15.6" x14ac:dyDescent="0.3">
      <c r="A161" s="24"/>
      <c r="B161" s="25" t="s">
        <v>63</v>
      </c>
      <c r="C161" s="25"/>
      <c r="D161" s="25"/>
      <c r="E161" s="25"/>
      <c r="F161" s="25"/>
      <c r="G161" s="25"/>
      <c r="H161" s="25"/>
      <c r="I161" s="25"/>
      <c r="J161" s="25"/>
      <c r="K161" s="25"/>
      <c r="L161" s="25"/>
      <c r="M161" s="25"/>
      <c r="N161" s="25"/>
      <c r="O161" s="25"/>
      <c r="P161" s="25"/>
      <c r="Q161" s="25"/>
      <c r="R161" s="53">
        <f>R159+R160</f>
        <v>0</v>
      </c>
      <c r="S161" s="25"/>
      <c r="T161" s="5"/>
    </row>
    <row r="162" spans="1:20" ht="16.2" thickBot="1" x14ac:dyDescent="0.35">
      <c r="A162" s="24"/>
      <c r="B162" s="25"/>
      <c r="C162" s="25"/>
      <c r="D162" s="25"/>
      <c r="E162" s="25"/>
      <c r="F162" s="25"/>
      <c r="G162" s="25"/>
      <c r="H162" s="25"/>
      <c r="I162" s="25"/>
      <c r="J162" s="25"/>
      <c r="K162" s="25"/>
      <c r="L162" s="25"/>
      <c r="M162" s="25"/>
      <c r="N162" s="25"/>
      <c r="O162" s="25"/>
      <c r="P162" s="25"/>
      <c r="Q162" s="25"/>
      <c r="R162" s="61"/>
      <c r="S162" s="25"/>
      <c r="T162" s="5"/>
    </row>
    <row r="163" spans="1:20" ht="15.6" x14ac:dyDescent="0.3">
      <c r="A163" s="2"/>
      <c r="B163" s="4"/>
      <c r="C163" s="4"/>
      <c r="D163" s="4"/>
      <c r="E163" s="4"/>
      <c r="F163" s="4"/>
      <c r="G163" s="4"/>
      <c r="H163" s="4"/>
      <c r="I163" s="4"/>
      <c r="J163" s="4"/>
      <c r="K163" s="4"/>
      <c r="L163" s="4"/>
      <c r="M163" s="4"/>
      <c r="N163" s="4"/>
      <c r="O163" s="4"/>
      <c r="P163" s="4"/>
      <c r="Q163" s="4"/>
      <c r="R163" s="50"/>
      <c r="S163" s="4"/>
      <c r="T163" s="5"/>
    </row>
    <row r="164" spans="1:20" ht="15.6" x14ac:dyDescent="0.3">
      <c r="A164" s="6"/>
      <c r="B164" s="120" t="s">
        <v>64</v>
      </c>
      <c r="C164" s="8"/>
      <c r="D164" s="8"/>
      <c r="E164" s="8"/>
      <c r="F164" s="8"/>
      <c r="G164" s="8"/>
      <c r="H164" s="8"/>
      <c r="I164" s="8"/>
      <c r="J164" s="8"/>
      <c r="K164" s="8"/>
      <c r="L164" s="8"/>
      <c r="M164" s="8"/>
      <c r="N164" s="8"/>
      <c r="O164" s="8"/>
      <c r="P164" s="8"/>
      <c r="Q164" s="8"/>
      <c r="R164" s="52"/>
      <c r="S164" s="8"/>
      <c r="T164" s="5"/>
    </row>
    <row r="165" spans="1:20" ht="15.6" x14ac:dyDescent="0.3">
      <c r="A165" s="6"/>
      <c r="B165" s="21"/>
      <c r="C165" s="8"/>
      <c r="D165" s="8"/>
      <c r="E165" s="8"/>
      <c r="F165" s="8"/>
      <c r="G165" s="8"/>
      <c r="H165" s="8"/>
      <c r="I165" s="8"/>
      <c r="J165" s="8"/>
      <c r="K165" s="8"/>
      <c r="L165" s="8"/>
      <c r="M165" s="8"/>
      <c r="N165" s="8"/>
      <c r="O165" s="8"/>
      <c r="P165" s="8"/>
      <c r="Q165" s="8"/>
      <c r="R165" s="52"/>
      <c r="S165" s="8"/>
      <c r="T165" s="5"/>
    </row>
    <row r="166" spans="1:20" ht="15.6" x14ac:dyDescent="0.3">
      <c r="A166" s="24"/>
      <c r="B166" s="25" t="s">
        <v>65</v>
      </c>
      <c r="C166" s="25"/>
      <c r="D166" s="25"/>
      <c r="E166" s="25"/>
      <c r="F166" s="25"/>
      <c r="G166" s="25"/>
      <c r="H166" s="25"/>
      <c r="I166" s="25"/>
      <c r="J166" s="25"/>
      <c r="K166" s="25"/>
      <c r="L166" s="25"/>
      <c r="M166" s="25"/>
      <c r="N166" s="25"/>
      <c r="O166" s="25"/>
      <c r="P166" s="25"/>
      <c r="Q166" s="25"/>
      <c r="R166" s="53">
        <f>R70</f>
        <v>858073</v>
      </c>
      <c r="S166" s="25"/>
      <c r="T166" s="5"/>
    </row>
    <row r="167" spans="1:20" ht="15.6" x14ac:dyDescent="0.3">
      <c r="A167" s="24"/>
      <c r="B167" s="25" t="s">
        <v>66</v>
      </c>
      <c r="C167" s="25"/>
      <c r="D167" s="25"/>
      <c r="E167" s="25"/>
      <c r="F167" s="25"/>
      <c r="G167" s="25"/>
      <c r="H167" s="25"/>
      <c r="I167" s="25"/>
      <c r="J167" s="25"/>
      <c r="K167" s="25"/>
      <c r="L167" s="25"/>
      <c r="M167" s="25"/>
      <c r="N167" s="25"/>
      <c r="O167" s="25"/>
      <c r="P167" s="25"/>
      <c r="Q167" s="25"/>
      <c r="R167" s="53">
        <f>R83</f>
        <v>858073</v>
      </c>
      <c r="S167" s="25"/>
      <c r="T167" s="5"/>
    </row>
    <row r="168" spans="1:20" ht="16.2" thickBot="1" x14ac:dyDescent="0.35">
      <c r="A168" s="24"/>
      <c r="B168" s="25"/>
      <c r="C168" s="25"/>
      <c r="D168" s="25"/>
      <c r="E168" s="25"/>
      <c r="F168" s="25"/>
      <c r="G168" s="25"/>
      <c r="H168" s="25"/>
      <c r="I168" s="25"/>
      <c r="J168" s="25"/>
      <c r="K168" s="25"/>
      <c r="L168" s="25"/>
      <c r="M168" s="25"/>
      <c r="N168" s="25"/>
      <c r="O168" s="25"/>
      <c r="P168" s="25"/>
      <c r="Q168" s="25"/>
      <c r="R168" s="61"/>
      <c r="S168" s="25"/>
      <c r="T168" s="5"/>
    </row>
    <row r="169" spans="1:20" ht="15.6" x14ac:dyDescent="0.3">
      <c r="A169" s="2"/>
      <c r="B169" s="4"/>
      <c r="C169" s="4"/>
      <c r="D169" s="4"/>
      <c r="E169" s="4"/>
      <c r="F169" s="4"/>
      <c r="G169" s="4"/>
      <c r="H169" s="4"/>
      <c r="I169" s="4"/>
      <c r="J169" s="4"/>
      <c r="K169" s="4"/>
      <c r="L169" s="4"/>
      <c r="M169" s="4"/>
      <c r="N169" s="4"/>
      <c r="O169" s="4"/>
      <c r="P169" s="4"/>
      <c r="Q169" s="4"/>
      <c r="R169" s="50"/>
      <c r="S169" s="4"/>
      <c r="T169" s="5"/>
    </row>
    <row r="170" spans="1:20" ht="15.6" x14ac:dyDescent="0.3">
      <c r="A170" s="6"/>
      <c r="B170" s="120" t="s">
        <v>67</v>
      </c>
      <c r="C170" s="118"/>
      <c r="D170" s="118"/>
      <c r="E170" s="118"/>
      <c r="F170" s="118"/>
      <c r="G170" s="118"/>
      <c r="H170" s="121"/>
      <c r="I170" s="121"/>
      <c r="J170" s="121"/>
      <c r="K170" s="121"/>
      <c r="L170" s="121"/>
      <c r="M170" s="121"/>
      <c r="N170" s="121"/>
      <c r="O170" s="121" t="s">
        <v>112</v>
      </c>
      <c r="P170" s="121" t="s">
        <v>120</v>
      </c>
      <c r="Q170" s="112"/>
      <c r="R170" s="122" t="s">
        <v>129</v>
      </c>
      <c r="S170" s="10"/>
      <c r="T170" s="5"/>
    </row>
    <row r="171" spans="1:20" ht="15.6" x14ac:dyDescent="0.3">
      <c r="A171" s="24"/>
      <c r="B171" s="25" t="s">
        <v>68</v>
      </c>
      <c r="C171" s="25"/>
      <c r="D171" s="25"/>
      <c r="E171" s="25"/>
      <c r="F171" s="25"/>
      <c r="G171" s="25"/>
      <c r="H171" s="25"/>
      <c r="I171" s="25"/>
      <c r="J171" s="25"/>
      <c r="K171" s="25"/>
      <c r="L171" s="25"/>
      <c r="M171" s="25"/>
      <c r="N171" s="25"/>
      <c r="O171" s="53">
        <v>160000</v>
      </c>
      <c r="P171" s="40"/>
      <c r="Q171" s="25"/>
      <c r="R171" s="53"/>
      <c r="S171" s="25"/>
      <c r="T171" s="5"/>
    </row>
    <row r="172" spans="1:20" ht="15.6" x14ac:dyDescent="0.3">
      <c r="A172" s="24"/>
      <c r="B172" s="25" t="s">
        <v>69</v>
      </c>
      <c r="C172" s="25"/>
      <c r="D172" s="25"/>
      <c r="E172" s="25"/>
      <c r="F172" s="25"/>
      <c r="G172" s="25"/>
      <c r="H172" s="25"/>
      <c r="I172" s="25"/>
      <c r="J172" s="25"/>
      <c r="K172" s="25"/>
      <c r="L172" s="25"/>
      <c r="M172" s="25"/>
      <c r="N172" s="25"/>
      <c r="O172" s="53">
        <f>+'Dec 05'!O174</f>
        <v>29543</v>
      </c>
      <c r="P172" s="53">
        <f>+'Dec 05'!P174</f>
        <v>6641</v>
      </c>
      <c r="Q172" s="25"/>
      <c r="R172" s="53">
        <f>O172+P172</f>
        <v>36184</v>
      </c>
      <c r="S172" s="25"/>
      <c r="T172" s="5"/>
    </row>
    <row r="173" spans="1:20" ht="15.6" x14ac:dyDescent="0.3">
      <c r="A173" s="24"/>
      <c r="B173" s="25" t="s">
        <v>70</v>
      </c>
      <c r="C173" s="25"/>
      <c r="D173" s="25"/>
      <c r="E173" s="25"/>
      <c r="F173" s="25"/>
      <c r="G173" s="25"/>
      <c r="H173" s="25"/>
      <c r="I173" s="25"/>
      <c r="J173" s="25"/>
      <c r="K173" s="25"/>
      <c r="L173" s="25"/>
      <c r="M173" s="25"/>
      <c r="N173" s="25"/>
      <c r="O173" s="34">
        <v>4853</v>
      </c>
      <c r="P173" s="34">
        <f>-P95-P118</f>
        <v>231</v>
      </c>
      <c r="Q173" s="25"/>
      <c r="R173" s="53">
        <f>O173+P173</f>
        <v>5084</v>
      </c>
      <c r="S173" s="25"/>
      <c r="T173" s="5"/>
    </row>
    <row r="174" spans="1:20" ht="15.6" x14ac:dyDescent="0.3">
      <c r="A174" s="24"/>
      <c r="B174" s="25" t="s">
        <v>71</v>
      </c>
      <c r="C174" s="25"/>
      <c r="D174" s="25"/>
      <c r="E174" s="25"/>
      <c r="F174" s="25"/>
      <c r="G174" s="25"/>
      <c r="H174" s="25"/>
      <c r="I174" s="25"/>
      <c r="J174" s="25"/>
      <c r="K174" s="25"/>
      <c r="L174" s="25"/>
      <c r="M174" s="25"/>
      <c r="N174" s="25"/>
      <c r="O174" s="53">
        <f>O172+O173</f>
        <v>34396</v>
      </c>
      <c r="P174" s="53">
        <f>P173+P172</f>
        <v>6872</v>
      </c>
      <c r="Q174" s="25"/>
      <c r="R174" s="53">
        <f>O174+P174</f>
        <v>41268</v>
      </c>
      <c r="S174" s="25"/>
      <c r="T174" s="5"/>
    </row>
    <row r="175" spans="1:20" ht="15.6" x14ac:dyDescent="0.3">
      <c r="A175" s="24"/>
      <c r="B175" s="25" t="s">
        <v>72</v>
      </c>
      <c r="C175" s="25"/>
      <c r="D175" s="25"/>
      <c r="E175" s="25"/>
      <c r="F175" s="25"/>
      <c r="G175" s="25"/>
      <c r="H175" s="25"/>
      <c r="I175" s="25"/>
      <c r="J175" s="25"/>
      <c r="K175" s="25"/>
      <c r="L175" s="25"/>
      <c r="M175" s="25"/>
      <c r="N175" s="25"/>
      <c r="O175" s="53">
        <f>O171-O174-P174</f>
        <v>118732</v>
      </c>
      <c r="P175" s="40"/>
      <c r="Q175" s="25"/>
      <c r="R175" s="53"/>
      <c r="S175" s="25"/>
      <c r="T175" s="5"/>
    </row>
    <row r="176" spans="1:20" ht="16.2" thickBot="1" x14ac:dyDescent="0.35">
      <c r="A176" s="24"/>
      <c r="B176" s="25"/>
      <c r="C176" s="25"/>
      <c r="D176" s="25"/>
      <c r="E176" s="25"/>
      <c r="F176" s="25"/>
      <c r="G176" s="25"/>
      <c r="H176" s="25"/>
      <c r="I176" s="25"/>
      <c r="J176" s="25"/>
      <c r="K176" s="25"/>
      <c r="L176" s="25"/>
      <c r="M176" s="25"/>
      <c r="N176" s="25"/>
      <c r="O176" s="25"/>
      <c r="P176" s="25"/>
      <c r="Q176" s="25"/>
      <c r="R176" s="61"/>
      <c r="S176" s="25"/>
      <c r="T176" s="5"/>
    </row>
    <row r="177" spans="1:20" ht="15.6" x14ac:dyDescent="0.3">
      <c r="A177" s="2"/>
      <c r="B177" s="4"/>
      <c r="C177" s="4"/>
      <c r="D177" s="4"/>
      <c r="E177" s="4"/>
      <c r="F177" s="4"/>
      <c r="G177" s="4"/>
      <c r="H177" s="4"/>
      <c r="I177" s="4"/>
      <c r="J177" s="4"/>
      <c r="K177" s="4"/>
      <c r="L177" s="4"/>
      <c r="M177" s="4"/>
      <c r="N177" s="4"/>
      <c r="O177" s="4"/>
      <c r="P177" s="4"/>
      <c r="Q177" s="4"/>
      <c r="R177" s="50"/>
      <c r="S177" s="4"/>
      <c r="T177" s="5"/>
    </row>
    <row r="178" spans="1:20" ht="15.6" x14ac:dyDescent="0.3">
      <c r="A178" s="6"/>
      <c r="B178" s="120" t="s">
        <v>73</v>
      </c>
      <c r="C178" s="8"/>
      <c r="D178" s="8"/>
      <c r="E178" s="8"/>
      <c r="F178" s="8"/>
      <c r="G178" s="8"/>
      <c r="H178" s="8"/>
      <c r="I178" s="8"/>
      <c r="J178" s="8"/>
      <c r="K178" s="8"/>
      <c r="L178" s="8"/>
      <c r="M178" s="8"/>
      <c r="N178" s="8"/>
      <c r="O178" s="8"/>
      <c r="P178" s="8"/>
      <c r="Q178" s="8"/>
      <c r="R178" s="65"/>
      <c r="S178" s="8"/>
      <c r="T178" s="5"/>
    </row>
    <row r="179" spans="1:20" ht="15.6" x14ac:dyDescent="0.3">
      <c r="A179" s="24"/>
      <c r="B179" s="25" t="s">
        <v>74</v>
      </c>
      <c r="C179" s="25"/>
      <c r="D179" s="25"/>
      <c r="E179" s="25"/>
      <c r="F179" s="25"/>
      <c r="G179" s="25"/>
      <c r="H179" s="25"/>
      <c r="I179" s="25"/>
      <c r="J179" s="25"/>
      <c r="K179" s="25"/>
      <c r="L179" s="25"/>
      <c r="M179" s="25"/>
      <c r="N179" s="25"/>
      <c r="O179" s="25"/>
      <c r="P179" s="25"/>
      <c r="Q179" s="25"/>
      <c r="R179" s="59">
        <f>(R97+R99+R100+R101+R102+R103)/-(R104+R105+R106+R107)</f>
        <v>1.410729253981559</v>
      </c>
      <c r="S179" s="25" t="s">
        <v>130</v>
      </c>
      <c r="T179" s="5"/>
    </row>
    <row r="180" spans="1:20" ht="15.6" x14ac:dyDescent="0.3">
      <c r="A180" s="24"/>
      <c r="B180" s="25" t="s">
        <v>75</v>
      </c>
      <c r="C180" s="25"/>
      <c r="D180" s="25"/>
      <c r="E180" s="25"/>
      <c r="F180" s="25"/>
      <c r="G180" s="25"/>
      <c r="H180" s="25"/>
      <c r="I180" s="25"/>
      <c r="J180" s="25"/>
      <c r="K180" s="25"/>
      <c r="L180" s="25"/>
      <c r="M180" s="25"/>
      <c r="N180" s="25"/>
      <c r="O180" s="25"/>
      <c r="P180" s="25"/>
      <c r="Q180" s="25"/>
      <c r="R180" s="66">
        <v>1.33</v>
      </c>
      <c r="S180" s="25" t="s">
        <v>130</v>
      </c>
      <c r="T180" s="5"/>
    </row>
    <row r="181" spans="1:20" ht="15.6" x14ac:dyDescent="0.3">
      <c r="A181" s="24"/>
      <c r="B181" s="25" t="s">
        <v>76</v>
      </c>
      <c r="C181" s="25"/>
      <c r="D181" s="25"/>
      <c r="E181" s="25"/>
      <c r="F181" s="25"/>
      <c r="G181" s="25"/>
      <c r="H181" s="25"/>
      <c r="I181" s="25"/>
      <c r="J181" s="25"/>
      <c r="K181" s="25"/>
      <c r="L181" s="25"/>
      <c r="M181" s="25"/>
      <c r="N181" s="25"/>
      <c r="O181" s="25"/>
      <c r="P181" s="25"/>
      <c r="Q181" s="25"/>
      <c r="R181" s="59">
        <f>(R97+R99+R100+R101+R102+R103+R104+R105+R106+R107)/-(R108+R109)</f>
        <v>2.9540316503391106</v>
      </c>
      <c r="S181" s="25" t="s">
        <v>130</v>
      </c>
      <c r="T181" s="5"/>
    </row>
    <row r="182" spans="1:20" ht="15.6" x14ac:dyDescent="0.3">
      <c r="A182" s="24"/>
      <c r="B182" s="25" t="s">
        <v>77</v>
      </c>
      <c r="C182" s="25"/>
      <c r="D182" s="25"/>
      <c r="E182" s="25"/>
      <c r="F182" s="25"/>
      <c r="G182" s="25"/>
      <c r="H182" s="25"/>
      <c r="I182" s="25"/>
      <c r="J182" s="25"/>
      <c r="K182" s="25"/>
      <c r="L182" s="25"/>
      <c r="M182" s="25"/>
      <c r="N182" s="25"/>
      <c r="O182" s="25"/>
      <c r="P182" s="25"/>
      <c r="Q182" s="25"/>
      <c r="R182" s="67">
        <v>2.5499999999999998</v>
      </c>
      <c r="S182" s="25" t="s">
        <v>130</v>
      </c>
      <c r="T182" s="5"/>
    </row>
    <row r="183" spans="1:20" ht="15.6" x14ac:dyDescent="0.3">
      <c r="A183" s="24"/>
      <c r="B183" s="25"/>
      <c r="C183" s="25"/>
      <c r="D183" s="25"/>
      <c r="E183" s="25"/>
      <c r="F183" s="25"/>
      <c r="G183" s="25"/>
      <c r="H183" s="25"/>
      <c r="I183" s="25"/>
      <c r="J183" s="25"/>
      <c r="K183" s="25"/>
      <c r="L183" s="25"/>
      <c r="M183" s="25"/>
      <c r="N183" s="25"/>
      <c r="O183" s="25"/>
      <c r="P183" s="25"/>
      <c r="Q183" s="25"/>
      <c r="R183" s="25"/>
      <c r="S183" s="25"/>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6"/>
      <c r="B185" s="8"/>
      <c r="C185" s="8"/>
      <c r="D185" s="8"/>
      <c r="E185" s="8"/>
      <c r="F185" s="8"/>
      <c r="G185" s="8"/>
      <c r="H185" s="8"/>
      <c r="I185" s="8"/>
      <c r="J185" s="8"/>
      <c r="K185" s="8"/>
      <c r="L185" s="8"/>
      <c r="M185" s="8"/>
      <c r="N185" s="8"/>
      <c r="O185" s="8"/>
      <c r="P185" s="8"/>
      <c r="Q185" s="8"/>
      <c r="R185" s="8"/>
      <c r="S185" s="8"/>
      <c r="T185" s="5"/>
    </row>
    <row r="186" spans="1:20" ht="18" thickBot="1" x14ac:dyDescent="0.35">
      <c r="A186" s="102"/>
      <c r="B186" s="103" t="str">
        <f>B130</f>
        <v>PM8 INVESTOR REPORT QUARTER ENDING MARCH 2006</v>
      </c>
      <c r="C186" s="148"/>
      <c r="D186" s="148"/>
      <c r="E186" s="148"/>
      <c r="F186" s="148"/>
      <c r="G186" s="148"/>
      <c r="H186" s="148"/>
      <c r="I186" s="148"/>
      <c r="J186" s="148"/>
      <c r="K186" s="148"/>
      <c r="L186" s="148"/>
      <c r="M186" s="148"/>
      <c r="N186" s="148"/>
      <c r="O186" s="148"/>
      <c r="P186" s="148"/>
      <c r="Q186" s="148"/>
      <c r="R186" s="148"/>
      <c r="S186" s="149"/>
      <c r="T186" s="5"/>
    </row>
    <row r="187" spans="1:20" ht="15.6" x14ac:dyDescent="0.3">
      <c r="A187" s="68"/>
      <c r="B187" s="60" t="s">
        <v>78</v>
      </c>
      <c r="C187" s="69"/>
      <c r="D187" s="69"/>
      <c r="E187" s="69"/>
      <c r="F187" s="69"/>
      <c r="G187" s="70"/>
      <c r="H187" s="70"/>
      <c r="I187" s="70"/>
      <c r="J187" s="70"/>
      <c r="K187" s="70"/>
      <c r="L187" s="70"/>
      <c r="M187" s="70"/>
      <c r="N187" s="70"/>
      <c r="O187" s="70"/>
      <c r="P187" s="71">
        <v>38807</v>
      </c>
      <c r="Q187" s="4"/>
      <c r="R187" s="4"/>
      <c r="S187" s="4"/>
      <c r="T187" s="5"/>
    </row>
    <row r="188" spans="1:20" ht="15.6" x14ac:dyDescent="0.3">
      <c r="A188" s="72"/>
      <c r="B188" s="73"/>
      <c r="C188" s="74"/>
      <c r="D188" s="74"/>
      <c r="E188" s="74"/>
      <c r="F188" s="74"/>
      <c r="G188" s="75"/>
      <c r="H188" s="75"/>
      <c r="I188" s="75"/>
      <c r="J188" s="75"/>
      <c r="K188" s="75"/>
      <c r="L188" s="75"/>
      <c r="M188" s="75"/>
      <c r="N188" s="75"/>
      <c r="O188" s="75"/>
      <c r="P188" s="75"/>
      <c r="Q188" s="8"/>
      <c r="R188" s="8"/>
      <c r="S188" s="8"/>
      <c r="T188" s="5"/>
    </row>
    <row r="189" spans="1:20" ht="15.6" x14ac:dyDescent="0.3">
      <c r="A189" s="76"/>
      <c r="B189" s="77" t="s">
        <v>79</v>
      </c>
      <c r="C189" s="78"/>
      <c r="D189" s="78"/>
      <c r="E189" s="78"/>
      <c r="F189" s="78"/>
      <c r="G189" s="64"/>
      <c r="H189" s="64"/>
      <c r="I189" s="64"/>
      <c r="J189" s="64"/>
      <c r="K189" s="64"/>
      <c r="L189" s="64"/>
      <c r="M189" s="64"/>
      <c r="N189" s="64"/>
      <c r="O189" s="64"/>
      <c r="P189" s="79">
        <v>6.2039999999999998E-2</v>
      </c>
      <c r="Q189" s="25"/>
      <c r="R189" s="25"/>
      <c r="S189" s="25"/>
      <c r="T189" s="5"/>
    </row>
    <row r="190" spans="1:20" ht="15.6" x14ac:dyDescent="0.3">
      <c r="A190" s="76"/>
      <c r="B190" s="77" t="s">
        <v>178</v>
      </c>
      <c r="C190" s="78"/>
      <c r="D190" s="78"/>
      <c r="E190" s="78"/>
      <c r="F190" s="78"/>
      <c r="G190" s="64"/>
      <c r="H190" s="64"/>
      <c r="I190" s="64"/>
      <c r="J190" s="64"/>
      <c r="K190" s="64"/>
      <c r="L190" s="64"/>
      <c r="M190" s="64"/>
      <c r="N190" s="64"/>
      <c r="O190" s="64"/>
      <c r="P190" s="39">
        <v>5.1733455000000005E-2</v>
      </c>
      <c r="Q190" s="25"/>
      <c r="R190" s="25"/>
      <c r="S190" s="25"/>
      <c r="T190" s="5"/>
    </row>
    <row r="191" spans="1:20" ht="15.6" x14ac:dyDescent="0.3">
      <c r="A191" s="76"/>
      <c r="B191" s="77" t="s">
        <v>80</v>
      </c>
      <c r="C191" s="78"/>
      <c r="D191" s="78"/>
      <c r="E191" s="78"/>
      <c r="F191" s="78"/>
      <c r="G191" s="64"/>
      <c r="H191" s="64"/>
      <c r="I191" s="64"/>
      <c r="J191" s="64"/>
      <c r="K191" s="64"/>
      <c r="L191" s="64"/>
      <c r="M191" s="64"/>
      <c r="N191" s="64"/>
      <c r="O191" s="64"/>
      <c r="P191" s="79">
        <f>P189-P190</f>
        <v>1.0306544999999993E-2</v>
      </c>
      <c r="Q191" s="25"/>
      <c r="R191" s="25"/>
      <c r="S191" s="25"/>
      <c r="T191" s="5"/>
    </row>
    <row r="192" spans="1:20" ht="15.6" x14ac:dyDescent="0.3">
      <c r="A192" s="76"/>
      <c r="B192" s="77" t="s">
        <v>81</v>
      </c>
      <c r="C192" s="78"/>
      <c r="D192" s="78"/>
      <c r="E192" s="78"/>
      <c r="F192" s="78"/>
      <c r="G192" s="64"/>
      <c r="H192" s="64"/>
      <c r="I192" s="64"/>
      <c r="J192" s="64"/>
      <c r="K192" s="64"/>
      <c r="L192" s="64"/>
      <c r="M192" s="64"/>
      <c r="N192" s="64"/>
      <c r="O192" s="64"/>
      <c r="P192" s="79">
        <v>6.0229999999999999E-2</v>
      </c>
      <c r="Q192" s="25"/>
      <c r="R192" s="25"/>
      <c r="S192" s="25"/>
      <c r="T192" s="5"/>
    </row>
    <row r="193" spans="1:20" ht="15.6" x14ac:dyDescent="0.3">
      <c r="A193" s="76"/>
      <c r="B193" s="77" t="s">
        <v>261</v>
      </c>
      <c r="C193" s="78"/>
      <c r="D193" s="78"/>
      <c r="E193" s="78"/>
      <c r="F193" s="78"/>
      <c r="G193" s="64"/>
      <c r="H193" s="64"/>
      <c r="I193" s="64"/>
      <c r="J193" s="64"/>
      <c r="K193" s="64"/>
      <c r="L193" s="64"/>
      <c r="M193" s="64"/>
      <c r="N193" s="64"/>
      <c r="O193" s="64"/>
      <c r="P193" s="79">
        <f>+R42</f>
        <v>4.8459402225195784E-2</v>
      </c>
      <c r="Q193" s="25"/>
      <c r="R193" s="25"/>
      <c r="S193" s="25"/>
      <c r="T193" s="5"/>
    </row>
    <row r="194" spans="1:20" ht="15.6" x14ac:dyDescent="0.3">
      <c r="A194" s="76"/>
      <c r="B194" s="77" t="s">
        <v>82</v>
      </c>
      <c r="C194" s="78"/>
      <c r="D194" s="78"/>
      <c r="E194" s="78"/>
      <c r="F194" s="78"/>
      <c r="G194" s="64"/>
      <c r="H194" s="64"/>
      <c r="I194" s="64"/>
      <c r="J194" s="64"/>
      <c r="K194" s="64"/>
      <c r="L194" s="64"/>
      <c r="M194" s="64"/>
      <c r="N194" s="64"/>
      <c r="O194" s="64"/>
      <c r="P194" s="79">
        <f>P192-P193</f>
        <v>1.1770597774804215E-2</v>
      </c>
      <c r="Q194" s="25"/>
      <c r="R194" s="25"/>
      <c r="S194" s="25"/>
      <c r="T194" s="5"/>
    </row>
    <row r="195" spans="1:20" ht="15.6" x14ac:dyDescent="0.3">
      <c r="A195" s="76"/>
      <c r="B195" s="77" t="s">
        <v>267</v>
      </c>
      <c r="C195" s="78"/>
      <c r="D195" s="78"/>
      <c r="E195" s="78"/>
      <c r="F195" s="78"/>
      <c r="G195" s="64"/>
      <c r="H195" s="64"/>
      <c r="I195" s="64"/>
      <c r="J195" s="64"/>
      <c r="K195" s="64"/>
      <c r="L195" s="64"/>
      <c r="M195" s="64"/>
      <c r="N195" s="64"/>
      <c r="O195" s="64"/>
      <c r="P195" s="79">
        <f>(+R97+R99)/J70</f>
        <v>1.5836349112007198E-2</v>
      </c>
      <c r="Q195" s="25"/>
      <c r="R195" s="25"/>
      <c r="S195" s="25"/>
      <c r="T195" s="5"/>
    </row>
    <row r="196" spans="1:20" ht="15.6" x14ac:dyDescent="0.3">
      <c r="A196" s="76"/>
      <c r="B196" s="77" t="s">
        <v>208</v>
      </c>
      <c r="C196" s="78"/>
      <c r="D196" s="78"/>
      <c r="E196" s="78"/>
      <c r="F196" s="78"/>
      <c r="G196" s="64"/>
      <c r="H196" s="64"/>
      <c r="I196" s="64"/>
      <c r="J196" s="64"/>
      <c r="K196" s="64"/>
      <c r="L196" s="64"/>
      <c r="M196" s="64"/>
      <c r="N196" s="64"/>
      <c r="O196" s="64"/>
      <c r="P196" s="132">
        <v>12875</v>
      </c>
      <c r="Q196" s="25"/>
      <c r="R196" s="25"/>
      <c r="S196" s="25"/>
      <c r="T196" s="5"/>
    </row>
    <row r="197" spans="1:20" ht="15.6" x14ac:dyDescent="0.3">
      <c r="A197" s="76"/>
      <c r="B197" s="77" t="s">
        <v>209</v>
      </c>
      <c r="C197" s="78"/>
      <c r="D197" s="78"/>
      <c r="E197" s="78"/>
      <c r="F197" s="78"/>
      <c r="G197" s="64"/>
      <c r="H197" s="64"/>
      <c r="I197" s="64"/>
      <c r="J197" s="64"/>
      <c r="K197" s="64"/>
      <c r="L197" s="64"/>
      <c r="M197" s="64"/>
      <c r="N197" s="64"/>
      <c r="O197" s="64"/>
      <c r="P197" s="132">
        <v>16163</v>
      </c>
      <c r="Q197" s="25"/>
      <c r="R197" s="25"/>
      <c r="S197" s="25"/>
      <c r="T197" s="5"/>
    </row>
    <row r="198" spans="1:20" ht="15.6" x14ac:dyDescent="0.3">
      <c r="A198" s="76"/>
      <c r="B198" s="77" t="s">
        <v>83</v>
      </c>
      <c r="C198" s="78"/>
      <c r="D198" s="78"/>
      <c r="E198" s="78"/>
      <c r="F198" s="78"/>
      <c r="G198" s="64"/>
      <c r="H198" s="64"/>
      <c r="I198" s="64"/>
      <c r="J198" s="64"/>
      <c r="K198" s="64"/>
      <c r="L198" s="64"/>
      <c r="M198" s="64"/>
      <c r="N198" s="64"/>
      <c r="O198" s="64"/>
      <c r="P198" s="136">
        <v>19.739999999999998</v>
      </c>
      <c r="Q198" s="25" t="s">
        <v>125</v>
      </c>
      <c r="R198" s="25"/>
      <c r="S198" s="25"/>
      <c r="T198" s="5"/>
    </row>
    <row r="199" spans="1:20" ht="15.6" x14ac:dyDescent="0.3">
      <c r="A199" s="76"/>
      <c r="B199" s="77" t="s">
        <v>84</v>
      </c>
      <c r="C199" s="78"/>
      <c r="D199" s="78"/>
      <c r="E199" s="78"/>
      <c r="F199" s="78"/>
      <c r="G199" s="64"/>
      <c r="H199" s="64"/>
      <c r="I199" s="64"/>
      <c r="J199" s="64"/>
      <c r="K199" s="64"/>
      <c r="L199" s="64"/>
      <c r="M199" s="64"/>
      <c r="N199" s="64"/>
      <c r="O199" s="64"/>
      <c r="P199" s="136">
        <v>19.47</v>
      </c>
      <c r="Q199" s="25" t="s">
        <v>125</v>
      </c>
      <c r="R199" s="25"/>
      <c r="S199" s="25"/>
      <c r="T199" s="5"/>
    </row>
    <row r="200" spans="1:20" ht="15.6" x14ac:dyDescent="0.3">
      <c r="A200" s="76"/>
      <c r="B200" s="77" t="s">
        <v>85</v>
      </c>
      <c r="C200" s="78"/>
      <c r="D200" s="78"/>
      <c r="E200" s="78"/>
      <c r="F200" s="78"/>
      <c r="G200" s="64"/>
      <c r="H200" s="64"/>
      <c r="I200" s="64"/>
      <c r="J200" s="64"/>
      <c r="K200" s="64"/>
      <c r="L200" s="64"/>
      <c r="M200" s="64"/>
      <c r="N200" s="64"/>
      <c r="O200" s="64"/>
      <c r="P200" s="79">
        <f>+L67/J67</f>
        <v>4.1629542908697463E-2</v>
      </c>
      <c r="Q200" s="25"/>
      <c r="R200" s="25"/>
      <c r="S200" s="25"/>
      <c r="T200" s="5"/>
    </row>
    <row r="201" spans="1:20" ht="15.6" x14ac:dyDescent="0.3">
      <c r="A201" s="76"/>
      <c r="B201" s="77" t="s">
        <v>86</v>
      </c>
      <c r="C201" s="78"/>
      <c r="D201" s="78"/>
      <c r="E201" s="78"/>
      <c r="F201" s="78"/>
      <c r="G201" s="64"/>
      <c r="H201" s="64"/>
      <c r="I201" s="64"/>
      <c r="J201" s="64"/>
      <c r="K201" s="64"/>
      <c r="L201" s="64"/>
      <c r="M201" s="64"/>
      <c r="N201" s="64"/>
      <c r="O201" s="64"/>
      <c r="P201" s="79">
        <v>0.13600000000000001</v>
      </c>
      <c r="Q201" s="25"/>
      <c r="R201" s="25"/>
      <c r="S201" s="25"/>
      <c r="T201" s="5"/>
    </row>
    <row r="202" spans="1:20" ht="15.6" x14ac:dyDescent="0.3">
      <c r="A202" s="76"/>
      <c r="B202" s="77"/>
      <c r="C202" s="77"/>
      <c r="D202" s="77"/>
      <c r="E202" s="77"/>
      <c r="F202" s="77"/>
      <c r="G202" s="25"/>
      <c r="H202" s="25"/>
      <c r="I202" s="25"/>
      <c r="J202" s="25"/>
      <c r="K202" s="25"/>
      <c r="L202" s="25"/>
      <c r="M202" s="25"/>
      <c r="N202" s="25"/>
      <c r="O202" s="25"/>
      <c r="P202" s="61"/>
      <c r="Q202" s="25"/>
      <c r="R202" s="80"/>
      <c r="S202" s="25"/>
      <c r="T202" s="5"/>
    </row>
    <row r="203" spans="1:20" ht="15.6" x14ac:dyDescent="0.3">
      <c r="A203" s="81"/>
      <c r="B203" s="14" t="s">
        <v>87</v>
      </c>
      <c r="C203" s="82"/>
      <c r="D203" s="82"/>
      <c r="E203" s="82"/>
      <c r="F203" s="83"/>
      <c r="G203" s="82"/>
      <c r="H203" s="17"/>
      <c r="I203" s="17"/>
      <c r="J203" s="17"/>
      <c r="K203" s="17"/>
      <c r="L203" s="17"/>
      <c r="M203" s="17"/>
      <c r="N203" s="17"/>
      <c r="O203" s="17" t="s">
        <v>113</v>
      </c>
      <c r="P203" s="84" t="s">
        <v>121</v>
      </c>
      <c r="Q203" s="8"/>
      <c r="R203" s="8"/>
      <c r="S203" s="8"/>
      <c r="T203" s="5"/>
    </row>
    <row r="204" spans="1:20" ht="15.6" x14ac:dyDescent="0.3">
      <c r="A204" s="85"/>
      <c r="B204" s="77" t="s">
        <v>88</v>
      </c>
      <c r="C204" s="54"/>
      <c r="D204" s="54"/>
      <c r="E204" s="54"/>
      <c r="F204" s="25"/>
      <c r="G204" s="25"/>
      <c r="H204" s="30"/>
      <c r="I204" s="30"/>
      <c r="J204" s="30"/>
      <c r="K204" s="30"/>
      <c r="L204" s="30"/>
      <c r="M204" s="30"/>
      <c r="N204" s="30"/>
      <c r="O204" s="30">
        <v>19</v>
      </c>
      <c r="P204" s="86">
        <v>797</v>
      </c>
      <c r="Q204" s="25"/>
      <c r="R204" s="80"/>
      <c r="S204" s="87"/>
      <c r="T204" s="5"/>
    </row>
    <row r="205" spans="1:20" ht="15.6" x14ac:dyDescent="0.3">
      <c r="A205" s="85"/>
      <c r="B205" s="77" t="s">
        <v>169</v>
      </c>
      <c r="C205" s="54"/>
      <c r="D205" s="54"/>
      <c r="E205" s="54"/>
      <c r="F205" s="25"/>
      <c r="G205" s="25"/>
      <c r="H205" s="30"/>
      <c r="I205" s="30"/>
      <c r="J205" s="30"/>
      <c r="K205" s="30"/>
      <c r="L205" s="30"/>
      <c r="M205" s="30"/>
      <c r="N205" s="30"/>
      <c r="O205" s="163">
        <f>+N244</f>
        <v>51</v>
      </c>
      <c r="P205" s="86">
        <f>+P244</f>
        <v>6612</v>
      </c>
      <c r="Q205" s="25"/>
      <c r="R205" s="80"/>
      <c r="S205" s="87"/>
      <c r="T205" s="5"/>
    </row>
    <row r="206" spans="1:20" ht="15.6" x14ac:dyDescent="0.3">
      <c r="A206" s="85"/>
      <c r="B206" s="77" t="s">
        <v>89</v>
      </c>
      <c r="C206" s="54"/>
      <c r="D206" s="54"/>
      <c r="E206" s="54"/>
      <c r="F206" s="25"/>
      <c r="G206" s="25"/>
      <c r="H206" s="30"/>
      <c r="I206" s="30"/>
      <c r="J206" s="30"/>
      <c r="K206" s="30"/>
      <c r="L206" s="30"/>
      <c r="M206" s="30"/>
      <c r="N206" s="30"/>
      <c r="O206" s="163">
        <f>+N256</f>
        <v>2</v>
      </c>
      <c r="P206" s="86">
        <f>+P256</f>
        <v>81</v>
      </c>
      <c r="Q206" s="25"/>
      <c r="R206" s="80"/>
      <c r="S206" s="87"/>
      <c r="T206" s="5"/>
    </row>
    <row r="207" spans="1:20" ht="15.6" x14ac:dyDescent="0.3">
      <c r="A207" s="85"/>
      <c r="B207" s="123" t="s">
        <v>90</v>
      </c>
      <c r="C207" s="54"/>
      <c r="D207" s="54"/>
      <c r="E207" s="54"/>
      <c r="F207" s="25"/>
      <c r="G207" s="25"/>
      <c r="H207" s="25"/>
      <c r="I207" s="25"/>
      <c r="J207" s="25"/>
      <c r="K207" s="25"/>
      <c r="L207" s="25"/>
      <c r="M207" s="25"/>
      <c r="N207" s="25"/>
      <c r="O207" s="25"/>
      <c r="P207" s="86">
        <v>0</v>
      </c>
      <c r="Q207" s="25"/>
      <c r="R207" s="80"/>
      <c r="S207" s="87"/>
      <c r="T207" s="5"/>
    </row>
    <row r="208" spans="1:20" ht="15.6" x14ac:dyDescent="0.3">
      <c r="A208" s="85"/>
      <c r="B208" s="123" t="s">
        <v>91</v>
      </c>
      <c r="C208" s="54"/>
      <c r="D208" s="54"/>
      <c r="E208" s="54"/>
      <c r="F208" s="25"/>
      <c r="G208" s="25"/>
      <c r="H208" s="25"/>
      <c r="I208" s="25"/>
      <c r="J208" s="25"/>
      <c r="K208" s="25"/>
      <c r="L208" s="25"/>
      <c r="M208" s="25"/>
      <c r="N208" s="25"/>
      <c r="O208" s="25"/>
      <c r="P208" s="62" t="s">
        <v>122</v>
      </c>
      <c r="Q208" s="25"/>
      <c r="R208" s="80"/>
      <c r="S208" s="87"/>
      <c r="T208" s="5"/>
    </row>
    <row r="209" spans="1:21" ht="15.6" x14ac:dyDescent="0.3">
      <c r="A209" s="88"/>
      <c r="B209" s="123" t="s">
        <v>92</v>
      </c>
      <c r="C209" s="77"/>
      <c r="D209" s="77"/>
      <c r="E209" s="77"/>
      <c r="F209" s="77"/>
      <c r="G209" s="25"/>
      <c r="H209" s="25"/>
      <c r="I209" s="25"/>
      <c r="J209" s="25"/>
      <c r="K209" s="25"/>
      <c r="L209" s="25"/>
      <c r="M209" s="25"/>
      <c r="N209" s="25"/>
      <c r="O209" s="25"/>
      <c r="P209" s="86"/>
      <c r="Q209" s="25"/>
      <c r="R209" s="80"/>
      <c r="S209" s="89"/>
      <c r="T209" s="5"/>
    </row>
    <row r="210" spans="1:21" ht="15.6" x14ac:dyDescent="0.3">
      <c r="A210" s="88"/>
      <c r="B210" s="134" t="s">
        <v>93</v>
      </c>
      <c r="C210" s="77"/>
      <c r="D210" s="77"/>
      <c r="E210" s="77"/>
      <c r="F210" s="77"/>
      <c r="G210" s="25"/>
      <c r="H210" s="25"/>
      <c r="I210" s="25"/>
      <c r="J210" s="25"/>
      <c r="K210" s="25"/>
      <c r="L210" s="25"/>
      <c r="M210" s="25"/>
      <c r="N210" s="25"/>
      <c r="O210" s="25">
        <v>0</v>
      </c>
      <c r="P210" s="86">
        <f>R158</f>
        <v>0</v>
      </c>
      <c r="Q210" s="25"/>
      <c r="R210" s="80"/>
      <c r="S210" s="89"/>
      <c r="T210" s="5"/>
    </row>
    <row r="211" spans="1:21" ht="15.6" x14ac:dyDescent="0.3">
      <c r="A211" s="85"/>
      <c r="B211" s="77" t="s">
        <v>94</v>
      </c>
      <c r="C211" s="54"/>
      <c r="D211" s="54"/>
      <c r="E211" s="54"/>
      <c r="F211" s="54"/>
      <c r="G211" s="25"/>
      <c r="H211" s="25"/>
      <c r="I211" s="25"/>
      <c r="J211" s="25"/>
      <c r="K211" s="25"/>
      <c r="L211" s="25"/>
      <c r="M211" s="25"/>
      <c r="N211" s="25"/>
      <c r="O211" s="25">
        <v>0</v>
      </c>
      <c r="P211" s="86">
        <f>+'Dec 05'!P211+P210</f>
        <v>0</v>
      </c>
      <c r="Q211" s="25"/>
      <c r="R211" s="80"/>
      <c r="S211" s="89"/>
      <c r="T211" s="5"/>
    </row>
    <row r="212" spans="1:21" ht="15.6" x14ac:dyDescent="0.3">
      <c r="A212" s="85"/>
      <c r="B212" s="77" t="s">
        <v>95</v>
      </c>
      <c r="C212" s="54"/>
      <c r="D212" s="54"/>
      <c r="E212" s="54"/>
      <c r="F212" s="54"/>
      <c r="G212" s="25"/>
      <c r="H212" s="25"/>
      <c r="I212" s="25"/>
      <c r="J212" s="25"/>
      <c r="K212" s="25"/>
      <c r="L212" s="25"/>
      <c r="M212" s="25"/>
      <c r="N212" s="25"/>
      <c r="O212" s="25"/>
      <c r="P212" s="86">
        <v>0</v>
      </c>
      <c r="Q212" s="25"/>
      <c r="R212" s="80"/>
      <c r="S212" s="89"/>
      <c r="T212" s="5"/>
    </row>
    <row r="213" spans="1:21" ht="15.6" x14ac:dyDescent="0.3">
      <c r="A213" s="88"/>
      <c r="B213" s="123" t="s">
        <v>256</v>
      </c>
      <c r="C213" s="77"/>
      <c r="D213" s="77"/>
      <c r="E213" s="77"/>
      <c r="F213" s="77"/>
      <c r="G213" s="25"/>
      <c r="H213" s="25"/>
      <c r="I213" s="25"/>
      <c r="J213" s="25"/>
      <c r="K213" s="25"/>
      <c r="L213" s="25"/>
      <c r="M213" s="25"/>
      <c r="N213" s="25"/>
      <c r="O213" s="25"/>
      <c r="P213" s="86"/>
      <c r="Q213" s="25"/>
      <c r="R213" s="80"/>
      <c r="S213" s="89"/>
      <c r="T213" s="5"/>
    </row>
    <row r="214" spans="1:21" ht="15.6" x14ac:dyDescent="0.3">
      <c r="A214" s="88"/>
      <c r="B214" s="77" t="s">
        <v>283</v>
      </c>
      <c r="C214" s="77"/>
      <c r="D214" s="77"/>
      <c r="E214" s="77"/>
      <c r="F214" s="77"/>
      <c r="G214" s="25"/>
      <c r="H214" s="25"/>
      <c r="I214" s="25"/>
      <c r="J214" s="25"/>
      <c r="K214" s="25"/>
      <c r="L214" s="25"/>
      <c r="M214" s="25"/>
      <c r="N214" s="25"/>
      <c r="O214" s="25">
        <v>0</v>
      </c>
      <c r="P214" s="86">
        <v>0</v>
      </c>
      <c r="Q214" s="25"/>
      <c r="R214" s="80"/>
      <c r="S214" s="89"/>
      <c r="T214" s="5"/>
    </row>
    <row r="215" spans="1:21" ht="15.6" x14ac:dyDescent="0.3">
      <c r="A215" s="85"/>
      <c r="B215" s="77" t="s">
        <v>97</v>
      </c>
      <c r="C215" s="90"/>
      <c r="D215" s="90"/>
      <c r="E215" s="90"/>
      <c r="F215" s="91"/>
      <c r="G215" s="25"/>
      <c r="H215" s="25"/>
      <c r="I215" s="25"/>
      <c r="J215" s="25"/>
      <c r="K215" s="25"/>
      <c r="L215" s="25"/>
      <c r="M215" s="25"/>
      <c r="N215" s="25"/>
      <c r="O215" s="25"/>
      <c r="P215" s="62">
        <v>0</v>
      </c>
      <c r="Q215" s="25"/>
      <c r="R215" s="80"/>
      <c r="S215" s="89"/>
      <c r="T215" s="5"/>
    </row>
    <row r="216" spans="1:21" ht="15.6" x14ac:dyDescent="0.3">
      <c r="A216" s="85"/>
      <c r="B216" s="77" t="s">
        <v>98</v>
      </c>
      <c r="C216" s="90"/>
      <c r="D216" s="90"/>
      <c r="E216" s="90"/>
      <c r="F216" s="91"/>
      <c r="G216" s="25"/>
      <c r="H216" s="25"/>
      <c r="I216" s="25"/>
      <c r="J216" s="25"/>
      <c r="K216" s="25"/>
      <c r="L216" s="25"/>
      <c r="M216" s="25"/>
      <c r="N216" s="25"/>
      <c r="O216" s="25"/>
      <c r="P216" s="62">
        <v>0</v>
      </c>
      <c r="Q216" s="25"/>
      <c r="R216" s="80"/>
      <c r="S216" s="89"/>
      <c r="T216" s="5"/>
    </row>
    <row r="217" spans="1:21" ht="15.6" x14ac:dyDescent="0.3">
      <c r="A217" s="85"/>
      <c r="B217" s="123" t="s">
        <v>257</v>
      </c>
      <c r="C217" s="90"/>
      <c r="D217" s="90"/>
      <c r="E217" s="90"/>
      <c r="F217" s="91"/>
      <c r="G217" s="25"/>
      <c r="H217" s="25"/>
      <c r="I217" s="25"/>
      <c r="J217" s="25"/>
      <c r="K217" s="25"/>
      <c r="L217" s="25"/>
      <c r="M217" s="25"/>
      <c r="N217" s="25"/>
      <c r="O217" s="25"/>
      <c r="P217" s="92"/>
      <c r="Q217" s="25"/>
      <c r="R217" s="80"/>
      <c r="S217" s="89"/>
      <c r="T217" s="5"/>
    </row>
    <row r="218" spans="1:21" ht="15.6" x14ac:dyDescent="0.3">
      <c r="A218" s="85"/>
      <c r="B218" s="77" t="s">
        <v>283</v>
      </c>
      <c r="C218" s="90"/>
      <c r="D218" s="90"/>
      <c r="E218" s="90"/>
      <c r="F218" s="91"/>
      <c r="G218" s="25"/>
      <c r="H218" s="25"/>
      <c r="I218" s="25"/>
      <c r="J218" s="25"/>
      <c r="K218" s="25"/>
      <c r="L218" s="25"/>
      <c r="M218" s="25"/>
      <c r="N218" s="25"/>
      <c r="O218" s="25">
        <v>2</v>
      </c>
      <c r="P218" s="86">
        <v>406</v>
      </c>
      <c r="Q218" s="25"/>
      <c r="R218" s="80"/>
      <c r="S218" s="89"/>
      <c r="T218" s="5"/>
    </row>
    <row r="219" spans="1:21" ht="15.6" x14ac:dyDescent="0.3">
      <c r="A219" s="85"/>
      <c r="B219" s="77" t="s">
        <v>258</v>
      </c>
      <c r="C219" s="90"/>
      <c r="D219" s="90"/>
      <c r="E219" s="90"/>
      <c r="F219" s="91"/>
      <c r="G219" s="25"/>
      <c r="H219" s="25"/>
      <c r="I219" s="25"/>
      <c r="J219" s="25"/>
      <c r="K219" s="25"/>
      <c r="L219" s="25"/>
      <c r="M219" s="25"/>
      <c r="N219" s="25"/>
      <c r="O219" s="25"/>
      <c r="P219" s="171">
        <v>7.06</v>
      </c>
      <c r="Q219" s="25"/>
      <c r="R219" s="80"/>
      <c r="S219" s="89"/>
      <c r="T219" s="5"/>
    </row>
    <row r="220" spans="1:21" ht="17.399999999999999" x14ac:dyDescent="0.3">
      <c r="A220" s="85"/>
      <c r="B220" s="166" t="s">
        <v>247</v>
      </c>
      <c r="C220" s="90"/>
      <c r="D220" s="90"/>
      <c r="E220" s="90"/>
      <c r="F220" s="91"/>
      <c r="G220" s="25"/>
      <c r="H220" s="25"/>
      <c r="I220" s="25"/>
      <c r="J220" s="168" t="s">
        <v>246</v>
      </c>
      <c r="K220" s="25"/>
      <c r="L220" s="25"/>
      <c r="M220" s="25"/>
      <c r="N220" s="25"/>
      <c r="O220" s="25"/>
      <c r="P220" s="92"/>
      <c r="Q220" s="25"/>
      <c r="R220" s="80"/>
      <c r="S220" s="89"/>
      <c r="T220" s="5"/>
    </row>
    <row r="221" spans="1:21" ht="15.6" x14ac:dyDescent="0.3">
      <c r="A221" s="85"/>
      <c r="B221" s="77"/>
      <c r="C221" s="90"/>
      <c r="D221" s="90"/>
      <c r="E221" s="90"/>
      <c r="F221" s="91"/>
      <c r="G221" s="25"/>
      <c r="H221" s="25"/>
      <c r="I221" s="25"/>
      <c r="J221" s="25"/>
      <c r="K221" s="25"/>
      <c r="L221" s="25"/>
      <c r="M221" s="25"/>
      <c r="N221" s="25"/>
      <c r="O221" s="25"/>
      <c r="P221" s="92"/>
      <c r="Q221" s="25"/>
      <c r="R221" s="80"/>
      <c r="S221" s="89"/>
      <c r="T221" s="5"/>
    </row>
    <row r="222" spans="1:21" ht="15.6" x14ac:dyDescent="0.3">
      <c r="A222" s="6"/>
      <c r="B222" s="14" t="s">
        <v>236</v>
      </c>
      <c r="C222" s="82"/>
      <c r="D222" s="82"/>
      <c r="E222" s="82"/>
      <c r="F222" s="83"/>
      <c r="G222" s="82"/>
      <c r="H222" s="17"/>
      <c r="I222" s="17"/>
      <c r="J222" s="17"/>
      <c r="K222" s="17"/>
      <c r="L222" s="17"/>
      <c r="M222" s="17"/>
      <c r="N222" s="84" t="s">
        <v>113</v>
      </c>
      <c r="O222" s="17" t="s">
        <v>114</v>
      </c>
      <c r="P222" s="84" t="s">
        <v>123</v>
      </c>
      <c r="Q222" s="17" t="s">
        <v>114</v>
      </c>
      <c r="R222" s="8"/>
      <c r="S222" s="93"/>
      <c r="T222" s="5"/>
    </row>
    <row r="223" spans="1:21" ht="15.6" x14ac:dyDescent="0.3">
      <c r="A223" s="24"/>
      <c r="B223" s="54" t="s">
        <v>99</v>
      </c>
      <c r="C223" s="94"/>
      <c r="D223" s="94"/>
      <c r="E223" s="94"/>
      <c r="F223" s="25"/>
      <c r="G223" s="94"/>
      <c r="H223" s="94"/>
      <c r="I223" s="94"/>
      <c r="J223" s="94"/>
      <c r="K223" s="94"/>
      <c r="L223" s="94"/>
      <c r="M223" s="94"/>
      <c r="N223" s="54">
        <v>8057</v>
      </c>
      <c r="O223" s="95">
        <f t="shared" ref="O223:O230" si="1">N223/$N$232</f>
        <v>0.98786169691025016</v>
      </c>
      <c r="P223" s="53">
        <v>845088</v>
      </c>
      <c r="Q223" s="135">
        <f t="shared" ref="Q223:Q230" si="2">P223/$P$232</f>
        <v>0.99260964551669051</v>
      </c>
      <c r="R223" s="80"/>
      <c r="S223" s="89"/>
      <c r="T223" s="5"/>
    </row>
    <row r="224" spans="1:21" ht="15.6" x14ac:dyDescent="0.3">
      <c r="A224" s="24"/>
      <c r="B224" s="54" t="s">
        <v>100</v>
      </c>
      <c r="C224" s="94"/>
      <c r="D224" s="94"/>
      <c r="E224" s="94"/>
      <c r="F224" s="25"/>
      <c r="G224" s="95"/>
      <c r="H224" s="94"/>
      <c r="I224" s="94"/>
      <c r="J224" s="94"/>
      <c r="K224" s="94"/>
      <c r="L224" s="94"/>
      <c r="M224" s="94"/>
      <c r="N224" s="54">
        <v>64</v>
      </c>
      <c r="O224" s="95">
        <f t="shared" si="1"/>
        <v>7.8469838155958808E-3</v>
      </c>
      <c r="P224" s="53">
        <v>4136</v>
      </c>
      <c r="Q224" s="135">
        <f t="shared" si="2"/>
        <v>4.8579952547628553E-3</v>
      </c>
      <c r="R224" s="80"/>
      <c r="S224" s="89"/>
      <c r="T224" s="5"/>
      <c r="U224" s="110"/>
    </row>
    <row r="225" spans="1:21" ht="15.6" x14ac:dyDescent="0.3">
      <c r="A225" s="24"/>
      <c r="B225" s="54" t="s">
        <v>101</v>
      </c>
      <c r="C225" s="94"/>
      <c r="D225" s="94"/>
      <c r="E225" s="94"/>
      <c r="F225" s="25"/>
      <c r="G225" s="95"/>
      <c r="H225" s="94"/>
      <c r="I225" s="94"/>
      <c r="J225" s="94"/>
      <c r="K225" s="94"/>
      <c r="L225" s="94"/>
      <c r="M225" s="94"/>
      <c r="N225" s="54">
        <v>11</v>
      </c>
      <c r="O225" s="95">
        <f t="shared" si="1"/>
        <v>1.348700343305542E-3</v>
      </c>
      <c r="P225" s="53">
        <v>984</v>
      </c>
      <c r="Q225" s="135">
        <f t="shared" si="2"/>
        <v>1.1557706312105053E-3</v>
      </c>
      <c r="R225" s="80"/>
      <c r="S225" s="89"/>
      <c r="T225" s="5"/>
    </row>
    <row r="226" spans="1:21" ht="15.6" x14ac:dyDescent="0.3">
      <c r="A226" s="24"/>
      <c r="B226" s="54" t="s">
        <v>210</v>
      </c>
      <c r="C226" s="94"/>
      <c r="D226" s="94"/>
      <c r="E226" s="94"/>
      <c r="F226" s="25"/>
      <c r="G226" s="95"/>
      <c r="H226" s="94"/>
      <c r="I226" s="94"/>
      <c r="J226" s="94"/>
      <c r="K226" s="94"/>
      <c r="L226" s="94"/>
      <c r="M226" s="94"/>
      <c r="N226" s="54">
        <v>9</v>
      </c>
      <c r="O226" s="95">
        <f t="shared" si="1"/>
        <v>1.1034820990681706E-3</v>
      </c>
      <c r="P226" s="53">
        <v>370</v>
      </c>
      <c r="Q226" s="135">
        <f t="shared" si="2"/>
        <v>4.3458855035354368E-4</v>
      </c>
      <c r="R226" s="80"/>
      <c r="S226" s="89"/>
      <c r="T226" s="5"/>
      <c r="U226" s="110"/>
    </row>
    <row r="227" spans="1:21" ht="15.6" x14ac:dyDescent="0.3">
      <c r="A227" s="24"/>
      <c r="B227" s="54" t="s">
        <v>211</v>
      </c>
      <c r="C227" s="94"/>
      <c r="D227" s="94"/>
      <c r="E227" s="94"/>
      <c r="F227" s="25"/>
      <c r="G227" s="95"/>
      <c r="H227" s="94"/>
      <c r="I227" s="94"/>
      <c r="J227" s="94"/>
      <c r="K227" s="94"/>
      <c r="L227" s="94"/>
      <c r="M227" s="94"/>
      <c r="N227" s="54">
        <v>2</v>
      </c>
      <c r="O227" s="95">
        <f t="shared" si="1"/>
        <v>2.4521824423737128E-4</v>
      </c>
      <c r="P227" s="53">
        <v>111</v>
      </c>
      <c r="Q227" s="135">
        <f t="shared" si="2"/>
        <v>1.303765651060631E-4</v>
      </c>
      <c r="R227" s="80"/>
      <c r="S227" s="89"/>
      <c r="T227" s="5"/>
    </row>
    <row r="228" spans="1:21" ht="15.6" x14ac:dyDescent="0.3">
      <c r="A228" s="24"/>
      <c r="B228" s="54" t="s">
        <v>212</v>
      </c>
      <c r="C228" s="94"/>
      <c r="D228" s="94"/>
      <c r="E228" s="94"/>
      <c r="F228" s="25"/>
      <c r="G228" s="95"/>
      <c r="H228" s="94"/>
      <c r="I228" s="94"/>
      <c r="J228" s="94"/>
      <c r="K228" s="94"/>
      <c r="L228" s="94"/>
      <c r="M228" s="94"/>
      <c r="N228" s="54">
        <v>2</v>
      </c>
      <c r="O228" s="95">
        <f t="shared" si="1"/>
        <v>2.4521824423737128E-4</v>
      </c>
      <c r="P228" s="53">
        <v>79</v>
      </c>
      <c r="Q228" s="135">
        <f t="shared" si="2"/>
        <v>9.2790528318729596E-5</v>
      </c>
      <c r="R228" s="80"/>
      <c r="S228" s="89"/>
      <c r="T228" s="5"/>
      <c r="U228" s="110"/>
    </row>
    <row r="229" spans="1:21" ht="15.6" x14ac:dyDescent="0.3">
      <c r="A229" s="24"/>
      <c r="B229" s="54" t="s">
        <v>213</v>
      </c>
      <c r="C229" s="94"/>
      <c r="D229" s="94"/>
      <c r="E229" s="94"/>
      <c r="F229" s="25"/>
      <c r="G229" s="95"/>
      <c r="H229" s="94"/>
      <c r="I229" s="94"/>
      <c r="J229" s="94"/>
      <c r="K229" s="94"/>
      <c r="L229" s="94"/>
      <c r="M229" s="94"/>
      <c r="N229" s="54">
        <v>7</v>
      </c>
      <c r="O229" s="95">
        <f t="shared" si="1"/>
        <v>8.5826385483079941E-4</v>
      </c>
      <c r="P229" s="53">
        <v>414</v>
      </c>
      <c r="Q229" s="135">
        <f t="shared" si="2"/>
        <v>4.8626935093612722E-4</v>
      </c>
      <c r="R229" s="80"/>
      <c r="S229" s="89"/>
      <c r="T229" s="5"/>
    </row>
    <row r="230" spans="1:21" ht="15.6" x14ac:dyDescent="0.3">
      <c r="A230" s="24"/>
      <c r="B230" s="54" t="s">
        <v>214</v>
      </c>
      <c r="C230" s="94"/>
      <c r="D230" s="94"/>
      <c r="E230" s="94"/>
      <c r="F230" s="25"/>
      <c r="G230" s="95"/>
      <c r="H230" s="94"/>
      <c r="I230" s="94"/>
      <c r="J230" s="94"/>
      <c r="K230" s="94"/>
      <c r="L230" s="94"/>
      <c r="M230" s="94"/>
      <c r="N230" s="54">
        <v>4</v>
      </c>
      <c r="O230" s="95">
        <f t="shared" si="1"/>
        <v>4.9043648847474255E-4</v>
      </c>
      <c r="P230" s="53">
        <v>198</v>
      </c>
      <c r="Q230" s="135">
        <f t="shared" si="2"/>
        <v>2.3256360262162608E-4</v>
      </c>
      <c r="R230" s="80"/>
      <c r="S230" s="89"/>
      <c r="T230" s="5"/>
      <c r="U230" s="110"/>
    </row>
    <row r="231" spans="1:21" ht="15.6" x14ac:dyDescent="0.3">
      <c r="A231" s="24"/>
      <c r="B231" s="25"/>
      <c r="C231" s="94"/>
      <c r="D231" s="94"/>
      <c r="E231" s="94"/>
      <c r="F231" s="25"/>
      <c r="G231" s="95"/>
      <c r="H231" s="94"/>
      <c r="I231" s="94"/>
      <c r="J231" s="94"/>
      <c r="K231" s="94"/>
      <c r="L231" s="94"/>
      <c r="M231" s="94"/>
      <c r="N231" s="54"/>
      <c r="O231" s="95"/>
      <c r="P231" s="53"/>
      <c r="Q231" s="135"/>
      <c r="R231" s="80"/>
      <c r="S231" s="89"/>
      <c r="T231" s="5"/>
    </row>
    <row r="232" spans="1:21" ht="15.6" x14ac:dyDescent="0.3">
      <c r="A232" s="24"/>
      <c r="B232" s="25" t="s">
        <v>129</v>
      </c>
      <c r="C232" s="25"/>
      <c r="D232" s="25"/>
      <c r="E232" s="25"/>
      <c r="F232" s="25"/>
      <c r="G232" s="25"/>
      <c r="H232" s="96"/>
      <c r="I232" s="96"/>
      <c r="J232" s="96"/>
      <c r="K232" s="96"/>
      <c r="L232" s="96"/>
      <c r="M232" s="96"/>
      <c r="N232" s="34">
        <f>SUM(N223:N231)</f>
        <v>8156</v>
      </c>
      <c r="O232" s="135">
        <f>SUM(O223:O231)</f>
        <v>1.0000000000000002</v>
      </c>
      <c r="P232" s="53">
        <f>SUM(P223:P231)</f>
        <v>851380</v>
      </c>
      <c r="Q232" s="135">
        <f>SUM(Q223:Q231)</f>
        <v>0.99999999999999978</v>
      </c>
      <c r="R232" s="25"/>
      <c r="S232" s="25"/>
      <c r="T232" s="5"/>
    </row>
    <row r="233" spans="1:21" ht="15.6" x14ac:dyDescent="0.3">
      <c r="A233" s="24"/>
      <c r="B233" s="25"/>
      <c r="C233" s="25"/>
      <c r="D233" s="25"/>
      <c r="E233" s="25"/>
      <c r="F233" s="25"/>
      <c r="G233" s="25"/>
      <c r="H233" s="96"/>
      <c r="I233" s="96"/>
      <c r="J233" s="96"/>
      <c r="K233" s="96"/>
      <c r="L233" s="96"/>
      <c r="M233" s="96"/>
      <c r="N233" s="34"/>
      <c r="O233" s="135"/>
      <c r="P233" s="53"/>
      <c r="Q233" s="135"/>
      <c r="R233" s="25"/>
      <c r="S233" s="25"/>
      <c r="T233" s="5"/>
    </row>
    <row r="234" spans="1:21" ht="15.6" x14ac:dyDescent="0.3">
      <c r="A234" s="144"/>
      <c r="B234" s="14" t="s">
        <v>241</v>
      </c>
      <c r="C234" s="82"/>
      <c r="D234" s="82"/>
      <c r="E234" s="82"/>
      <c r="F234" s="83"/>
      <c r="G234" s="82"/>
      <c r="H234" s="17"/>
      <c r="I234" s="17"/>
      <c r="J234" s="17"/>
      <c r="K234" s="17"/>
      <c r="L234" s="17"/>
      <c r="M234" s="17"/>
      <c r="N234" s="84" t="s">
        <v>113</v>
      </c>
      <c r="O234" s="17" t="s">
        <v>114</v>
      </c>
      <c r="P234" s="84" t="s">
        <v>123</v>
      </c>
      <c r="Q234" s="17" t="s">
        <v>114</v>
      </c>
      <c r="R234" s="142"/>
      <c r="S234" s="143"/>
      <c r="T234" s="5"/>
    </row>
    <row r="235" spans="1:21" ht="15.6" x14ac:dyDescent="0.3">
      <c r="A235" s="24"/>
      <c r="B235" s="54" t="s">
        <v>99</v>
      </c>
      <c r="C235" s="94"/>
      <c r="D235" s="94"/>
      <c r="E235" s="94"/>
      <c r="F235" s="25"/>
      <c r="G235" s="94"/>
      <c r="H235" s="94"/>
      <c r="I235" s="94"/>
      <c r="J235" s="94"/>
      <c r="K235" s="94"/>
      <c r="L235" s="94"/>
      <c r="M235" s="94"/>
      <c r="N235" s="54">
        <v>27</v>
      </c>
      <c r="O235" s="95">
        <f t="shared" ref="O235:O242" si="3">N235/$N$244</f>
        <v>0.52941176470588236</v>
      </c>
      <c r="P235" s="53">
        <v>3653</v>
      </c>
      <c r="Q235" s="135">
        <f t="shared" ref="Q235:Q242" si="4">P235/$P$244</f>
        <v>0.55248033877797942</v>
      </c>
      <c r="R235" s="25"/>
      <c r="S235" s="25"/>
      <c r="T235" s="5"/>
    </row>
    <row r="236" spans="1:21" ht="15.6" x14ac:dyDescent="0.3">
      <c r="A236" s="24"/>
      <c r="B236" s="54" t="s">
        <v>100</v>
      </c>
      <c r="C236" s="94"/>
      <c r="D236" s="94"/>
      <c r="E236" s="94"/>
      <c r="F236" s="25"/>
      <c r="G236" s="95"/>
      <c r="H236" s="94"/>
      <c r="I236" s="94"/>
      <c r="J236" s="94"/>
      <c r="K236" s="94"/>
      <c r="L236" s="94"/>
      <c r="M236" s="94"/>
      <c r="N236" s="54">
        <v>2</v>
      </c>
      <c r="O236" s="95">
        <f t="shared" si="3"/>
        <v>3.9215686274509803E-2</v>
      </c>
      <c r="P236" s="53">
        <v>261</v>
      </c>
      <c r="Q236" s="135">
        <f t="shared" si="4"/>
        <v>3.9473684210526314E-2</v>
      </c>
      <c r="R236" s="25"/>
      <c r="S236" s="25"/>
      <c r="T236" s="5"/>
    </row>
    <row r="237" spans="1:21" ht="15.6" x14ac:dyDescent="0.3">
      <c r="A237" s="24"/>
      <c r="B237" s="54" t="s">
        <v>101</v>
      </c>
      <c r="C237" s="94"/>
      <c r="D237" s="94"/>
      <c r="E237" s="94"/>
      <c r="F237" s="25"/>
      <c r="G237" s="95"/>
      <c r="H237" s="94"/>
      <c r="I237" s="94"/>
      <c r="J237" s="94"/>
      <c r="K237" s="94"/>
      <c r="L237" s="94"/>
      <c r="M237" s="94"/>
      <c r="N237" s="54">
        <v>2</v>
      </c>
      <c r="O237" s="95">
        <f t="shared" si="3"/>
        <v>3.9215686274509803E-2</v>
      </c>
      <c r="P237" s="53">
        <v>151</v>
      </c>
      <c r="Q237" s="135">
        <f t="shared" si="4"/>
        <v>2.2837265577737447E-2</v>
      </c>
      <c r="R237" s="25"/>
      <c r="S237" s="25"/>
      <c r="T237" s="5"/>
    </row>
    <row r="238" spans="1:21" ht="15.6" x14ac:dyDescent="0.3">
      <c r="A238" s="24"/>
      <c r="B238" s="54" t="s">
        <v>210</v>
      </c>
      <c r="C238" s="94"/>
      <c r="D238" s="94"/>
      <c r="E238" s="94"/>
      <c r="F238" s="25"/>
      <c r="G238" s="95"/>
      <c r="H238" s="94"/>
      <c r="I238" s="94"/>
      <c r="J238" s="94"/>
      <c r="K238" s="94"/>
      <c r="L238" s="94"/>
      <c r="M238" s="94"/>
      <c r="N238" s="54">
        <v>10</v>
      </c>
      <c r="O238" s="95">
        <f t="shared" si="3"/>
        <v>0.19607843137254902</v>
      </c>
      <c r="P238" s="53">
        <v>1021</v>
      </c>
      <c r="Q238" s="135">
        <f t="shared" si="4"/>
        <v>0.15441621294615851</v>
      </c>
      <c r="R238" s="25"/>
      <c r="S238" s="25"/>
      <c r="T238" s="5"/>
    </row>
    <row r="239" spans="1:21" ht="15.6" x14ac:dyDescent="0.3">
      <c r="A239" s="24"/>
      <c r="B239" s="54" t="s">
        <v>211</v>
      </c>
      <c r="C239" s="94"/>
      <c r="D239" s="94"/>
      <c r="E239" s="94"/>
      <c r="F239" s="25"/>
      <c r="G239" s="95"/>
      <c r="H239" s="94"/>
      <c r="I239" s="94"/>
      <c r="J239" s="94"/>
      <c r="K239" s="94"/>
      <c r="L239" s="94"/>
      <c r="M239" s="94"/>
      <c r="N239" s="54">
        <v>2</v>
      </c>
      <c r="O239" s="95">
        <f t="shared" si="3"/>
        <v>3.9215686274509803E-2</v>
      </c>
      <c r="P239" s="53">
        <v>427</v>
      </c>
      <c r="Q239" s="135">
        <f t="shared" si="4"/>
        <v>6.4579552329098608E-2</v>
      </c>
      <c r="R239" s="25"/>
      <c r="S239" s="25"/>
      <c r="T239" s="5"/>
    </row>
    <row r="240" spans="1:21" ht="15.6" x14ac:dyDescent="0.3">
      <c r="A240" s="24"/>
      <c r="B240" s="54" t="s">
        <v>212</v>
      </c>
      <c r="C240" s="94"/>
      <c r="D240" s="94"/>
      <c r="E240" s="94"/>
      <c r="F240" s="25"/>
      <c r="G240" s="95"/>
      <c r="H240" s="94"/>
      <c r="I240" s="94"/>
      <c r="J240" s="94"/>
      <c r="K240" s="94"/>
      <c r="L240" s="94"/>
      <c r="M240" s="94"/>
      <c r="N240" s="54">
        <v>0</v>
      </c>
      <c r="O240" s="95">
        <f t="shared" si="3"/>
        <v>0</v>
      </c>
      <c r="P240" s="53">
        <v>0</v>
      </c>
      <c r="Q240" s="135">
        <f t="shared" si="4"/>
        <v>0</v>
      </c>
      <c r="R240" s="25"/>
      <c r="S240" s="25"/>
      <c r="T240" s="5"/>
    </row>
    <row r="241" spans="1:20" ht="15.6" x14ac:dyDescent="0.3">
      <c r="A241" s="24"/>
      <c r="B241" s="54" t="s">
        <v>213</v>
      </c>
      <c r="C241" s="94"/>
      <c r="D241" s="94"/>
      <c r="E241" s="94"/>
      <c r="F241" s="25"/>
      <c r="G241" s="95"/>
      <c r="H241" s="94"/>
      <c r="I241" s="94"/>
      <c r="J241" s="94"/>
      <c r="K241" s="94"/>
      <c r="L241" s="94"/>
      <c r="M241" s="94"/>
      <c r="N241" s="54">
        <v>7</v>
      </c>
      <c r="O241" s="95">
        <f t="shared" si="3"/>
        <v>0.13725490196078433</v>
      </c>
      <c r="P241" s="53">
        <v>1070</v>
      </c>
      <c r="Q241" s="135">
        <f t="shared" si="4"/>
        <v>0.161826981246219</v>
      </c>
      <c r="R241" s="25"/>
      <c r="S241" s="25"/>
      <c r="T241" s="5"/>
    </row>
    <row r="242" spans="1:20" ht="15.6" x14ac:dyDescent="0.3">
      <c r="A242" s="24"/>
      <c r="B242" s="54" t="s">
        <v>214</v>
      </c>
      <c r="C242" s="94"/>
      <c r="D242" s="94"/>
      <c r="E242" s="94"/>
      <c r="F242" s="25"/>
      <c r="G242" s="95"/>
      <c r="H242" s="94"/>
      <c r="I242" s="94"/>
      <c r="J242" s="94"/>
      <c r="K242" s="94"/>
      <c r="L242" s="94"/>
      <c r="M242" s="94"/>
      <c r="N242" s="54">
        <v>1</v>
      </c>
      <c r="O242" s="95">
        <f t="shared" si="3"/>
        <v>1.9607843137254902E-2</v>
      </c>
      <c r="P242" s="53">
        <v>29</v>
      </c>
      <c r="Q242" s="135">
        <f t="shared" si="4"/>
        <v>4.3859649122807015E-3</v>
      </c>
      <c r="R242" s="25"/>
      <c r="S242" s="25"/>
      <c r="T242" s="5"/>
    </row>
    <row r="243" spans="1:20" ht="15.6" x14ac:dyDescent="0.3">
      <c r="A243" s="24"/>
      <c r="B243" s="25"/>
      <c r="C243" s="94"/>
      <c r="D243" s="94"/>
      <c r="E243" s="94"/>
      <c r="F243" s="25"/>
      <c r="G243" s="95"/>
      <c r="H243" s="94"/>
      <c r="I243" s="94"/>
      <c r="J243" s="94"/>
      <c r="K243" s="94"/>
      <c r="L243" s="94"/>
      <c r="M243" s="94"/>
      <c r="N243" s="54"/>
      <c r="O243" s="95"/>
      <c r="P243" s="53"/>
      <c r="Q243" s="135"/>
      <c r="R243" s="25"/>
      <c r="S243" s="25"/>
      <c r="T243" s="5"/>
    </row>
    <row r="244" spans="1:20" ht="15.6" x14ac:dyDescent="0.3">
      <c r="A244" s="24"/>
      <c r="B244" s="25" t="s">
        <v>129</v>
      </c>
      <c r="C244" s="25"/>
      <c r="D244" s="25"/>
      <c r="E244" s="25"/>
      <c r="F244" s="25"/>
      <c r="G244" s="25"/>
      <c r="H244" s="96"/>
      <c r="I244" s="96"/>
      <c r="J244" s="96"/>
      <c r="K244" s="96"/>
      <c r="L244" s="96"/>
      <c r="M244" s="96"/>
      <c r="N244" s="34">
        <f>SUM(N235:N243)</f>
        <v>51</v>
      </c>
      <c r="O244" s="135">
        <f>SUM(O235:O243)</f>
        <v>0.99999999999999989</v>
      </c>
      <c r="P244" s="53">
        <f>SUM(P235:P243)</f>
        <v>6612</v>
      </c>
      <c r="Q244" s="135">
        <f>SUM(Q235:Q243)</f>
        <v>1</v>
      </c>
      <c r="R244" s="25"/>
      <c r="S244" s="25"/>
      <c r="T244" s="5"/>
    </row>
    <row r="245" spans="1:20" ht="15.6" x14ac:dyDescent="0.3">
      <c r="A245" s="24"/>
      <c r="B245" s="25"/>
      <c r="C245" s="25"/>
      <c r="D245" s="25"/>
      <c r="E245" s="25"/>
      <c r="F245" s="25"/>
      <c r="G245" s="25"/>
      <c r="H245" s="96"/>
      <c r="I245" s="96"/>
      <c r="J245" s="96"/>
      <c r="K245" s="96"/>
      <c r="L245" s="96"/>
      <c r="M245" s="96"/>
      <c r="N245" s="34"/>
      <c r="O245" s="135"/>
      <c r="P245" s="53"/>
      <c r="Q245" s="135"/>
      <c r="R245" s="25"/>
      <c r="S245" s="25"/>
      <c r="T245" s="5"/>
    </row>
    <row r="246" spans="1:20" s="153" customFormat="1" ht="15.6" x14ac:dyDescent="0.3">
      <c r="A246" s="144"/>
      <c r="B246" s="14" t="s">
        <v>239</v>
      </c>
      <c r="C246" s="151"/>
      <c r="D246" s="151"/>
      <c r="E246" s="151"/>
      <c r="F246" s="151"/>
      <c r="G246" s="151"/>
      <c r="H246" s="152"/>
      <c r="I246" s="152"/>
      <c r="J246" s="152"/>
      <c r="K246" s="152"/>
      <c r="L246" s="152"/>
      <c r="M246" s="152"/>
      <c r="N246" s="84" t="s">
        <v>113</v>
      </c>
      <c r="O246" s="17" t="s">
        <v>114</v>
      </c>
      <c r="P246" s="84" t="s">
        <v>123</v>
      </c>
      <c r="Q246" s="17" t="s">
        <v>114</v>
      </c>
      <c r="R246" s="151"/>
      <c r="S246" s="151"/>
      <c r="T246" s="5"/>
    </row>
    <row r="247" spans="1:20" s="153" customFormat="1" ht="15.6" x14ac:dyDescent="0.3">
      <c r="A247" s="24"/>
      <c r="B247" s="54" t="s">
        <v>99</v>
      </c>
      <c r="C247" s="161"/>
      <c r="D247" s="161"/>
      <c r="E247" s="161"/>
      <c r="F247" s="161"/>
      <c r="G247" s="161"/>
      <c r="H247" s="162"/>
      <c r="I247" s="162"/>
      <c r="J247" s="162"/>
      <c r="K247" s="162"/>
      <c r="L247" s="162"/>
      <c r="M247" s="162"/>
      <c r="N247" s="54">
        <v>0</v>
      </c>
      <c r="O247" s="95">
        <f t="shared" ref="O247:O254" si="5">+N247/$N$256</f>
        <v>0</v>
      </c>
      <c r="P247" s="53">
        <v>0</v>
      </c>
      <c r="Q247" s="135">
        <f t="shared" ref="Q247:Q254" si="6">+P247/$P$256</f>
        <v>0</v>
      </c>
      <c r="R247" s="155"/>
      <c r="S247" s="160"/>
      <c r="T247" s="5"/>
    </row>
    <row r="248" spans="1:20" s="153" customFormat="1" ht="15.6" x14ac:dyDescent="0.3">
      <c r="A248" s="24"/>
      <c r="B248" s="54" t="s">
        <v>100</v>
      </c>
      <c r="C248" s="161"/>
      <c r="D248" s="161"/>
      <c r="E248" s="161"/>
      <c r="F248" s="161"/>
      <c r="G248" s="161"/>
      <c r="H248" s="162"/>
      <c r="I248" s="162"/>
      <c r="J248" s="162"/>
      <c r="K248" s="162"/>
      <c r="L248" s="162"/>
      <c r="M248" s="162"/>
      <c r="N248" s="54">
        <v>0</v>
      </c>
      <c r="O248" s="95">
        <f t="shared" si="5"/>
        <v>0</v>
      </c>
      <c r="P248" s="53">
        <v>0</v>
      </c>
      <c r="Q248" s="135">
        <f t="shared" si="6"/>
        <v>0</v>
      </c>
      <c r="R248" s="135"/>
      <c r="S248" s="160"/>
      <c r="T248" s="5"/>
    </row>
    <row r="249" spans="1:20" s="153" customFormat="1" ht="15.6" x14ac:dyDescent="0.3">
      <c r="A249" s="24"/>
      <c r="B249" s="54" t="s">
        <v>101</v>
      </c>
      <c r="C249" s="161"/>
      <c r="D249" s="161"/>
      <c r="E249" s="161"/>
      <c r="F249" s="161"/>
      <c r="G249" s="161"/>
      <c r="H249" s="162"/>
      <c r="I249" s="162"/>
      <c r="J249" s="162"/>
      <c r="K249" s="162"/>
      <c r="L249" s="162"/>
      <c r="M249" s="162"/>
      <c r="N249" s="54">
        <v>0</v>
      </c>
      <c r="O249" s="95">
        <f t="shared" si="5"/>
        <v>0</v>
      </c>
      <c r="P249" s="53">
        <v>0</v>
      </c>
      <c r="Q249" s="135">
        <f t="shared" si="6"/>
        <v>0</v>
      </c>
      <c r="R249" s="155"/>
      <c r="S249" s="160"/>
      <c r="T249" s="5"/>
    </row>
    <row r="250" spans="1:20" s="153" customFormat="1" ht="15.6" x14ac:dyDescent="0.3">
      <c r="A250" s="24"/>
      <c r="B250" s="54" t="s">
        <v>210</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t="s">
        <v>211</v>
      </c>
      <c r="C251" s="161"/>
      <c r="D251" s="161"/>
      <c r="E251" s="161"/>
      <c r="F251" s="161"/>
      <c r="G251" s="161"/>
      <c r="H251" s="162"/>
      <c r="I251" s="162"/>
      <c r="J251" s="162"/>
      <c r="K251" s="162"/>
      <c r="L251" s="162"/>
      <c r="M251" s="162"/>
      <c r="N251" s="54">
        <v>0</v>
      </c>
      <c r="O251" s="95">
        <f t="shared" si="5"/>
        <v>0</v>
      </c>
      <c r="P251" s="53">
        <v>0</v>
      </c>
      <c r="Q251" s="135">
        <f t="shared" si="6"/>
        <v>0</v>
      </c>
      <c r="R251" s="155"/>
      <c r="S251" s="160"/>
      <c r="T251" s="5"/>
    </row>
    <row r="252" spans="1:20" s="153" customFormat="1" ht="15.6" x14ac:dyDescent="0.3">
      <c r="A252" s="24"/>
      <c r="B252" s="54" t="s">
        <v>212</v>
      </c>
      <c r="C252" s="161"/>
      <c r="D252" s="161"/>
      <c r="E252" s="161"/>
      <c r="F252" s="161"/>
      <c r="G252" s="161"/>
      <c r="H252" s="162"/>
      <c r="I252" s="162"/>
      <c r="J252" s="162"/>
      <c r="K252" s="162"/>
      <c r="L252" s="162"/>
      <c r="M252" s="162"/>
      <c r="N252" s="54">
        <v>0</v>
      </c>
      <c r="O252" s="95">
        <f t="shared" si="5"/>
        <v>0</v>
      </c>
      <c r="P252" s="53">
        <v>0</v>
      </c>
      <c r="Q252" s="135">
        <f t="shared" si="6"/>
        <v>0</v>
      </c>
      <c r="R252" s="155"/>
      <c r="S252" s="160"/>
      <c r="T252" s="5"/>
    </row>
    <row r="253" spans="1:20" s="153" customFormat="1" ht="15.6" x14ac:dyDescent="0.3">
      <c r="A253" s="24"/>
      <c r="B253" s="54" t="s">
        <v>213</v>
      </c>
      <c r="C253" s="161"/>
      <c r="D253" s="161"/>
      <c r="E253" s="161"/>
      <c r="F253" s="161"/>
      <c r="G253" s="161"/>
      <c r="H253" s="162"/>
      <c r="I253" s="162"/>
      <c r="J253" s="162"/>
      <c r="K253" s="162"/>
      <c r="L253" s="162"/>
      <c r="M253" s="162"/>
      <c r="N253" s="54">
        <v>1</v>
      </c>
      <c r="O253" s="95">
        <f t="shared" si="5"/>
        <v>0.5</v>
      </c>
      <c r="P253" s="53">
        <v>40</v>
      </c>
      <c r="Q253" s="135">
        <f t="shared" si="6"/>
        <v>0.49382716049382713</v>
      </c>
      <c r="R253" s="155"/>
      <c r="S253" s="160"/>
      <c r="T253" s="5"/>
    </row>
    <row r="254" spans="1:20" s="153" customFormat="1" ht="15.6" x14ac:dyDescent="0.3">
      <c r="A254" s="24"/>
      <c r="B254" s="54" t="s">
        <v>214</v>
      </c>
      <c r="C254" s="161"/>
      <c r="D254" s="161"/>
      <c r="E254" s="161"/>
      <c r="F254" s="161"/>
      <c r="G254" s="161"/>
      <c r="H254" s="162"/>
      <c r="I254" s="162"/>
      <c r="J254" s="162"/>
      <c r="K254" s="162"/>
      <c r="L254" s="162"/>
      <c r="M254" s="162"/>
      <c r="N254" s="54">
        <v>1</v>
      </c>
      <c r="O254" s="95">
        <f t="shared" si="5"/>
        <v>0.5</v>
      </c>
      <c r="P254" s="53">
        <v>41</v>
      </c>
      <c r="Q254" s="135">
        <f t="shared" si="6"/>
        <v>0.50617283950617287</v>
      </c>
      <c r="R254" s="155"/>
      <c r="S254" s="160"/>
      <c r="T254" s="5"/>
    </row>
    <row r="255" spans="1:20" s="153" customFormat="1" ht="15.6" x14ac:dyDescent="0.3">
      <c r="A255" s="24"/>
      <c r="B255" s="54"/>
      <c r="C255" s="161"/>
      <c r="D255" s="161"/>
      <c r="E255" s="161"/>
      <c r="F255" s="161"/>
      <c r="G255" s="161"/>
      <c r="H255" s="162"/>
      <c r="I255" s="162"/>
      <c r="J255" s="162"/>
      <c r="K255" s="162"/>
      <c r="L255" s="162"/>
      <c r="M255" s="162"/>
      <c r="N255" s="54"/>
      <c r="O255" s="95"/>
      <c r="P255" s="53"/>
      <c r="Q255" s="135"/>
      <c r="R255" s="155"/>
      <c r="S255" s="160"/>
      <c r="T255" s="5"/>
    </row>
    <row r="256" spans="1:20" ht="15.6" x14ac:dyDescent="0.3">
      <c r="A256" s="24"/>
      <c r="B256" s="25" t="s">
        <v>129</v>
      </c>
      <c r="C256" s="161"/>
      <c r="D256" s="161"/>
      <c r="E256" s="161"/>
      <c r="F256" s="161"/>
      <c r="G256" s="161"/>
      <c r="H256" s="162"/>
      <c r="I256" s="162"/>
      <c r="J256" s="162"/>
      <c r="K256" s="162"/>
      <c r="L256" s="162"/>
      <c r="M256" s="162"/>
      <c r="N256" s="34">
        <f>SUM(N247:N254)</f>
        <v>2</v>
      </c>
      <c r="O256" s="95">
        <f>SUM(O247:O254)</f>
        <v>1</v>
      </c>
      <c r="P256" s="53">
        <f>SUM(P247:P254)</f>
        <v>81</v>
      </c>
      <c r="Q256" s="135">
        <f>SUM(Q247:Q254)</f>
        <v>1</v>
      </c>
      <c r="R256" s="155"/>
      <c r="S256" s="160"/>
      <c r="T256" s="5"/>
    </row>
    <row r="257" spans="1:20" ht="15.6" x14ac:dyDescent="0.3">
      <c r="A257" s="24"/>
      <c r="B257" s="25"/>
      <c r="C257" s="151"/>
      <c r="D257" s="151"/>
      <c r="E257" s="151"/>
      <c r="F257" s="151"/>
      <c r="G257" s="151"/>
      <c r="H257" s="152"/>
      <c r="I257" s="152"/>
      <c r="J257" s="152"/>
      <c r="K257" s="152"/>
      <c r="L257" s="152"/>
      <c r="M257" s="152"/>
      <c r="N257" s="34"/>
      <c r="O257" s="135"/>
      <c r="P257" s="53"/>
      <c r="Q257" s="135"/>
      <c r="R257" s="151"/>
      <c r="S257" s="151"/>
      <c r="T257" s="5"/>
    </row>
    <row r="258" spans="1:20" ht="15.6" x14ac:dyDescent="0.3">
      <c r="A258" s="24"/>
      <c r="B258" s="154" t="s">
        <v>240</v>
      </c>
      <c r="C258" s="155"/>
      <c r="D258" s="155"/>
      <c r="E258" s="155"/>
      <c r="F258" s="155"/>
      <c r="G258" s="155"/>
      <c r="H258" s="156"/>
      <c r="I258" s="156"/>
      <c r="J258" s="156"/>
      <c r="K258" s="156"/>
      <c r="L258" s="156"/>
      <c r="M258" s="156"/>
      <c r="N258" s="157"/>
      <c r="O258" s="158"/>
      <c r="P258" s="159">
        <f>+P256+P244+P232</f>
        <v>858073</v>
      </c>
      <c r="Q258" s="158"/>
      <c r="R258" s="155"/>
      <c r="S258" s="160"/>
      <c r="T258" s="5"/>
    </row>
    <row r="259" spans="1:20" ht="15.6" x14ac:dyDescent="0.3">
      <c r="A259" s="24"/>
      <c r="B259" s="154"/>
      <c r="C259" s="8"/>
      <c r="D259" s="8"/>
      <c r="E259" s="8"/>
      <c r="F259" s="8"/>
      <c r="G259" s="8"/>
      <c r="H259" s="97"/>
      <c r="I259" s="97"/>
      <c r="J259" s="97"/>
      <c r="K259" s="97"/>
      <c r="L259" s="97"/>
      <c r="M259" s="97"/>
      <c r="N259" s="97"/>
      <c r="O259" s="97"/>
      <c r="P259" s="98"/>
      <c r="Q259" s="97"/>
      <c r="R259" s="8"/>
      <c r="S259" s="8"/>
      <c r="T259" s="5"/>
    </row>
    <row r="260" spans="1:20" ht="15.6" x14ac:dyDescent="0.3">
      <c r="A260" s="150"/>
      <c r="B260" s="14" t="s">
        <v>102</v>
      </c>
      <c r="C260" s="15"/>
      <c r="D260" s="15"/>
      <c r="E260" s="15"/>
      <c r="F260" s="17" t="s">
        <v>108</v>
      </c>
      <c r="G260" s="15"/>
      <c r="H260" s="14" t="s">
        <v>110</v>
      </c>
      <c r="I260" s="145"/>
      <c r="J260" s="145"/>
      <c r="K260" s="145"/>
      <c r="L260" s="145"/>
      <c r="M260" s="145"/>
      <c r="N260" s="145"/>
      <c r="O260" s="145"/>
      <c r="P260" s="145"/>
      <c r="Q260" s="145"/>
      <c r="R260" s="145"/>
      <c r="S260" s="145"/>
      <c r="T260" s="5"/>
    </row>
    <row r="261" spans="1:20" ht="15.6" x14ac:dyDescent="0.3">
      <c r="A261" s="150"/>
      <c r="B261" s="145"/>
      <c r="C261" s="8"/>
      <c r="D261" s="8"/>
      <c r="E261" s="8"/>
      <c r="F261" s="8"/>
      <c r="G261" s="8"/>
      <c r="H261" s="8"/>
      <c r="I261" s="145"/>
      <c r="J261" s="145"/>
      <c r="K261" s="145"/>
      <c r="L261" s="145"/>
      <c r="M261" s="145"/>
      <c r="N261" s="145"/>
      <c r="O261" s="145"/>
      <c r="P261" s="145"/>
      <c r="Q261" s="145"/>
      <c r="R261" s="145"/>
      <c r="S261" s="145"/>
      <c r="T261" s="5"/>
    </row>
    <row r="262" spans="1:20" ht="15.6" x14ac:dyDescent="0.3">
      <c r="A262" s="150"/>
      <c r="B262" s="13" t="s">
        <v>103</v>
      </c>
      <c r="C262" s="13"/>
      <c r="D262" s="13"/>
      <c r="E262" s="13"/>
      <c r="F262" s="133" t="s">
        <v>172</v>
      </c>
      <c r="G262" s="13"/>
      <c r="H262" s="13" t="s">
        <v>200</v>
      </c>
      <c r="I262" s="145"/>
      <c r="J262" s="145"/>
      <c r="K262" s="145"/>
      <c r="L262" s="145"/>
      <c r="M262" s="145"/>
      <c r="N262" s="145"/>
      <c r="O262" s="145"/>
      <c r="P262" s="145"/>
      <c r="Q262" s="145"/>
      <c r="R262" s="145"/>
      <c r="S262" s="145"/>
      <c r="T262" s="5"/>
    </row>
    <row r="263" spans="1:20" ht="15.6" x14ac:dyDescent="0.3">
      <c r="A263" s="150"/>
      <c r="B263" s="13" t="s">
        <v>271</v>
      </c>
      <c r="C263" s="13"/>
      <c r="D263" s="13"/>
      <c r="E263" s="13"/>
      <c r="F263" s="133" t="s">
        <v>272</v>
      </c>
      <c r="G263" s="13"/>
      <c r="H263" s="13" t="s">
        <v>273</v>
      </c>
      <c r="I263" s="145"/>
      <c r="J263" s="145"/>
      <c r="K263" s="145"/>
      <c r="L263" s="145"/>
      <c r="M263" s="145"/>
      <c r="N263" s="145"/>
      <c r="O263" s="145"/>
      <c r="P263" s="145"/>
      <c r="Q263" s="145"/>
      <c r="R263" s="145"/>
      <c r="S263" s="145"/>
      <c r="T263" s="5"/>
    </row>
    <row r="264" spans="1:20" ht="15.6" x14ac:dyDescent="0.3">
      <c r="A264" s="150"/>
      <c r="B264" s="13" t="s">
        <v>104</v>
      </c>
      <c r="C264" s="13"/>
      <c r="D264" s="13"/>
      <c r="E264" s="13"/>
      <c r="F264" s="133" t="s">
        <v>171</v>
      </c>
      <c r="G264" s="13"/>
      <c r="H264" s="13" t="s">
        <v>201</v>
      </c>
      <c r="I264" s="145"/>
      <c r="J264" s="145"/>
      <c r="K264" s="145"/>
      <c r="L264" s="145"/>
      <c r="M264" s="145"/>
      <c r="N264" s="145"/>
      <c r="O264" s="145"/>
      <c r="P264" s="145"/>
      <c r="Q264" s="145"/>
      <c r="R264" s="145"/>
      <c r="S264" s="145"/>
      <c r="T264" s="5"/>
    </row>
    <row r="265" spans="1:20" ht="15.6" x14ac:dyDescent="0.3">
      <c r="A265" s="150"/>
      <c r="B265" s="13"/>
      <c r="C265" s="13"/>
      <c r="D265" s="13"/>
      <c r="E265" s="13"/>
      <c r="F265" s="13"/>
      <c r="G265" s="100"/>
      <c r="H265" s="145"/>
      <c r="I265" s="145"/>
      <c r="J265" s="145"/>
      <c r="K265" s="145"/>
      <c r="L265" s="145"/>
      <c r="M265" s="145"/>
      <c r="N265" s="145"/>
      <c r="O265" s="145"/>
      <c r="P265" s="145"/>
      <c r="Q265" s="145"/>
      <c r="R265" s="145"/>
      <c r="S265" s="145"/>
      <c r="T265" s="5"/>
    </row>
    <row r="266" spans="1:20" ht="18" thickBot="1" x14ac:dyDescent="0.35">
      <c r="A266" s="150"/>
      <c r="B266" s="49" t="str">
        <f>B186</f>
        <v>PM8 INVESTOR REPORT QUARTER ENDING MARCH 2006</v>
      </c>
      <c r="C266" s="13"/>
      <c r="D266" s="13"/>
      <c r="E266" s="13"/>
      <c r="F266" s="13"/>
      <c r="G266" s="100"/>
      <c r="H266" s="145"/>
      <c r="I266" s="145"/>
      <c r="J266" s="145"/>
      <c r="K266" s="145"/>
      <c r="L266" s="145"/>
      <c r="M266" s="145"/>
      <c r="N266" s="145"/>
      <c r="O266" s="145"/>
      <c r="P266" s="145"/>
      <c r="Q266" s="145"/>
      <c r="R266" s="145"/>
      <c r="S266" s="145"/>
      <c r="T266" s="5"/>
    </row>
    <row r="267" spans="1:20" x14ac:dyDescent="0.25">
      <c r="A267" s="101"/>
      <c r="B267" s="101"/>
      <c r="C267" s="101"/>
      <c r="D267" s="101"/>
      <c r="E267" s="101"/>
      <c r="F267" s="101"/>
      <c r="G267" s="101"/>
      <c r="H267" s="101"/>
      <c r="I267" s="101"/>
      <c r="J267" s="101"/>
      <c r="K267" s="101"/>
      <c r="L267" s="101"/>
      <c r="M267" s="101"/>
      <c r="N267" s="101"/>
      <c r="O267" s="101"/>
      <c r="P267" s="101"/>
      <c r="Q267" s="101"/>
      <c r="R267" s="101"/>
      <c r="S267" s="101"/>
    </row>
  </sheetData>
  <phoneticPr fontId="0" type="noConversion"/>
  <hyperlinks>
    <hyperlink ref="H9" r:id="rId1"/>
    <hyperlink ref="J220"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0" max="14" man="1"/>
    <brk id="186"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0"/>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180"/>
      <c r="B1" s="239" t="s">
        <v>179</v>
      </c>
      <c r="C1" s="181"/>
      <c r="D1" s="181"/>
      <c r="E1" s="181"/>
      <c r="F1" s="181"/>
      <c r="G1" s="181"/>
      <c r="H1" s="181"/>
      <c r="I1" s="181"/>
      <c r="J1" s="181"/>
      <c r="K1" s="181"/>
      <c r="L1" s="181"/>
      <c r="M1" s="181"/>
      <c r="N1" s="181"/>
      <c r="O1" s="181"/>
      <c r="P1" s="181"/>
      <c r="Q1" s="181"/>
      <c r="R1" s="181"/>
      <c r="S1" s="181"/>
      <c r="T1" s="5"/>
    </row>
    <row r="2" spans="1:20" ht="15.6" x14ac:dyDescent="0.3">
      <c r="A2" s="182"/>
      <c r="B2" s="183"/>
      <c r="C2" s="184"/>
      <c r="D2" s="184"/>
      <c r="E2" s="184"/>
      <c r="F2" s="184"/>
      <c r="G2" s="184"/>
      <c r="H2" s="184"/>
      <c r="I2" s="184"/>
      <c r="J2" s="184"/>
      <c r="K2" s="184"/>
      <c r="L2" s="184"/>
      <c r="M2" s="184"/>
      <c r="N2" s="184"/>
      <c r="O2" s="184"/>
      <c r="P2" s="184"/>
      <c r="Q2" s="184"/>
      <c r="R2" s="184"/>
      <c r="S2" s="184"/>
      <c r="T2" s="5"/>
    </row>
    <row r="3" spans="1:20" ht="15.6" x14ac:dyDescent="0.3">
      <c r="A3" s="185"/>
      <c r="B3" s="186" t="s">
        <v>180</v>
      </c>
      <c r="C3" s="184"/>
      <c r="D3" s="184"/>
      <c r="E3" s="184"/>
      <c r="F3" s="184"/>
      <c r="G3" s="184"/>
      <c r="H3" s="184"/>
      <c r="I3" s="184"/>
      <c r="J3" s="184"/>
      <c r="K3" s="184"/>
      <c r="L3" s="184"/>
      <c r="M3" s="184"/>
      <c r="N3" s="184"/>
      <c r="O3" s="184"/>
      <c r="P3" s="184"/>
      <c r="Q3" s="184"/>
      <c r="R3" s="184"/>
      <c r="S3" s="184"/>
      <c r="T3" s="5"/>
    </row>
    <row r="4" spans="1:20" ht="15.6" x14ac:dyDescent="0.3">
      <c r="A4" s="182"/>
      <c r="B4" s="183"/>
      <c r="C4" s="184"/>
      <c r="D4" s="184"/>
      <c r="E4" s="184"/>
      <c r="F4" s="184"/>
      <c r="G4" s="184"/>
      <c r="H4" s="184"/>
      <c r="I4" s="184"/>
      <c r="J4" s="184"/>
      <c r="K4" s="184"/>
      <c r="L4" s="184"/>
      <c r="M4" s="184"/>
      <c r="N4" s="184"/>
      <c r="O4" s="184"/>
      <c r="P4" s="184"/>
      <c r="Q4" s="184"/>
      <c r="R4" s="184"/>
      <c r="S4" s="184"/>
      <c r="T4" s="5"/>
    </row>
    <row r="5" spans="1:20" ht="15.6" x14ac:dyDescent="0.3">
      <c r="A5" s="182"/>
      <c r="B5" s="240" t="s">
        <v>302</v>
      </c>
      <c r="C5" s="184"/>
      <c r="D5" s="184"/>
      <c r="E5" s="184"/>
      <c r="F5" s="184"/>
      <c r="G5" s="184"/>
      <c r="H5" s="184"/>
      <c r="I5" s="184"/>
      <c r="J5" s="184"/>
      <c r="K5" s="184"/>
      <c r="L5" s="184"/>
      <c r="M5" s="184"/>
      <c r="N5" s="184"/>
      <c r="O5" s="184"/>
      <c r="P5" s="184"/>
      <c r="Q5" s="184"/>
      <c r="R5" s="184"/>
      <c r="S5" s="184"/>
      <c r="T5" s="5"/>
    </row>
    <row r="6" spans="1:20" ht="15.6" x14ac:dyDescent="0.3">
      <c r="A6" s="182"/>
      <c r="B6" s="240" t="s">
        <v>303</v>
      </c>
      <c r="C6" s="184"/>
      <c r="D6" s="184"/>
      <c r="E6" s="184"/>
      <c r="F6" s="184"/>
      <c r="G6" s="184"/>
      <c r="H6" s="184"/>
      <c r="I6" s="184"/>
      <c r="J6" s="184"/>
      <c r="K6" s="184"/>
      <c r="L6" s="184"/>
      <c r="M6" s="184"/>
      <c r="N6" s="184"/>
      <c r="O6" s="184"/>
      <c r="P6" s="184"/>
      <c r="Q6" s="184"/>
      <c r="R6" s="184"/>
      <c r="S6" s="184"/>
      <c r="T6" s="5"/>
    </row>
    <row r="7" spans="1:20" ht="15.6" x14ac:dyDescent="0.3">
      <c r="A7" s="182"/>
      <c r="B7" s="240" t="s">
        <v>157</v>
      </c>
      <c r="C7" s="184"/>
      <c r="D7" s="184"/>
      <c r="E7" s="184"/>
      <c r="F7" s="184"/>
      <c r="G7" s="184"/>
      <c r="H7" s="184"/>
      <c r="I7" s="184"/>
      <c r="J7" s="184"/>
      <c r="K7" s="184"/>
      <c r="L7" s="184"/>
      <c r="M7" s="184"/>
      <c r="N7" s="184"/>
      <c r="O7" s="184"/>
      <c r="P7" s="184"/>
      <c r="Q7" s="184"/>
      <c r="R7" s="184"/>
      <c r="S7" s="184"/>
      <c r="T7" s="5"/>
    </row>
    <row r="8" spans="1:20" ht="15.6" x14ac:dyDescent="0.3">
      <c r="A8" s="182"/>
      <c r="B8" s="187"/>
      <c r="C8" s="184"/>
      <c r="D8" s="184"/>
      <c r="E8" s="184"/>
      <c r="F8" s="184"/>
      <c r="G8" s="184"/>
      <c r="H8" s="184"/>
      <c r="I8" s="184"/>
      <c r="J8" s="184"/>
      <c r="K8" s="184"/>
      <c r="L8" s="184"/>
      <c r="M8" s="184"/>
      <c r="N8" s="184"/>
      <c r="O8" s="184"/>
      <c r="P8" s="184"/>
      <c r="Q8" s="184"/>
      <c r="R8" s="184"/>
      <c r="S8" s="184"/>
      <c r="T8" s="5"/>
    </row>
    <row r="9" spans="1:20" ht="17.399999999999999" x14ac:dyDescent="0.3">
      <c r="A9" s="182"/>
      <c r="B9" s="188" t="s">
        <v>245</v>
      </c>
      <c r="C9" s="184"/>
      <c r="D9" s="184"/>
      <c r="E9" s="184"/>
      <c r="F9" s="184"/>
      <c r="G9" s="184"/>
      <c r="H9" s="189"/>
      <c r="I9" s="184"/>
      <c r="J9" s="189" t="s">
        <v>246</v>
      </c>
      <c r="K9" s="184"/>
      <c r="L9" s="184"/>
      <c r="M9" s="184"/>
      <c r="N9" s="184"/>
      <c r="O9" s="184"/>
      <c r="P9" s="184"/>
      <c r="Q9" s="184"/>
      <c r="R9" s="184"/>
      <c r="S9" s="184"/>
      <c r="T9" s="5"/>
    </row>
    <row r="10" spans="1:20" ht="15.6" x14ac:dyDescent="0.3">
      <c r="A10" s="182"/>
      <c r="B10" s="187"/>
      <c r="C10" s="190"/>
      <c r="D10" s="190"/>
      <c r="E10" s="190"/>
      <c r="F10" s="184"/>
      <c r="G10" s="184"/>
      <c r="H10" s="184"/>
      <c r="I10" s="184"/>
      <c r="J10" s="184"/>
      <c r="K10" s="184"/>
      <c r="L10" s="184"/>
      <c r="M10" s="184"/>
      <c r="N10" s="184"/>
      <c r="O10" s="184"/>
      <c r="P10" s="184"/>
      <c r="Q10" s="184"/>
      <c r="R10" s="184"/>
      <c r="S10" s="184"/>
      <c r="T10" s="5"/>
    </row>
    <row r="11" spans="1:20" ht="15.6" x14ac:dyDescent="0.3">
      <c r="A11" s="182"/>
      <c r="B11" s="241" t="s">
        <v>0</v>
      </c>
      <c r="C11" s="184"/>
      <c r="D11" s="184"/>
      <c r="E11" s="184"/>
      <c r="F11" s="184"/>
      <c r="G11" s="184"/>
      <c r="H11" s="184"/>
      <c r="I11" s="184"/>
      <c r="J11" s="184"/>
      <c r="K11" s="184"/>
      <c r="L11" s="184"/>
      <c r="M11" s="184"/>
      <c r="N11" s="184"/>
      <c r="O11" s="184"/>
      <c r="P11" s="184"/>
      <c r="Q11" s="184"/>
      <c r="R11" s="184"/>
      <c r="S11" s="184"/>
      <c r="T11" s="5"/>
    </row>
    <row r="12" spans="1:20" ht="16.2" thickBot="1" x14ac:dyDescent="0.35">
      <c r="A12" s="182"/>
      <c r="B12" s="190"/>
      <c r="C12" s="184"/>
      <c r="D12" s="184"/>
      <c r="E12" s="184"/>
      <c r="F12" s="184"/>
      <c r="G12" s="184"/>
      <c r="H12" s="184"/>
      <c r="I12" s="184"/>
      <c r="J12" s="184"/>
      <c r="K12" s="184"/>
      <c r="L12" s="184"/>
      <c r="M12" s="184"/>
      <c r="N12" s="184"/>
      <c r="O12" s="184"/>
      <c r="P12" s="184"/>
      <c r="Q12" s="184"/>
      <c r="R12" s="184"/>
      <c r="S12" s="184"/>
      <c r="T12" s="5"/>
    </row>
    <row r="13" spans="1:20" ht="15.6" x14ac:dyDescent="0.3">
      <c r="A13" s="180"/>
      <c r="B13" s="181"/>
      <c r="C13" s="181"/>
      <c r="D13" s="181"/>
      <c r="E13" s="181"/>
      <c r="F13" s="181"/>
      <c r="G13" s="181"/>
      <c r="H13" s="181"/>
      <c r="I13" s="181"/>
      <c r="J13" s="181"/>
      <c r="K13" s="181"/>
      <c r="L13" s="181"/>
      <c r="M13" s="181"/>
      <c r="N13" s="181"/>
      <c r="O13" s="181"/>
      <c r="P13" s="181"/>
      <c r="Q13" s="181"/>
      <c r="R13" s="181"/>
      <c r="S13" s="181"/>
      <c r="T13" s="5"/>
    </row>
    <row r="14" spans="1:20" ht="15.6" x14ac:dyDescent="0.3">
      <c r="A14" s="182"/>
      <c r="B14" s="241" t="s">
        <v>1</v>
      </c>
      <c r="C14" s="191"/>
      <c r="D14" s="191"/>
      <c r="E14" s="191"/>
      <c r="F14" s="191"/>
      <c r="G14" s="191"/>
      <c r="H14" s="191"/>
      <c r="I14" s="191"/>
      <c r="J14" s="191"/>
      <c r="K14" s="191"/>
      <c r="L14" s="191"/>
      <c r="M14" s="191"/>
      <c r="N14" s="242"/>
      <c r="O14" s="242"/>
      <c r="P14" s="242"/>
      <c r="Q14" s="242"/>
      <c r="R14" s="244" t="s">
        <v>181</v>
      </c>
      <c r="S14" s="191"/>
      <c r="T14" s="5"/>
    </row>
    <row r="15" spans="1:20" ht="15.6" x14ac:dyDescent="0.3">
      <c r="A15" s="182"/>
      <c r="B15" s="241" t="s">
        <v>2</v>
      </c>
      <c r="C15" s="191"/>
      <c r="D15" s="191"/>
      <c r="E15" s="191"/>
      <c r="F15" s="191"/>
      <c r="G15" s="191"/>
      <c r="H15" s="192"/>
      <c r="I15" s="192"/>
      <c r="J15" s="192"/>
      <c r="K15" s="192"/>
      <c r="L15" s="192"/>
      <c r="M15" s="192"/>
      <c r="N15" s="245" t="s">
        <v>115</v>
      </c>
      <c r="O15" s="246">
        <v>0.76429999999999998</v>
      </c>
      <c r="P15" s="247" t="s">
        <v>161</v>
      </c>
      <c r="Q15" s="246">
        <v>0.23569999999999999</v>
      </c>
      <c r="R15" s="244"/>
      <c r="S15" s="191"/>
      <c r="T15" s="5"/>
    </row>
    <row r="16" spans="1:20" ht="15.6" x14ac:dyDescent="0.3">
      <c r="A16" s="182"/>
      <c r="B16" s="241" t="s">
        <v>3</v>
      </c>
      <c r="C16" s="191"/>
      <c r="D16" s="191"/>
      <c r="E16" s="191"/>
      <c r="F16" s="191"/>
      <c r="G16" s="191"/>
      <c r="H16" s="192"/>
      <c r="I16" s="192"/>
      <c r="J16" s="192"/>
      <c r="K16" s="192"/>
      <c r="L16" s="192"/>
      <c r="M16" s="192"/>
      <c r="N16" s="245" t="s">
        <v>115</v>
      </c>
      <c r="O16" s="246">
        <v>0.88260000000000005</v>
      </c>
      <c r="P16" s="247" t="s">
        <v>161</v>
      </c>
      <c r="Q16" s="246">
        <v>0.1174</v>
      </c>
      <c r="R16" s="244"/>
      <c r="S16" s="191"/>
      <c r="T16" s="5"/>
    </row>
    <row r="17" spans="1:20" ht="15.6" x14ac:dyDescent="0.3">
      <c r="A17" s="182"/>
      <c r="B17" s="241" t="s">
        <v>4</v>
      </c>
      <c r="C17" s="191"/>
      <c r="D17" s="191"/>
      <c r="E17" s="191"/>
      <c r="F17" s="191"/>
      <c r="G17" s="191"/>
      <c r="H17" s="191"/>
      <c r="I17" s="191"/>
      <c r="J17" s="191"/>
      <c r="K17" s="191"/>
      <c r="L17" s="191"/>
      <c r="M17" s="191"/>
      <c r="N17" s="242"/>
      <c r="O17" s="242"/>
      <c r="P17" s="242"/>
      <c r="Q17" s="242"/>
      <c r="R17" s="248">
        <v>38287</v>
      </c>
      <c r="S17" s="191"/>
      <c r="T17" s="5"/>
    </row>
    <row r="18" spans="1:20" ht="15.6" x14ac:dyDescent="0.3">
      <c r="A18" s="182"/>
      <c r="B18" s="241" t="s">
        <v>5</v>
      </c>
      <c r="C18" s="191"/>
      <c r="D18" s="191"/>
      <c r="E18" s="191"/>
      <c r="F18" s="191"/>
      <c r="G18" s="191"/>
      <c r="H18" s="191"/>
      <c r="I18" s="191"/>
      <c r="J18" s="191"/>
      <c r="K18" s="191"/>
      <c r="L18" s="191"/>
      <c r="M18" s="191"/>
      <c r="N18" s="242"/>
      <c r="O18" s="242"/>
      <c r="P18" s="242"/>
      <c r="Q18" s="242"/>
      <c r="R18" s="248">
        <v>42934</v>
      </c>
      <c r="S18" s="191"/>
      <c r="T18" s="5"/>
    </row>
    <row r="19" spans="1:20" ht="15.6" x14ac:dyDescent="0.3">
      <c r="A19" s="182"/>
      <c r="B19" s="242"/>
      <c r="C19" s="184"/>
      <c r="D19" s="184"/>
      <c r="E19" s="184"/>
      <c r="F19" s="184"/>
      <c r="G19" s="184"/>
      <c r="H19" s="184"/>
      <c r="I19" s="184"/>
      <c r="J19" s="184"/>
      <c r="K19" s="184"/>
      <c r="L19" s="184"/>
      <c r="M19" s="184"/>
      <c r="N19" s="242"/>
      <c r="O19" s="242"/>
      <c r="P19" s="242"/>
      <c r="Q19" s="242"/>
      <c r="R19" s="249"/>
      <c r="S19" s="184"/>
      <c r="T19" s="5"/>
    </row>
    <row r="20" spans="1:20" ht="15.6" x14ac:dyDescent="0.3">
      <c r="A20" s="182"/>
      <c r="B20" s="243" t="s">
        <v>6</v>
      </c>
      <c r="C20" s="184"/>
      <c r="D20" s="184"/>
      <c r="E20" s="184"/>
      <c r="F20" s="184"/>
      <c r="G20" s="184"/>
      <c r="H20" s="184"/>
      <c r="I20" s="184"/>
      <c r="J20" s="184"/>
      <c r="K20" s="184"/>
      <c r="L20" s="184"/>
      <c r="M20" s="184"/>
      <c r="N20" s="242"/>
      <c r="O20" s="242"/>
      <c r="P20" s="249" t="s">
        <v>116</v>
      </c>
      <c r="Q20" s="242"/>
      <c r="R20" s="250"/>
      <c r="S20" s="184"/>
      <c r="T20" s="5"/>
    </row>
    <row r="21" spans="1:20" ht="15.6" x14ac:dyDescent="0.3">
      <c r="A21" s="182"/>
      <c r="B21" s="184"/>
      <c r="C21" s="184"/>
      <c r="D21" s="184"/>
      <c r="E21" s="184"/>
      <c r="F21" s="184"/>
      <c r="G21" s="184"/>
      <c r="H21" s="184"/>
      <c r="I21" s="184"/>
      <c r="J21" s="184"/>
      <c r="K21" s="184"/>
      <c r="L21" s="184"/>
      <c r="M21" s="184"/>
      <c r="N21" s="184"/>
      <c r="O21" s="184"/>
      <c r="P21" s="184"/>
      <c r="Q21" s="184"/>
      <c r="R21" s="194"/>
      <c r="S21" s="184"/>
      <c r="T21" s="5"/>
    </row>
    <row r="22" spans="1:20" ht="15.6" x14ac:dyDescent="0.3">
      <c r="A22" s="215"/>
      <c r="B22" s="216"/>
      <c r="C22" s="217"/>
      <c r="D22" s="217" t="s">
        <v>159</v>
      </c>
      <c r="E22" s="217"/>
      <c r="F22" s="217" t="s">
        <v>160</v>
      </c>
      <c r="G22" s="217"/>
      <c r="H22" s="217" t="s">
        <v>182</v>
      </c>
      <c r="I22" s="217"/>
      <c r="J22" s="217" t="s">
        <v>183</v>
      </c>
      <c r="K22" s="217"/>
      <c r="L22" s="217" t="s">
        <v>133</v>
      </c>
      <c r="M22" s="217"/>
      <c r="N22" s="217" t="s">
        <v>134</v>
      </c>
      <c r="O22" s="219"/>
      <c r="P22" s="219"/>
      <c r="Q22" s="220"/>
      <c r="R22" s="220"/>
      <c r="S22" s="216"/>
      <c r="T22" s="5"/>
    </row>
    <row r="23" spans="1:20" s="256" customFormat="1" ht="15.6" x14ac:dyDescent="0.3">
      <c r="A23" s="251"/>
      <c r="B23" s="252" t="s">
        <v>7</v>
      </c>
      <c r="C23" s="253"/>
      <c r="D23" s="253" t="s">
        <v>162</v>
      </c>
      <c r="E23" s="253"/>
      <c r="F23" s="253" t="s">
        <v>162</v>
      </c>
      <c r="G23" s="253"/>
      <c r="H23" s="253" t="s">
        <v>162</v>
      </c>
      <c r="I23" s="253"/>
      <c r="J23" s="253" t="s">
        <v>162</v>
      </c>
      <c r="K23" s="253"/>
      <c r="L23" s="253" t="s">
        <v>163</v>
      </c>
      <c r="M23" s="253"/>
      <c r="N23" s="253" t="s">
        <v>163</v>
      </c>
      <c r="O23" s="253"/>
      <c r="P23" s="253"/>
      <c r="Q23" s="254"/>
      <c r="R23" s="254"/>
      <c r="S23" s="252"/>
      <c r="T23" s="255"/>
    </row>
    <row r="24" spans="1:20" s="256" customFormat="1" ht="15.6" x14ac:dyDescent="0.3">
      <c r="A24" s="291"/>
      <c r="B24" s="292" t="s">
        <v>8</v>
      </c>
      <c r="C24" s="293"/>
      <c r="D24" s="293" t="s">
        <v>164</v>
      </c>
      <c r="E24" s="293"/>
      <c r="F24" s="293" t="s">
        <v>164</v>
      </c>
      <c r="G24" s="293"/>
      <c r="H24" s="293" t="s">
        <v>164</v>
      </c>
      <c r="I24" s="293"/>
      <c r="J24" s="293" t="s">
        <v>164</v>
      </c>
      <c r="K24" s="293"/>
      <c r="L24" s="293" t="s">
        <v>165</v>
      </c>
      <c r="M24" s="293"/>
      <c r="N24" s="293" t="s">
        <v>165</v>
      </c>
      <c r="O24" s="293"/>
      <c r="P24" s="293"/>
      <c r="Q24" s="294"/>
      <c r="R24" s="294"/>
      <c r="S24" s="295"/>
      <c r="T24" s="255"/>
    </row>
    <row r="25" spans="1:20" s="256" customFormat="1" ht="15.6" x14ac:dyDescent="0.3">
      <c r="A25" s="291"/>
      <c r="B25" s="292" t="s">
        <v>135</v>
      </c>
      <c r="C25" s="293"/>
      <c r="D25" s="293" t="s">
        <v>164</v>
      </c>
      <c r="E25" s="293"/>
      <c r="F25" s="293" t="s">
        <v>164</v>
      </c>
      <c r="G25" s="293"/>
      <c r="H25" s="293" t="s">
        <v>164</v>
      </c>
      <c r="I25" s="293"/>
      <c r="J25" s="293" t="s">
        <v>164</v>
      </c>
      <c r="K25" s="293"/>
      <c r="L25" s="293" t="s">
        <v>165</v>
      </c>
      <c r="M25" s="293"/>
      <c r="N25" s="293" t="s">
        <v>165</v>
      </c>
      <c r="O25" s="293"/>
      <c r="P25" s="293"/>
      <c r="Q25" s="294"/>
      <c r="R25" s="294"/>
      <c r="S25" s="295"/>
      <c r="T25" s="255"/>
    </row>
    <row r="26" spans="1:20" s="256" customFormat="1" ht="15.6" x14ac:dyDescent="0.3">
      <c r="A26" s="296"/>
      <c r="B26" s="297" t="s">
        <v>9</v>
      </c>
      <c r="C26" s="563"/>
      <c r="D26" s="563" t="s">
        <v>162</v>
      </c>
      <c r="E26" s="563"/>
      <c r="F26" s="563" t="s">
        <v>162</v>
      </c>
      <c r="G26" s="563"/>
      <c r="H26" s="563" t="s">
        <v>162</v>
      </c>
      <c r="I26" s="563"/>
      <c r="J26" s="563" t="s">
        <v>162</v>
      </c>
      <c r="K26" s="563"/>
      <c r="L26" s="563" t="s">
        <v>163</v>
      </c>
      <c r="M26" s="563"/>
      <c r="N26" s="563" t="s">
        <v>163</v>
      </c>
      <c r="O26" s="563"/>
      <c r="P26" s="293"/>
      <c r="Q26" s="294"/>
      <c r="R26" s="294"/>
      <c r="S26" s="295"/>
      <c r="T26" s="255"/>
    </row>
    <row r="27" spans="1:20" s="256" customFormat="1" ht="15.6" x14ac:dyDescent="0.3">
      <c r="A27" s="296"/>
      <c r="B27" s="297" t="s">
        <v>10</v>
      </c>
      <c r="C27" s="563"/>
      <c r="D27" s="563" t="s">
        <v>164</v>
      </c>
      <c r="E27" s="563"/>
      <c r="F27" s="563" t="s">
        <v>164</v>
      </c>
      <c r="G27" s="563"/>
      <c r="H27" s="563" t="s">
        <v>310</v>
      </c>
      <c r="I27" s="563"/>
      <c r="J27" s="563" t="s">
        <v>310</v>
      </c>
      <c r="K27" s="563"/>
      <c r="L27" s="563" t="s">
        <v>312</v>
      </c>
      <c r="M27" s="563"/>
      <c r="N27" s="563" t="s">
        <v>312</v>
      </c>
      <c r="O27" s="563"/>
      <c r="P27" s="293"/>
      <c r="Q27" s="294"/>
      <c r="R27" s="294"/>
      <c r="S27" s="295"/>
      <c r="T27" s="255"/>
    </row>
    <row r="28" spans="1:20" s="256" customFormat="1" ht="15.6" x14ac:dyDescent="0.3">
      <c r="A28" s="296"/>
      <c r="B28" s="297" t="s">
        <v>136</v>
      </c>
      <c r="C28" s="563"/>
      <c r="D28" s="563" t="s">
        <v>164</v>
      </c>
      <c r="E28" s="563"/>
      <c r="F28" s="563" t="s">
        <v>164</v>
      </c>
      <c r="G28" s="563"/>
      <c r="H28" s="563" t="s">
        <v>164</v>
      </c>
      <c r="I28" s="563"/>
      <c r="J28" s="563" t="s">
        <v>164</v>
      </c>
      <c r="K28" s="563"/>
      <c r="L28" s="563" t="s">
        <v>165</v>
      </c>
      <c r="M28" s="563"/>
      <c r="N28" s="563" t="s">
        <v>165</v>
      </c>
      <c r="O28" s="563"/>
      <c r="P28" s="293"/>
      <c r="Q28" s="294"/>
      <c r="R28" s="294"/>
      <c r="S28" s="295"/>
      <c r="T28" s="255"/>
    </row>
    <row r="29" spans="1:20" s="256" customFormat="1" ht="15.6" x14ac:dyDescent="0.3">
      <c r="A29" s="291"/>
      <c r="B29" s="292" t="s">
        <v>11</v>
      </c>
      <c r="C29" s="293"/>
      <c r="D29" s="293" t="s">
        <v>184</v>
      </c>
      <c r="E29" s="293"/>
      <c r="F29" s="299" t="s">
        <v>224</v>
      </c>
      <c r="G29" s="293"/>
      <c r="H29" s="293" t="s">
        <v>185</v>
      </c>
      <c r="I29" s="293"/>
      <c r="J29" s="293" t="s">
        <v>186</v>
      </c>
      <c r="K29" s="293"/>
      <c r="L29" s="293" t="s">
        <v>187</v>
      </c>
      <c r="M29" s="293"/>
      <c r="N29" s="293" t="s">
        <v>188</v>
      </c>
      <c r="O29" s="293"/>
      <c r="P29" s="299"/>
      <c r="Q29" s="294"/>
      <c r="R29" s="294"/>
      <c r="S29" s="295"/>
      <c r="T29" s="255"/>
    </row>
    <row r="30" spans="1:20" s="256" customFormat="1" ht="15.6" x14ac:dyDescent="0.3">
      <c r="A30" s="291"/>
      <c r="B30" s="292" t="s">
        <v>152</v>
      </c>
      <c r="C30" s="300"/>
      <c r="D30" s="301">
        <v>50000</v>
      </c>
      <c r="E30" s="300"/>
      <c r="F30" s="302">
        <v>330000</v>
      </c>
      <c r="G30" s="301"/>
      <c r="H30" s="303">
        <v>305000</v>
      </c>
      <c r="I30" s="301"/>
      <c r="J30" s="302">
        <v>453000</v>
      </c>
      <c r="K30" s="301"/>
      <c r="L30" s="303">
        <v>65000</v>
      </c>
      <c r="M30" s="301"/>
      <c r="N30" s="302">
        <v>50000</v>
      </c>
      <c r="O30" s="301"/>
      <c r="P30" s="301"/>
      <c r="Q30" s="304"/>
      <c r="R30" s="301"/>
      <c r="S30" s="305"/>
      <c r="T30" s="255"/>
    </row>
    <row r="31" spans="1:20" s="256" customFormat="1" ht="15.6" x14ac:dyDescent="0.3">
      <c r="A31" s="291"/>
      <c r="B31" s="292" t="s">
        <v>151</v>
      </c>
      <c r="C31" s="300"/>
      <c r="D31" s="301">
        <f>D37*D30</f>
        <v>0</v>
      </c>
      <c r="E31" s="300"/>
      <c r="F31" s="302">
        <f>F37*F30</f>
        <v>0</v>
      </c>
      <c r="G31" s="301"/>
      <c r="H31" s="303">
        <f>H30*H37</f>
        <v>140098.334</v>
      </c>
      <c r="I31" s="301"/>
      <c r="J31" s="302">
        <f>J30*J37</f>
        <v>208080.47639999999</v>
      </c>
      <c r="K31" s="301"/>
      <c r="L31" s="303">
        <f>L30*L37</f>
        <v>46278.218999999997</v>
      </c>
      <c r="M31" s="301"/>
      <c r="N31" s="302">
        <f>N30*N37</f>
        <v>35598.629999999997</v>
      </c>
      <c r="O31" s="301"/>
      <c r="P31" s="301"/>
      <c r="Q31" s="304"/>
      <c r="R31" s="301"/>
      <c r="S31" s="305"/>
      <c r="T31" s="255"/>
    </row>
    <row r="32" spans="1:20" s="256" customFormat="1" ht="15.6" x14ac:dyDescent="0.3">
      <c r="A32" s="296"/>
      <c r="B32" s="297" t="s">
        <v>153</v>
      </c>
      <c r="C32" s="306"/>
      <c r="D32" s="307">
        <f>D36*D30</f>
        <v>0</v>
      </c>
      <c r="E32" s="306"/>
      <c r="F32" s="308">
        <f>F36*F30</f>
        <v>0</v>
      </c>
      <c r="G32" s="307"/>
      <c r="H32" s="307">
        <f>H36*H30</f>
        <v>137364.86300000001</v>
      </c>
      <c r="I32" s="306"/>
      <c r="J32" s="308">
        <f>J36*J30</f>
        <v>204020.5998</v>
      </c>
      <c r="K32" s="307"/>
      <c r="L32" s="307">
        <f>L36*L30</f>
        <v>45375.277999999998</v>
      </c>
      <c r="M32" s="307"/>
      <c r="N32" s="308">
        <f>N36*N30</f>
        <v>34904.06</v>
      </c>
      <c r="O32" s="307"/>
      <c r="P32" s="307"/>
      <c r="Q32" s="309"/>
      <c r="R32" s="307"/>
      <c r="S32" s="305"/>
      <c r="T32" s="255"/>
    </row>
    <row r="33" spans="1:20" s="256" customFormat="1" ht="15.6" x14ac:dyDescent="0.3">
      <c r="A33" s="291"/>
      <c r="B33" s="292" t="s">
        <v>285</v>
      </c>
      <c r="C33" s="300"/>
      <c r="D33" s="301">
        <v>50000</v>
      </c>
      <c r="E33" s="300"/>
      <c r="F33" s="301">
        <v>230000</v>
      </c>
      <c r="G33" s="301"/>
      <c r="H33" s="301">
        <v>305000</v>
      </c>
      <c r="I33" s="301"/>
      <c r="J33" s="301">
        <v>315000</v>
      </c>
      <c r="K33" s="301"/>
      <c r="L33" s="301">
        <v>65000</v>
      </c>
      <c r="M33" s="301"/>
      <c r="N33" s="301">
        <v>35000</v>
      </c>
      <c r="O33" s="301"/>
      <c r="P33" s="301"/>
      <c r="Q33" s="304"/>
      <c r="R33" s="301">
        <f>SUM(C33:N33)</f>
        <v>1000000</v>
      </c>
      <c r="S33" s="305"/>
      <c r="T33" s="255"/>
    </row>
    <row r="34" spans="1:20" s="256" customFormat="1" ht="15.6" x14ac:dyDescent="0.3">
      <c r="A34" s="291"/>
      <c r="B34" s="292" t="s">
        <v>286</v>
      </c>
      <c r="C34" s="300"/>
      <c r="D34" s="301">
        <f>+D31</f>
        <v>0</v>
      </c>
      <c r="E34" s="300"/>
      <c r="F34" s="301">
        <f>+F31*0.696969697</f>
        <v>0</v>
      </c>
      <c r="G34" s="301"/>
      <c r="H34" s="301">
        <f>H33*H37</f>
        <v>140098.334</v>
      </c>
      <c r="I34" s="301"/>
      <c r="J34" s="301">
        <f>J33*J37</f>
        <v>144691.72200000001</v>
      </c>
      <c r="K34" s="301"/>
      <c r="L34" s="301">
        <f>L33*L37</f>
        <v>46278.218999999997</v>
      </c>
      <c r="M34" s="301"/>
      <c r="N34" s="301">
        <f>N33*N37</f>
        <v>24919.040999999997</v>
      </c>
      <c r="O34" s="301"/>
      <c r="P34" s="301"/>
      <c r="Q34" s="304"/>
      <c r="R34" s="301">
        <f>SUM(C34:N34)</f>
        <v>355987.31599999999</v>
      </c>
      <c r="S34" s="305"/>
      <c r="T34" s="255"/>
    </row>
    <row r="35" spans="1:20" s="256" customFormat="1" ht="15.6" x14ac:dyDescent="0.3">
      <c r="A35" s="296"/>
      <c r="B35" s="297" t="s">
        <v>287</v>
      </c>
      <c r="C35" s="306"/>
      <c r="D35" s="307">
        <f>D36*D33</f>
        <v>0</v>
      </c>
      <c r="E35" s="306"/>
      <c r="F35" s="307">
        <f>F36*F33</f>
        <v>0</v>
      </c>
      <c r="G35" s="307"/>
      <c r="H35" s="307">
        <f>H36*H33</f>
        <v>137364.86300000001</v>
      </c>
      <c r="I35" s="306"/>
      <c r="J35" s="307">
        <f>J36*J33</f>
        <v>141868.62900000002</v>
      </c>
      <c r="K35" s="307"/>
      <c r="L35" s="307">
        <f>L36*L33</f>
        <v>45375.277999999998</v>
      </c>
      <c r="M35" s="307"/>
      <c r="N35" s="307">
        <f>N36*N33</f>
        <v>24432.841999999997</v>
      </c>
      <c r="O35" s="307"/>
      <c r="P35" s="307"/>
      <c r="Q35" s="309"/>
      <c r="R35" s="307">
        <f>SUM(C35:N35)</f>
        <v>349041.61200000002</v>
      </c>
      <c r="S35" s="305"/>
      <c r="T35" s="255"/>
    </row>
    <row r="36" spans="1:20" ht="15.6" x14ac:dyDescent="0.3">
      <c r="A36" s="310"/>
      <c r="B36" s="311" t="s">
        <v>149</v>
      </c>
      <c r="C36" s="312"/>
      <c r="D36" s="313">
        <v>0</v>
      </c>
      <c r="E36" s="314"/>
      <c r="F36" s="313">
        <v>0</v>
      </c>
      <c r="G36" s="315"/>
      <c r="H36" s="313">
        <v>0.45037660000000002</v>
      </c>
      <c r="I36" s="313"/>
      <c r="J36" s="313">
        <v>0.45037660000000002</v>
      </c>
      <c r="K36" s="315"/>
      <c r="L36" s="313">
        <v>0.69808119999999996</v>
      </c>
      <c r="M36" s="313"/>
      <c r="N36" s="313">
        <v>0.69808119999999996</v>
      </c>
      <c r="O36" s="316"/>
      <c r="P36" s="316"/>
      <c r="Q36" s="317"/>
      <c r="R36" s="316"/>
      <c r="S36" s="318"/>
      <c r="T36" s="5"/>
    </row>
    <row r="37" spans="1:20" ht="15.6" x14ac:dyDescent="0.3">
      <c r="A37" s="310"/>
      <c r="B37" s="311" t="s">
        <v>150</v>
      </c>
      <c r="C37" s="312"/>
      <c r="D37" s="313">
        <v>0</v>
      </c>
      <c r="E37" s="314"/>
      <c r="F37" s="313">
        <v>0</v>
      </c>
      <c r="G37" s="315"/>
      <c r="H37" s="313">
        <v>0.45933879999999999</v>
      </c>
      <c r="I37" s="313"/>
      <c r="J37" s="313">
        <v>0.45933879999999999</v>
      </c>
      <c r="K37" s="315"/>
      <c r="L37" s="313">
        <v>0.71197259999999996</v>
      </c>
      <c r="M37" s="313"/>
      <c r="N37" s="313">
        <v>0.71197259999999996</v>
      </c>
      <c r="O37" s="319"/>
      <c r="P37" s="319"/>
      <c r="Q37" s="317"/>
      <c r="R37" s="316"/>
      <c r="S37" s="318"/>
      <c r="T37" s="5"/>
    </row>
    <row r="38" spans="1:20" s="256" customFormat="1" ht="15.6" x14ac:dyDescent="0.3">
      <c r="A38" s="291"/>
      <c r="B38" s="292" t="s">
        <v>12</v>
      </c>
      <c r="C38" s="292"/>
      <c r="D38" s="299" t="s">
        <v>191</v>
      </c>
      <c r="E38" s="292"/>
      <c r="F38" s="299" t="s">
        <v>191</v>
      </c>
      <c r="G38" s="299"/>
      <c r="H38" s="299" t="s">
        <v>198</v>
      </c>
      <c r="I38" s="299"/>
      <c r="J38" s="299" t="s">
        <v>197</v>
      </c>
      <c r="K38" s="299"/>
      <c r="L38" s="299" t="s">
        <v>196</v>
      </c>
      <c r="M38" s="299"/>
      <c r="N38" s="299" t="s">
        <v>195</v>
      </c>
      <c r="O38" s="299"/>
      <c r="P38" s="299"/>
      <c r="Q38" s="294"/>
      <c r="R38" s="294"/>
      <c r="S38" s="295"/>
      <c r="T38" s="255"/>
    </row>
    <row r="39" spans="1:20" s="256" customFormat="1" ht="15.6" x14ac:dyDescent="0.3">
      <c r="A39" s="291"/>
      <c r="B39" s="292" t="s">
        <v>13</v>
      </c>
      <c r="C39" s="292"/>
      <c r="D39" s="320">
        <v>0</v>
      </c>
      <c r="E39" s="292"/>
      <c r="F39" s="320">
        <v>0</v>
      </c>
      <c r="G39" s="321"/>
      <c r="H39" s="320">
        <v>7.1555999999999998E-3</v>
      </c>
      <c r="I39" s="321"/>
      <c r="J39" s="320">
        <v>2.7999999999999998E-4</v>
      </c>
      <c r="K39" s="321"/>
      <c r="L39" s="320">
        <v>1.6355600000000001E-2</v>
      </c>
      <c r="M39" s="321"/>
      <c r="N39" s="320">
        <v>8.6800000000000002E-3</v>
      </c>
      <c r="O39" s="321"/>
      <c r="P39" s="320"/>
      <c r="Q39" s="294"/>
      <c r="R39" s="321"/>
      <c r="S39" s="295"/>
      <c r="T39" s="255"/>
    </row>
    <row r="40" spans="1:20" s="256" customFormat="1" ht="15.6" x14ac:dyDescent="0.3">
      <c r="A40" s="291"/>
      <c r="B40" s="292" t="s">
        <v>14</v>
      </c>
      <c r="C40" s="292"/>
      <c r="D40" s="320">
        <v>0</v>
      </c>
      <c r="E40" s="292"/>
      <c r="F40" s="320">
        <v>0</v>
      </c>
      <c r="G40" s="321"/>
      <c r="H40" s="320">
        <v>7.3663000000000001E-3</v>
      </c>
      <c r="I40" s="321"/>
      <c r="J40" s="320">
        <v>3.3E-4</v>
      </c>
      <c r="K40" s="321"/>
      <c r="L40" s="320">
        <v>1.6566299999999999E-2</v>
      </c>
      <c r="M40" s="321"/>
      <c r="N40" s="320">
        <v>8.7299999999999999E-3</v>
      </c>
      <c r="O40" s="321"/>
      <c r="P40" s="320"/>
      <c r="Q40" s="294"/>
      <c r="R40" s="294"/>
      <c r="S40" s="295"/>
      <c r="T40" s="255"/>
    </row>
    <row r="41" spans="1:20" s="256" customFormat="1" ht="15.6" x14ac:dyDescent="0.3">
      <c r="A41" s="291"/>
      <c r="B41" s="292" t="s">
        <v>288</v>
      </c>
      <c r="C41" s="292"/>
      <c r="D41" s="299" t="s">
        <v>191</v>
      </c>
      <c r="E41" s="292"/>
      <c r="F41" s="299" t="s">
        <v>225</v>
      </c>
      <c r="G41" s="299"/>
      <c r="H41" s="299" t="s">
        <v>198</v>
      </c>
      <c r="I41" s="299"/>
      <c r="J41" s="299" t="s">
        <v>226</v>
      </c>
      <c r="K41" s="299"/>
      <c r="L41" s="299" t="s">
        <v>196</v>
      </c>
      <c r="M41" s="299"/>
      <c r="N41" s="299" t="s">
        <v>227</v>
      </c>
      <c r="O41" s="321"/>
      <c r="P41" s="320"/>
      <c r="Q41" s="294"/>
      <c r="R41" s="321"/>
      <c r="S41" s="295"/>
      <c r="T41" s="255"/>
    </row>
    <row r="42" spans="1:20" s="256" customFormat="1" ht="15.6" x14ac:dyDescent="0.3">
      <c r="A42" s="291"/>
      <c r="B42" s="292" t="s">
        <v>289</v>
      </c>
      <c r="C42" s="292"/>
      <c r="D42" s="320">
        <f>+D39</f>
        <v>0</v>
      </c>
      <c r="E42" s="292"/>
      <c r="F42" s="320">
        <v>0</v>
      </c>
      <c r="G42" s="321"/>
      <c r="H42" s="320">
        <f>+H39</f>
        <v>7.1555999999999998E-3</v>
      </c>
      <c r="I42" s="321"/>
      <c r="J42" s="320">
        <v>7.9515999999999996E-3</v>
      </c>
      <c r="K42" s="321"/>
      <c r="L42" s="320">
        <f>+L39</f>
        <v>1.6355600000000001E-2</v>
      </c>
      <c r="M42" s="321"/>
      <c r="N42" s="320">
        <v>1.7109599999999999E-2</v>
      </c>
      <c r="O42" s="321"/>
      <c r="P42" s="320"/>
      <c r="Q42" s="294"/>
      <c r="R42" s="321">
        <f>SUMPRODUCT(D42:N42,D34:N34)/R34</f>
        <v>9.3719103126573191E-3</v>
      </c>
      <c r="S42" s="295"/>
      <c r="T42" s="255"/>
    </row>
    <row r="43" spans="1:20" s="256" customFormat="1" ht="15.6" x14ac:dyDescent="0.3">
      <c r="A43" s="291"/>
      <c r="B43" s="292" t="s">
        <v>290</v>
      </c>
      <c r="C43" s="292"/>
      <c r="D43" s="320">
        <f>+D40</f>
        <v>0</v>
      </c>
      <c r="E43" s="292"/>
      <c r="F43" s="320">
        <v>0</v>
      </c>
      <c r="G43" s="321"/>
      <c r="H43" s="320">
        <f>+H40</f>
        <v>7.3663000000000001E-3</v>
      </c>
      <c r="I43" s="321"/>
      <c r="J43" s="320">
        <v>8.1623000000000008E-3</v>
      </c>
      <c r="K43" s="321"/>
      <c r="L43" s="320">
        <f>+L40</f>
        <v>1.6566299999999999E-2</v>
      </c>
      <c r="M43" s="321"/>
      <c r="N43" s="320">
        <v>1.73203E-2</v>
      </c>
      <c r="O43" s="321"/>
      <c r="P43" s="320"/>
      <c r="Q43" s="294"/>
      <c r="R43" s="294"/>
      <c r="S43" s="295"/>
      <c r="T43" s="255"/>
    </row>
    <row r="44" spans="1:20" s="256" customFormat="1" ht="15.6" x14ac:dyDescent="0.3">
      <c r="A44" s="291"/>
      <c r="B44" s="292" t="s">
        <v>15</v>
      </c>
      <c r="C44" s="322"/>
      <c r="D44" s="322">
        <v>39736</v>
      </c>
      <c r="E44" s="322"/>
      <c r="F44" s="322">
        <v>39736</v>
      </c>
      <c r="G44" s="322"/>
      <c r="H44" s="322">
        <v>39736</v>
      </c>
      <c r="I44" s="322"/>
      <c r="J44" s="322">
        <v>39736</v>
      </c>
      <c r="K44" s="322"/>
      <c r="L44" s="322">
        <v>39736</v>
      </c>
      <c r="M44" s="322"/>
      <c r="N44" s="322">
        <v>39736</v>
      </c>
      <c r="O44" s="299"/>
      <c r="P44" s="299"/>
      <c r="Q44" s="294"/>
      <c r="R44" s="294"/>
      <c r="S44" s="295"/>
      <c r="T44" s="255"/>
    </row>
    <row r="45" spans="1:20" s="256" customFormat="1" ht="15.6" x14ac:dyDescent="0.3">
      <c r="A45" s="291"/>
      <c r="B45" s="292" t="s">
        <v>16</v>
      </c>
      <c r="C45" s="322"/>
      <c r="D45" s="322">
        <v>40466</v>
      </c>
      <c r="E45" s="322"/>
      <c r="F45" s="322">
        <v>40466</v>
      </c>
      <c r="G45" s="322"/>
      <c r="H45" s="322">
        <v>40466</v>
      </c>
      <c r="I45" s="299"/>
      <c r="J45" s="322">
        <v>40466</v>
      </c>
      <c r="K45" s="299"/>
      <c r="L45" s="322">
        <v>40466</v>
      </c>
      <c r="M45" s="299"/>
      <c r="N45" s="322">
        <v>40466</v>
      </c>
      <c r="O45" s="299"/>
      <c r="P45" s="299"/>
      <c r="Q45" s="294"/>
      <c r="R45" s="294"/>
      <c r="S45" s="295"/>
      <c r="T45" s="255"/>
    </row>
    <row r="46" spans="1:20" s="256" customFormat="1" ht="15.6" x14ac:dyDescent="0.3">
      <c r="A46" s="291"/>
      <c r="B46" s="292" t="s">
        <v>138</v>
      </c>
      <c r="C46" s="292"/>
      <c r="D46" s="299" t="s">
        <v>191</v>
      </c>
      <c r="E46" s="292"/>
      <c r="F46" s="299" t="s">
        <v>191</v>
      </c>
      <c r="G46" s="299"/>
      <c r="H46" s="299" t="s">
        <v>198</v>
      </c>
      <c r="I46" s="299"/>
      <c r="J46" s="299" t="s">
        <v>197</v>
      </c>
      <c r="K46" s="299"/>
      <c r="L46" s="299" t="s">
        <v>196</v>
      </c>
      <c r="M46" s="299"/>
      <c r="N46" s="299" t="s">
        <v>195</v>
      </c>
      <c r="O46" s="299"/>
      <c r="P46" s="299"/>
      <c r="Q46" s="294"/>
      <c r="R46" s="294"/>
      <c r="S46" s="295"/>
      <c r="T46" s="255"/>
    </row>
    <row r="47" spans="1:20" s="256" customFormat="1" ht="15.6" x14ac:dyDescent="0.3">
      <c r="A47" s="291"/>
      <c r="B47" s="292" t="s">
        <v>291</v>
      </c>
      <c r="C47" s="292"/>
      <c r="D47" s="299" t="s">
        <v>191</v>
      </c>
      <c r="E47" s="292"/>
      <c r="F47" s="299" t="s">
        <v>225</v>
      </c>
      <c r="G47" s="299"/>
      <c r="H47" s="299" t="s">
        <v>198</v>
      </c>
      <c r="I47" s="299"/>
      <c r="J47" s="299" t="s">
        <v>226</v>
      </c>
      <c r="K47" s="299"/>
      <c r="L47" s="299" t="s">
        <v>196</v>
      </c>
      <c r="M47" s="299"/>
      <c r="N47" s="299" t="s">
        <v>227</v>
      </c>
      <c r="O47" s="299"/>
      <c r="P47" s="299"/>
      <c r="Q47" s="294"/>
      <c r="R47" s="294"/>
      <c r="S47" s="295"/>
      <c r="T47" s="255"/>
    </row>
    <row r="48" spans="1:20" s="256" customFormat="1" ht="15.6" x14ac:dyDescent="0.3">
      <c r="A48" s="291"/>
      <c r="B48" s="292"/>
      <c r="C48" s="292"/>
      <c r="D48" s="292"/>
      <c r="E48" s="292"/>
      <c r="F48" s="299"/>
      <c r="G48" s="299"/>
      <c r="H48" s="323"/>
      <c r="I48" s="324"/>
      <c r="J48" s="323"/>
      <c r="K48" s="324"/>
      <c r="L48" s="323"/>
      <c r="M48" s="324"/>
      <c r="N48" s="323"/>
      <c r="O48" s="324"/>
      <c r="P48" s="324"/>
      <c r="Q48" s="324"/>
      <c r="R48" s="324"/>
      <c r="S48" s="295"/>
      <c r="T48" s="255"/>
    </row>
    <row r="49" spans="1:21" s="256" customFormat="1" ht="15.6" x14ac:dyDescent="0.3">
      <c r="A49" s="291"/>
      <c r="B49" s="292" t="s">
        <v>17</v>
      </c>
      <c r="C49" s="292"/>
      <c r="D49" s="292"/>
      <c r="E49" s="292"/>
      <c r="F49" s="325"/>
      <c r="G49" s="292"/>
      <c r="H49" s="323"/>
      <c r="I49" s="324"/>
      <c r="J49" s="323"/>
      <c r="K49" s="324"/>
      <c r="L49" s="323"/>
      <c r="M49" s="324"/>
      <c r="N49" s="323"/>
      <c r="O49" s="292"/>
      <c r="P49" s="292"/>
      <c r="Q49" s="292"/>
      <c r="R49" s="321">
        <f>SUM(L33:N33)/SUM(D33:J33)</f>
        <v>0.1111111111111111</v>
      </c>
      <c r="S49" s="295"/>
      <c r="T49" s="255"/>
    </row>
    <row r="50" spans="1:21" s="256" customFormat="1" ht="15.6" x14ac:dyDescent="0.3">
      <c r="A50" s="291"/>
      <c r="B50" s="292" t="s">
        <v>18</v>
      </c>
      <c r="C50" s="292"/>
      <c r="D50" s="292"/>
      <c r="E50" s="292"/>
      <c r="F50" s="325"/>
      <c r="G50" s="292"/>
      <c r="H50" s="292"/>
      <c r="I50" s="292"/>
      <c r="J50" s="292"/>
      <c r="K50" s="292"/>
      <c r="L50" s="292"/>
      <c r="M50" s="292"/>
      <c r="N50" s="292"/>
      <c r="O50" s="292"/>
      <c r="P50" s="292"/>
      <c r="Q50" s="292"/>
      <c r="R50" s="321">
        <f>SUM(L35:N35)/SUM(D35:J35)</f>
        <v>0.24999909394822878</v>
      </c>
      <c r="S50" s="295"/>
      <c r="T50" s="255"/>
    </row>
    <row r="51" spans="1:21" s="256" customFormat="1" ht="15.6" x14ac:dyDescent="0.3">
      <c r="A51" s="291"/>
      <c r="B51" s="292" t="s">
        <v>19</v>
      </c>
      <c r="C51" s="292"/>
      <c r="D51" s="292"/>
      <c r="E51" s="292"/>
      <c r="F51" s="292"/>
      <c r="G51" s="292"/>
      <c r="H51" s="292"/>
      <c r="I51" s="292"/>
      <c r="J51" s="292"/>
      <c r="K51" s="292"/>
      <c r="L51" s="292"/>
      <c r="M51" s="292"/>
      <c r="N51" s="292"/>
      <c r="O51" s="292"/>
      <c r="P51" s="299" t="s">
        <v>117</v>
      </c>
      <c r="Q51" s="299" t="s">
        <v>124</v>
      </c>
      <c r="R51" s="301">
        <f>+R33/2-SUM(L33:N33)</f>
        <v>400000</v>
      </c>
      <c r="S51" s="295"/>
      <c r="T51" s="255"/>
    </row>
    <row r="52" spans="1:21" s="256" customFormat="1" ht="15.6" x14ac:dyDescent="0.3">
      <c r="A52" s="291"/>
      <c r="B52" s="292"/>
      <c r="C52" s="292"/>
      <c r="D52" s="292"/>
      <c r="E52" s="292"/>
      <c r="F52" s="292"/>
      <c r="G52" s="292"/>
      <c r="H52" s="292"/>
      <c r="I52" s="292"/>
      <c r="J52" s="292"/>
      <c r="K52" s="292"/>
      <c r="L52" s="292"/>
      <c r="M52" s="292"/>
      <c r="N52" s="292"/>
      <c r="O52" s="292"/>
      <c r="P52" s="292" t="s">
        <v>282</v>
      </c>
      <c r="Q52" s="292"/>
      <c r="R52" s="326"/>
      <c r="S52" s="295"/>
      <c r="T52" s="255"/>
    </row>
    <row r="53" spans="1:21" s="256" customFormat="1" ht="15.6" x14ac:dyDescent="0.3">
      <c r="A53" s="291"/>
      <c r="B53" s="292" t="s">
        <v>166</v>
      </c>
      <c r="C53" s="292"/>
      <c r="D53" s="292"/>
      <c r="E53" s="292"/>
      <c r="F53" s="292"/>
      <c r="G53" s="292"/>
      <c r="H53" s="292"/>
      <c r="I53" s="292"/>
      <c r="J53" s="292"/>
      <c r="K53" s="292"/>
      <c r="L53" s="292"/>
      <c r="M53" s="292"/>
      <c r="N53" s="292"/>
      <c r="O53" s="292"/>
      <c r="P53" s="299"/>
      <c r="Q53" s="299"/>
      <c r="R53" s="299" t="s">
        <v>126</v>
      </c>
      <c r="S53" s="295"/>
      <c r="T53" s="255"/>
    </row>
    <row r="54" spans="1:21" s="256" customFormat="1" ht="15.6" x14ac:dyDescent="0.3">
      <c r="A54" s="291"/>
      <c r="B54" s="297" t="s">
        <v>167</v>
      </c>
      <c r="C54" s="297"/>
      <c r="D54" s="297"/>
      <c r="E54" s="297"/>
      <c r="F54" s="297"/>
      <c r="G54" s="297"/>
      <c r="H54" s="297"/>
      <c r="I54" s="297"/>
      <c r="J54" s="297"/>
      <c r="K54" s="297"/>
      <c r="L54" s="297"/>
      <c r="M54" s="297"/>
      <c r="N54" s="297"/>
      <c r="O54" s="297"/>
      <c r="P54" s="327"/>
      <c r="Q54" s="327"/>
      <c r="R54" s="328">
        <v>42933</v>
      </c>
      <c r="S54" s="295"/>
      <c r="T54" s="255"/>
    </row>
    <row r="55" spans="1:21" s="256" customFormat="1" ht="15.6" x14ac:dyDescent="0.3">
      <c r="A55" s="291"/>
      <c r="B55" s="292" t="s">
        <v>140</v>
      </c>
      <c r="C55" s="292"/>
      <c r="D55" s="292"/>
      <c r="E55" s="292"/>
      <c r="F55" s="292"/>
      <c r="G55" s="292"/>
      <c r="H55" s="329"/>
      <c r="I55" s="329"/>
      <c r="J55" s="329"/>
      <c r="K55" s="329"/>
      <c r="L55" s="329"/>
      <c r="M55" s="329"/>
      <c r="N55" s="292">
        <f>+R55-P55+1</f>
        <v>92</v>
      </c>
      <c r="O55" s="329"/>
      <c r="P55" s="330">
        <v>42751</v>
      </c>
      <c r="Q55" s="331"/>
      <c r="R55" s="330">
        <v>42842</v>
      </c>
      <c r="S55" s="295"/>
      <c r="T55" s="255"/>
    </row>
    <row r="56" spans="1:21" s="256" customFormat="1" ht="15.6" x14ac:dyDescent="0.3">
      <c r="A56" s="291"/>
      <c r="B56" s="292" t="s">
        <v>141</v>
      </c>
      <c r="C56" s="292"/>
      <c r="D56" s="292"/>
      <c r="E56" s="292"/>
      <c r="F56" s="292"/>
      <c r="G56" s="292"/>
      <c r="H56" s="292"/>
      <c r="I56" s="292"/>
      <c r="J56" s="292"/>
      <c r="K56" s="292"/>
      <c r="L56" s="292"/>
      <c r="M56" s="292"/>
      <c r="N56" s="292">
        <f>+R56-P56+1</f>
        <v>90</v>
      </c>
      <c r="O56" s="292"/>
      <c r="P56" s="330">
        <v>42843</v>
      </c>
      <c r="Q56" s="331"/>
      <c r="R56" s="330">
        <v>42932</v>
      </c>
      <c r="S56" s="295"/>
      <c r="T56" s="255"/>
    </row>
    <row r="57" spans="1:21" s="256" customFormat="1" ht="15.6" x14ac:dyDescent="0.3">
      <c r="A57" s="291"/>
      <c r="B57" s="292" t="s">
        <v>229</v>
      </c>
      <c r="C57" s="292"/>
      <c r="D57" s="292"/>
      <c r="E57" s="292"/>
      <c r="F57" s="292"/>
      <c r="G57" s="292"/>
      <c r="H57" s="292"/>
      <c r="I57" s="292"/>
      <c r="J57" s="292"/>
      <c r="K57" s="292"/>
      <c r="L57" s="292"/>
      <c r="M57" s="292"/>
      <c r="N57" s="292"/>
      <c r="O57" s="292"/>
      <c r="P57" s="330"/>
      <c r="Q57" s="331"/>
      <c r="R57" s="330" t="s">
        <v>139</v>
      </c>
      <c r="S57" s="295"/>
      <c r="T57" s="255"/>
    </row>
    <row r="58" spans="1:21" s="256" customFormat="1" ht="15.6" x14ac:dyDescent="0.3">
      <c r="A58" s="291"/>
      <c r="B58" s="292" t="s">
        <v>228</v>
      </c>
      <c r="C58" s="292"/>
      <c r="D58" s="292"/>
      <c r="E58" s="292"/>
      <c r="F58" s="292"/>
      <c r="G58" s="292"/>
      <c r="H58" s="292"/>
      <c r="I58" s="292"/>
      <c r="J58" s="292"/>
      <c r="K58" s="292"/>
      <c r="L58" s="292"/>
      <c r="M58" s="292"/>
      <c r="N58" s="292"/>
      <c r="O58" s="292"/>
      <c r="P58" s="330"/>
      <c r="Q58" s="331"/>
      <c r="R58" s="330" t="s">
        <v>204</v>
      </c>
      <c r="S58" s="295"/>
      <c r="T58" s="255"/>
      <c r="U58" s="260"/>
    </row>
    <row r="59" spans="1:21" s="256" customFormat="1" ht="15.6" x14ac:dyDescent="0.3">
      <c r="A59" s="291"/>
      <c r="B59" s="292" t="s">
        <v>20</v>
      </c>
      <c r="C59" s="292"/>
      <c r="D59" s="292"/>
      <c r="E59" s="292"/>
      <c r="F59" s="292"/>
      <c r="G59" s="292"/>
      <c r="H59" s="292"/>
      <c r="I59" s="292"/>
      <c r="J59" s="292"/>
      <c r="K59" s="292"/>
      <c r="L59" s="292"/>
      <c r="M59" s="292"/>
      <c r="N59" s="292"/>
      <c r="O59" s="292"/>
      <c r="P59" s="330"/>
      <c r="Q59" s="331"/>
      <c r="R59" s="330">
        <v>42919</v>
      </c>
      <c r="S59" s="295"/>
      <c r="T59" s="255"/>
    </row>
    <row r="60" spans="1:21" s="256" customFormat="1" ht="15.6" x14ac:dyDescent="0.3">
      <c r="A60" s="261"/>
      <c r="B60" s="282"/>
      <c r="C60" s="282"/>
      <c r="D60" s="282"/>
      <c r="E60" s="282"/>
      <c r="F60" s="282"/>
      <c r="G60" s="282"/>
      <c r="H60" s="282"/>
      <c r="I60" s="282"/>
      <c r="J60" s="282"/>
      <c r="K60" s="282"/>
      <c r="L60" s="282"/>
      <c r="M60" s="282"/>
      <c r="N60" s="282"/>
      <c r="O60" s="282"/>
      <c r="P60" s="289"/>
      <c r="Q60" s="290"/>
      <c r="R60" s="289"/>
      <c r="S60" s="282"/>
      <c r="T60" s="255"/>
    </row>
    <row r="61" spans="1:21" s="256" customFormat="1" ht="15.6" x14ac:dyDescent="0.3">
      <c r="A61" s="261"/>
      <c r="B61" s="242"/>
      <c r="C61" s="242"/>
      <c r="D61" s="242"/>
      <c r="E61" s="242"/>
      <c r="F61" s="242"/>
      <c r="G61" s="242"/>
      <c r="H61" s="242"/>
      <c r="I61" s="242"/>
      <c r="J61" s="242"/>
      <c r="K61" s="242"/>
      <c r="L61" s="242"/>
      <c r="M61" s="242"/>
      <c r="N61" s="242"/>
      <c r="O61" s="242"/>
      <c r="P61" s="262"/>
      <c r="Q61" s="263"/>
      <c r="R61" s="262"/>
      <c r="S61" s="242"/>
      <c r="T61" s="255"/>
    </row>
    <row r="62" spans="1:21" s="256" customFormat="1" ht="18" thickBot="1" x14ac:dyDescent="0.35">
      <c r="A62" s="264"/>
      <c r="B62" s="265" t="s">
        <v>339</v>
      </c>
      <c r="C62" s="266"/>
      <c r="D62" s="266"/>
      <c r="E62" s="266"/>
      <c r="F62" s="266"/>
      <c r="G62" s="266"/>
      <c r="H62" s="266"/>
      <c r="I62" s="266"/>
      <c r="J62" s="266"/>
      <c r="K62" s="266"/>
      <c r="L62" s="266"/>
      <c r="M62" s="266"/>
      <c r="N62" s="266"/>
      <c r="O62" s="266"/>
      <c r="P62" s="266"/>
      <c r="Q62" s="266"/>
      <c r="R62" s="267"/>
      <c r="S62" s="268"/>
      <c r="T62" s="255"/>
    </row>
    <row r="63" spans="1:21" ht="15.6" x14ac:dyDescent="0.3">
      <c r="A63" s="215"/>
      <c r="B63" s="564" t="s">
        <v>21</v>
      </c>
      <c r="C63" s="216"/>
      <c r="D63" s="216"/>
      <c r="E63" s="216"/>
      <c r="F63" s="216"/>
      <c r="G63" s="216"/>
      <c r="H63" s="216"/>
      <c r="I63" s="216"/>
      <c r="J63" s="216"/>
      <c r="K63" s="216"/>
      <c r="L63" s="216"/>
      <c r="M63" s="216"/>
      <c r="N63" s="216"/>
      <c r="O63" s="216"/>
      <c r="P63" s="216"/>
      <c r="Q63" s="216"/>
      <c r="R63" s="221"/>
      <c r="S63" s="216"/>
      <c r="T63" s="5"/>
    </row>
    <row r="64" spans="1:21" ht="15.6" x14ac:dyDescent="0.3">
      <c r="A64" s="182"/>
      <c r="B64" s="190"/>
      <c r="C64" s="184"/>
      <c r="D64" s="184"/>
      <c r="E64" s="184"/>
      <c r="F64" s="184"/>
      <c r="G64" s="184"/>
      <c r="H64" s="184"/>
      <c r="I64" s="184"/>
      <c r="J64" s="184"/>
      <c r="K64" s="184"/>
      <c r="L64" s="184"/>
      <c r="M64" s="184"/>
      <c r="N64" s="184"/>
      <c r="O64" s="184"/>
      <c r="P64" s="184"/>
      <c r="Q64" s="184"/>
      <c r="R64" s="196"/>
      <c r="S64" s="184"/>
      <c r="T64" s="5"/>
    </row>
    <row r="65" spans="1:20" ht="46.8" x14ac:dyDescent="0.3">
      <c r="A65" s="182"/>
      <c r="B65" s="197" t="s">
        <v>22</v>
      </c>
      <c r="C65" s="198"/>
      <c r="D65" s="198"/>
      <c r="E65" s="198"/>
      <c r="F65" s="198"/>
      <c r="G65" s="198"/>
      <c r="H65" s="198" t="s">
        <v>105</v>
      </c>
      <c r="I65" s="198"/>
      <c r="J65" s="198" t="s">
        <v>107</v>
      </c>
      <c r="K65" s="198"/>
      <c r="L65" s="198" t="s">
        <v>109</v>
      </c>
      <c r="M65" s="198"/>
      <c r="N65" s="198" t="s">
        <v>111</v>
      </c>
      <c r="O65" s="198"/>
      <c r="P65" s="198" t="s">
        <v>118</v>
      </c>
      <c r="Q65" s="198"/>
      <c r="R65" s="199" t="s">
        <v>127</v>
      </c>
      <c r="S65" s="200"/>
      <c r="T65" s="5"/>
    </row>
    <row r="66" spans="1:20" s="256" customFormat="1" ht="15.6" x14ac:dyDescent="0.3">
      <c r="A66" s="334"/>
      <c r="B66" s="335" t="s">
        <v>23</v>
      </c>
      <c r="C66" s="336"/>
      <c r="D66" s="336"/>
      <c r="E66" s="336"/>
      <c r="F66" s="336"/>
      <c r="G66" s="336"/>
      <c r="H66" s="336">
        <v>729883</v>
      </c>
      <c r="I66" s="336"/>
      <c r="J66" s="337">
        <v>355987</v>
      </c>
      <c r="K66" s="336"/>
      <c r="L66" s="336">
        <f>6945</f>
        <v>6945</v>
      </c>
      <c r="M66" s="336"/>
      <c r="N66" s="336">
        <v>0</v>
      </c>
      <c r="O66" s="336"/>
      <c r="P66" s="336">
        <v>0</v>
      </c>
      <c r="Q66" s="336"/>
      <c r="R66" s="337">
        <f>+J66-L66+N66-P66</f>
        <v>349042</v>
      </c>
      <c r="S66" s="338"/>
      <c r="T66" s="255"/>
    </row>
    <row r="67" spans="1:20" s="256" customFormat="1" ht="15.6" x14ac:dyDescent="0.3">
      <c r="A67" s="334"/>
      <c r="B67" s="335" t="s">
        <v>24</v>
      </c>
      <c r="C67" s="336"/>
      <c r="D67" s="336"/>
      <c r="E67" s="336"/>
      <c r="F67" s="336"/>
      <c r="G67" s="336"/>
      <c r="H67" s="336">
        <v>184</v>
      </c>
      <c r="I67" s="336"/>
      <c r="J67" s="337">
        <v>0</v>
      </c>
      <c r="K67" s="336"/>
      <c r="L67" s="336">
        <v>0</v>
      </c>
      <c r="M67" s="336"/>
      <c r="N67" s="336">
        <v>0</v>
      </c>
      <c r="O67" s="336"/>
      <c r="P67" s="336">
        <v>0</v>
      </c>
      <c r="Q67" s="336"/>
      <c r="R67" s="337">
        <f>+J67-L67</f>
        <v>0</v>
      </c>
      <c r="S67" s="338"/>
      <c r="T67" s="255"/>
    </row>
    <row r="68" spans="1:20" s="256" customFormat="1" ht="15.6" x14ac:dyDescent="0.3">
      <c r="A68" s="334"/>
      <c r="B68" s="335"/>
      <c r="C68" s="336"/>
      <c r="D68" s="336"/>
      <c r="E68" s="336"/>
      <c r="F68" s="336"/>
      <c r="G68" s="336"/>
      <c r="H68" s="336"/>
      <c r="I68" s="336"/>
      <c r="J68" s="337"/>
      <c r="K68" s="336"/>
      <c r="L68" s="336"/>
      <c r="M68" s="336"/>
      <c r="N68" s="336"/>
      <c r="O68" s="336"/>
      <c r="P68" s="336"/>
      <c r="Q68" s="336"/>
      <c r="R68" s="337"/>
      <c r="S68" s="338"/>
      <c r="T68" s="255"/>
    </row>
    <row r="69" spans="1:20" s="256" customFormat="1" ht="15.6" x14ac:dyDescent="0.3">
      <c r="A69" s="334"/>
      <c r="B69" s="335" t="s">
        <v>25</v>
      </c>
      <c r="C69" s="336"/>
      <c r="D69" s="336"/>
      <c r="E69" s="336"/>
      <c r="F69" s="336"/>
      <c r="G69" s="336"/>
      <c r="H69" s="336">
        <f>SUM(H66:H68)</f>
        <v>730067</v>
      </c>
      <c r="I69" s="336"/>
      <c r="J69" s="336">
        <f>J66+J67</f>
        <v>355987</v>
      </c>
      <c r="K69" s="336"/>
      <c r="L69" s="336">
        <f>SUM(L66:L68)</f>
        <v>6945</v>
      </c>
      <c r="M69" s="336"/>
      <c r="N69" s="336">
        <f>SUM(N66:N68)</f>
        <v>0</v>
      </c>
      <c r="O69" s="336"/>
      <c r="P69" s="336">
        <f>SUM(P66:P68)</f>
        <v>0</v>
      </c>
      <c r="Q69" s="336"/>
      <c r="R69" s="336">
        <f>SUM(R66:R68)</f>
        <v>349042</v>
      </c>
      <c r="S69" s="338"/>
      <c r="T69" s="255"/>
    </row>
    <row r="70" spans="1:20" ht="15.6" x14ac:dyDescent="0.3">
      <c r="A70" s="182"/>
      <c r="B70" s="213"/>
      <c r="C70" s="332"/>
      <c r="D70" s="332"/>
      <c r="E70" s="332"/>
      <c r="F70" s="332"/>
      <c r="G70" s="332"/>
      <c r="H70" s="332"/>
      <c r="I70" s="332"/>
      <c r="J70" s="332"/>
      <c r="K70" s="332"/>
      <c r="L70" s="332"/>
      <c r="M70" s="332"/>
      <c r="N70" s="332"/>
      <c r="O70" s="332"/>
      <c r="P70" s="332"/>
      <c r="Q70" s="332"/>
      <c r="R70" s="333"/>
      <c r="S70" s="213"/>
      <c r="T70" s="5"/>
    </row>
    <row r="71" spans="1:20" ht="15.6" x14ac:dyDescent="0.3">
      <c r="A71" s="182"/>
      <c r="B71" s="186" t="s">
        <v>26</v>
      </c>
      <c r="C71" s="201"/>
      <c r="D71" s="201"/>
      <c r="E71" s="201"/>
      <c r="F71" s="201"/>
      <c r="G71" s="201"/>
      <c r="H71" s="201"/>
      <c r="I71" s="201"/>
      <c r="J71" s="201"/>
      <c r="K71" s="201"/>
      <c r="L71" s="201"/>
      <c r="M71" s="201"/>
      <c r="N71" s="201"/>
      <c r="O71" s="201"/>
      <c r="P71" s="201"/>
      <c r="Q71" s="201"/>
      <c r="R71" s="202"/>
      <c r="S71" s="184"/>
      <c r="T71" s="5"/>
    </row>
    <row r="72" spans="1:20" ht="15.6" x14ac:dyDescent="0.3">
      <c r="A72" s="182"/>
      <c r="B72" s="184"/>
      <c r="C72" s="201"/>
      <c r="D72" s="201"/>
      <c r="E72" s="201"/>
      <c r="F72" s="201"/>
      <c r="G72" s="201"/>
      <c r="H72" s="201"/>
      <c r="I72" s="201"/>
      <c r="J72" s="201"/>
      <c r="K72" s="201"/>
      <c r="L72" s="201"/>
      <c r="M72" s="201"/>
      <c r="N72" s="201"/>
      <c r="O72" s="201"/>
      <c r="P72" s="201"/>
      <c r="Q72" s="201"/>
      <c r="R72" s="202"/>
      <c r="S72" s="184"/>
      <c r="T72" s="5"/>
    </row>
    <row r="73" spans="1:20" s="256" customFormat="1" ht="15.6" x14ac:dyDescent="0.3">
      <c r="A73" s="334"/>
      <c r="B73" s="335" t="s">
        <v>23</v>
      </c>
      <c r="C73" s="336"/>
      <c r="D73" s="336"/>
      <c r="E73" s="336"/>
      <c r="F73" s="336"/>
      <c r="G73" s="336"/>
      <c r="H73" s="336"/>
      <c r="I73" s="336"/>
      <c r="J73" s="336"/>
      <c r="K73" s="336"/>
      <c r="L73" s="336"/>
      <c r="M73" s="336"/>
      <c r="N73" s="336"/>
      <c r="O73" s="336"/>
      <c r="P73" s="336"/>
      <c r="Q73" s="336"/>
      <c r="R73" s="336"/>
      <c r="S73" s="338"/>
      <c r="T73" s="255"/>
    </row>
    <row r="74" spans="1:20" s="256" customFormat="1" ht="15.6" x14ac:dyDescent="0.3">
      <c r="A74" s="334"/>
      <c r="B74" s="335" t="s">
        <v>24</v>
      </c>
      <c r="C74" s="336"/>
      <c r="D74" s="336"/>
      <c r="E74" s="336"/>
      <c r="F74" s="336"/>
      <c r="G74" s="336"/>
      <c r="H74" s="336"/>
      <c r="I74" s="336"/>
      <c r="J74" s="336"/>
      <c r="K74" s="336"/>
      <c r="L74" s="336"/>
      <c r="M74" s="336"/>
      <c r="N74" s="336"/>
      <c r="O74" s="336"/>
      <c r="P74" s="336"/>
      <c r="Q74" s="336"/>
      <c r="R74" s="336"/>
      <c r="S74" s="338"/>
      <c r="T74" s="255"/>
    </row>
    <row r="75" spans="1:20" s="256" customFormat="1" ht="15.6" x14ac:dyDescent="0.3">
      <c r="A75" s="334"/>
      <c r="B75" s="335"/>
      <c r="C75" s="336"/>
      <c r="D75" s="336"/>
      <c r="E75" s="336"/>
      <c r="F75" s="336"/>
      <c r="G75" s="336"/>
      <c r="H75" s="336"/>
      <c r="I75" s="336"/>
      <c r="J75" s="336"/>
      <c r="K75" s="336"/>
      <c r="L75" s="336"/>
      <c r="M75" s="336"/>
      <c r="N75" s="336"/>
      <c r="O75" s="336"/>
      <c r="P75" s="336"/>
      <c r="Q75" s="336"/>
      <c r="R75" s="336"/>
      <c r="S75" s="338"/>
      <c r="T75" s="255"/>
    </row>
    <row r="76" spans="1:20" s="256" customFormat="1" ht="15.6" x14ac:dyDescent="0.3">
      <c r="A76" s="334"/>
      <c r="B76" s="335" t="s">
        <v>25</v>
      </c>
      <c r="C76" s="336"/>
      <c r="D76" s="336"/>
      <c r="E76" s="336"/>
      <c r="F76" s="336"/>
      <c r="G76" s="336"/>
      <c r="H76" s="336"/>
      <c r="I76" s="336"/>
      <c r="J76" s="336"/>
      <c r="K76" s="336"/>
      <c r="L76" s="336"/>
      <c r="M76" s="336"/>
      <c r="N76" s="336"/>
      <c r="O76" s="336"/>
      <c r="P76" s="336"/>
      <c r="Q76" s="336"/>
      <c r="R76" s="336"/>
      <c r="S76" s="338"/>
      <c r="T76" s="255"/>
    </row>
    <row r="77" spans="1:20" s="256" customFormat="1" ht="15.6" x14ac:dyDescent="0.3">
      <c r="A77" s="334"/>
      <c r="B77" s="335"/>
      <c r="C77" s="336"/>
      <c r="D77" s="336"/>
      <c r="E77" s="336"/>
      <c r="F77" s="336"/>
      <c r="G77" s="336"/>
      <c r="H77" s="336"/>
      <c r="I77" s="336"/>
      <c r="J77" s="336"/>
      <c r="K77" s="336"/>
      <c r="L77" s="336"/>
      <c r="M77" s="336"/>
      <c r="N77" s="336"/>
      <c r="O77" s="336"/>
      <c r="P77" s="336"/>
      <c r="Q77" s="336"/>
      <c r="R77" s="336"/>
      <c r="S77" s="338"/>
      <c r="T77" s="255"/>
    </row>
    <row r="78" spans="1:20" s="256" customFormat="1" ht="15.6" x14ac:dyDescent="0.3">
      <c r="A78" s="334"/>
      <c r="B78" s="335" t="s">
        <v>27</v>
      </c>
      <c r="C78" s="336"/>
      <c r="D78" s="336"/>
      <c r="E78" s="336"/>
      <c r="F78" s="336"/>
      <c r="G78" s="336"/>
      <c r="H78" s="336">
        <v>0</v>
      </c>
      <c r="I78" s="336"/>
      <c r="J78" s="336">
        <v>0</v>
      </c>
      <c r="K78" s="336"/>
      <c r="L78" s="336"/>
      <c r="M78" s="336"/>
      <c r="N78" s="336"/>
      <c r="O78" s="336"/>
      <c r="P78" s="336"/>
      <c r="Q78" s="336"/>
      <c r="R78" s="337">
        <v>0</v>
      </c>
      <c r="S78" s="338"/>
      <c r="T78" s="255"/>
    </row>
    <row r="79" spans="1:20" s="256" customFormat="1" ht="15.6" x14ac:dyDescent="0.3">
      <c r="A79" s="334"/>
      <c r="B79" s="335" t="s">
        <v>132</v>
      </c>
      <c r="C79" s="336"/>
      <c r="D79" s="336"/>
      <c r="E79" s="336"/>
      <c r="F79" s="336"/>
      <c r="G79" s="336"/>
      <c r="H79" s="336">
        <v>269933</v>
      </c>
      <c r="I79" s="336"/>
      <c r="J79" s="336">
        <v>0</v>
      </c>
      <c r="K79" s="336"/>
      <c r="L79" s="336"/>
      <c r="M79" s="336"/>
      <c r="N79" s="336"/>
      <c r="O79" s="336"/>
      <c r="P79" s="336"/>
      <c r="Q79" s="336"/>
      <c r="R79" s="336">
        <f>SUM(J79:N79)</f>
        <v>0</v>
      </c>
      <c r="S79" s="338"/>
      <c r="T79" s="255"/>
    </row>
    <row r="80" spans="1:20" s="256" customFormat="1" ht="15.6" x14ac:dyDescent="0.3">
      <c r="A80" s="334"/>
      <c r="B80" s="335" t="s">
        <v>170</v>
      </c>
      <c r="C80" s="336"/>
      <c r="D80" s="336"/>
      <c r="E80" s="336"/>
      <c r="F80" s="336"/>
      <c r="G80" s="336"/>
      <c r="H80" s="336">
        <v>0</v>
      </c>
      <c r="I80" s="336"/>
      <c r="J80" s="336">
        <v>0</v>
      </c>
      <c r="K80" s="336"/>
      <c r="L80" s="336"/>
      <c r="M80" s="336"/>
      <c r="N80" s="336"/>
      <c r="O80" s="336"/>
      <c r="P80" s="336"/>
      <c r="Q80" s="336"/>
      <c r="R80" s="336">
        <v>0</v>
      </c>
      <c r="S80" s="338"/>
      <c r="T80" s="255"/>
    </row>
    <row r="81" spans="1:20" s="256" customFormat="1" ht="15.6" x14ac:dyDescent="0.3">
      <c r="A81" s="334"/>
      <c r="B81" s="335" t="s">
        <v>29</v>
      </c>
      <c r="C81" s="336"/>
      <c r="D81" s="336"/>
      <c r="E81" s="336"/>
      <c r="F81" s="336"/>
      <c r="G81" s="336"/>
      <c r="H81" s="336">
        <v>0</v>
      </c>
      <c r="I81" s="336"/>
      <c r="J81" s="336">
        <v>0</v>
      </c>
      <c r="K81" s="336"/>
      <c r="L81" s="336"/>
      <c r="M81" s="336"/>
      <c r="N81" s="336"/>
      <c r="O81" s="336"/>
      <c r="P81" s="336"/>
      <c r="Q81" s="336"/>
      <c r="R81" s="336">
        <v>0</v>
      </c>
      <c r="S81" s="338"/>
      <c r="T81" s="255"/>
    </row>
    <row r="82" spans="1:20" s="256" customFormat="1" ht="15.6" x14ac:dyDescent="0.3">
      <c r="A82" s="334"/>
      <c r="B82" s="335" t="s">
        <v>30</v>
      </c>
      <c r="C82" s="336"/>
      <c r="D82" s="336"/>
      <c r="E82" s="336"/>
      <c r="F82" s="336"/>
      <c r="G82" s="336"/>
      <c r="H82" s="336">
        <f>SUM(H69:H81)</f>
        <v>1000000</v>
      </c>
      <c r="I82" s="336"/>
      <c r="J82" s="336">
        <f>SUM(J69:J81)</f>
        <v>355987</v>
      </c>
      <c r="K82" s="336"/>
      <c r="L82" s="336"/>
      <c r="M82" s="336"/>
      <c r="N82" s="336"/>
      <c r="O82" s="336"/>
      <c r="P82" s="336"/>
      <c r="Q82" s="336"/>
      <c r="R82" s="336">
        <f>SUM(R69:R81)</f>
        <v>349042</v>
      </c>
      <c r="S82" s="338"/>
      <c r="T82" s="255"/>
    </row>
    <row r="83" spans="1:20" ht="15.6" x14ac:dyDescent="0.3">
      <c r="A83" s="182"/>
      <c r="B83" s="213"/>
      <c r="C83" s="332"/>
      <c r="D83" s="332"/>
      <c r="E83" s="332"/>
      <c r="F83" s="332"/>
      <c r="G83" s="332"/>
      <c r="H83" s="332"/>
      <c r="I83" s="332"/>
      <c r="J83" s="332"/>
      <c r="K83" s="332"/>
      <c r="L83" s="332"/>
      <c r="M83" s="332"/>
      <c r="N83" s="332"/>
      <c r="O83" s="332"/>
      <c r="P83" s="332"/>
      <c r="Q83" s="332"/>
      <c r="R83" s="333"/>
      <c r="S83" s="213"/>
      <c r="T83" s="5"/>
    </row>
    <row r="84" spans="1:20" ht="15.6" x14ac:dyDescent="0.3">
      <c r="A84" s="182"/>
      <c r="B84" s="184"/>
      <c r="C84" s="184"/>
      <c r="D84" s="184"/>
      <c r="E84" s="184"/>
      <c r="F84" s="184"/>
      <c r="G84" s="184"/>
      <c r="H84" s="184"/>
      <c r="I84" s="184"/>
      <c r="J84" s="184"/>
      <c r="K84" s="184"/>
      <c r="L84" s="184"/>
      <c r="M84" s="184"/>
      <c r="N84" s="184"/>
      <c r="O84" s="184"/>
      <c r="P84" s="184"/>
      <c r="Q84" s="184"/>
      <c r="R84" s="184"/>
      <c r="S84" s="184"/>
      <c r="T84" s="5"/>
    </row>
    <row r="85" spans="1:20" ht="15.6" x14ac:dyDescent="0.3">
      <c r="A85" s="215"/>
      <c r="B85" s="564" t="s">
        <v>31</v>
      </c>
      <c r="C85" s="564"/>
      <c r="D85" s="564"/>
      <c r="E85" s="564"/>
      <c r="F85" s="564"/>
      <c r="G85" s="564"/>
      <c r="H85" s="565" t="s">
        <v>106</v>
      </c>
      <c r="I85" s="566"/>
      <c r="J85" s="567">
        <f>+P190</f>
        <v>42916</v>
      </c>
      <c r="K85" s="566"/>
      <c r="L85" s="566"/>
      <c r="M85" s="566"/>
      <c r="N85" s="566"/>
      <c r="O85" s="566"/>
      <c r="P85" s="566" t="s">
        <v>119</v>
      </c>
      <c r="Q85" s="566"/>
      <c r="R85" s="566" t="s">
        <v>128</v>
      </c>
      <c r="S85" s="216"/>
      <c r="T85" s="5"/>
    </row>
    <row r="86" spans="1:20" s="256" customFormat="1" ht="15.6" x14ac:dyDescent="0.3">
      <c r="A86" s="251"/>
      <c r="B86" s="252" t="s">
        <v>32</v>
      </c>
      <c r="C86" s="252"/>
      <c r="D86" s="252"/>
      <c r="E86" s="252"/>
      <c r="F86" s="252"/>
      <c r="G86" s="252"/>
      <c r="H86" s="252"/>
      <c r="I86" s="252"/>
      <c r="J86" s="252"/>
      <c r="K86" s="252"/>
      <c r="L86" s="252"/>
      <c r="M86" s="252"/>
      <c r="N86" s="252"/>
      <c r="O86" s="252"/>
      <c r="P86" s="259">
        <v>0</v>
      </c>
      <c r="Q86" s="252"/>
      <c r="R86" s="269">
        <v>0</v>
      </c>
      <c r="S86" s="252"/>
      <c r="T86" s="255"/>
    </row>
    <row r="87" spans="1:20" s="256" customFormat="1" ht="15.6" x14ac:dyDescent="0.3">
      <c r="A87" s="334"/>
      <c r="B87" s="335" t="s">
        <v>33</v>
      </c>
      <c r="C87" s="335"/>
      <c r="D87" s="335"/>
      <c r="E87" s="335"/>
      <c r="F87" s="335"/>
      <c r="G87" s="335"/>
      <c r="H87" s="340" t="s">
        <v>255</v>
      </c>
      <c r="I87" s="341"/>
      <c r="J87" s="342" t="s">
        <v>255</v>
      </c>
      <c r="K87" s="335"/>
      <c r="L87" s="335"/>
      <c r="M87" s="335"/>
      <c r="N87" s="335"/>
      <c r="O87" s="335"/>
      <c r="P87" s="336">
        <f>6945-252</f>
        <v>6693</v>
      </c>
      <c r="Q87" s="335"/>
      <c r="R87" s="337"/>
      <c r="S87" s="338"/>
      <c r="T87" s="255"/>
    </row>
    <row r="88" spans="1:20" s="256" customFormat="1" ht="15.6" x14ac:dyDescent="0.3">
      <c r="A88" s="334"/>
      <c r="B88" s="335" t="s">
        <v>254</v>
      </c>
      <c r="C88" s="335"/>
      <c r="D88" s="335"/>
      <c r="E88" s="335"/>
      <c r="F88" s="335"/>
      <c r="G88" s="335"/>
      <c r="H88" s="340"/>
      <c r="I88" s="341"/>
      <c r="J88" s="342"/>
      <c r="K88" s="335"/>
      <c r="L88" s="335"/>
      <c r="M88" s="335"/>
      <c r="N88" s="335"/>
      <c r="O88" s="335"/>
      <c r="P88" s="336"/>
      <c r="Q88" s="335"/>
      <c r="R88" s="337">
        <f>2254+332-568-103</f>
        <v>1915</v>
      </c>
      <c r="S88" s="338"/>
      <c r="T88" s="255"/>
    </row>
    <row r="89" spans="1:20" s="256" customFormat="1" ht="15.6" x14ac:dyDescent="0.3">
      <c r="A89" s="334"/>
      <c r="B89" s="335" t="s">
        <v>252</v>
      </c>
      <c r="C89" s="335"/>
      <c r="D89" s="335"/>
      <c r="E89" s="335"/>
      <c r="F89" s="335"/>
      <c r="G89" s="335"/>
      <c r="H89" s="340"/>
      <c r="I89" s="341"/>
      <c r="J89" s="342"/>
      <c r="K89" s="335"/>
      <c r="L89" s="335"/>
      <c r="M89" s="335"/>
      <c r="N89" s="335"/>
      <c r="O89" s="335"/>
      <c r="P89" s="336"/>
      <c r="Q89" s="335"/>
      <c r="R89" s="337">
        <f>43+1</f>
        <v>44</v>
      </c>
      <c r="S89" s="338"/>
      <c r="T89" s="255"/>
    </row>
    <row r="90" spans="1:20" s="256" customFormat="1" ht="15.6" x14ac:dyDescent="0.3">
      <c r="A90" s="334"/>
      <c r="B90" s="335" t="s">
        <v>253</v>
      </c>
      <c r="C90" s="335"/>
      <c r="D90" s="335"/>
      <c r="E90" s="335"/>
      <c r="F90" s="335"/>
      <c r="G90" s="335"/>
      <c r="H90" s="340"/>
      <c r="I90" s="341"/>
      <c r="J90" s="342"/>
      <c r="K90" s="335"/>
      <c r="L90" s="335"/>
      <c r="M90" s="335"/>
      <c r="N90" s="335"/>
      <c r="O90" s="335"/>
      <c r="P90" s="336"/>
      <c r="Q90" s="335"/>
      <c r="R90" s="337">
        <v>19</v>
      </c>
      <c r="S90" s="338"/>
      <c r="T90" s="255"/>
    </row>
    <row r="91" spans="1:20" s="256" customFormat="1" ht="15.6" x14ac:dyDescent="0.3">
      <c r="A91" s="334"/>
      <c r="B91" s="335" t="s">
        <v>269</v>
      </c>
      <c r="C91" s="335"/>
      <c r="D91" s="335"/>
      <c r="E91" s="335"/>
      <c r="F91" s="335"/>
      <c r="G91" s="335"/>
      <c r="H91" s="340"/>
      <c r="I91" s="341"/>
      <c r="J91" s="342"/>
      <c r="K91" s="335"/>
      <c r="L91" s="335"/>
      <c r="M91" s="335"/>
      <c r="N91" s="335"/>
      <c r="O91" s="335"/>
      <c r="P91" s="336"/>
      <c r="Q91" s="335"/>
      <c r="R91" s="337">
        <v>0</v>
      </c>
      <c r="S91" s="338"/>
      <c r="T91" s="255"/>
    </row>
    <row r="92" spans="1:20" s="256" customFormat="1" ht="15.6" x14ac:dyDescent="0.3">
      <c r="A92" s="334"/>
      <c r="B92" s="335" t="s">
        <v>154</v>
      </c>
      <c r="C92" s="335"/>
      <c r="D92" s="335"/>
      <c r="E92" s="335"/>
      <c r="F92" s="335"/>
      <c r="G92" s="335"/>
      <c r="H92" s="335"/>
      <c r="I92" s="335"/>
      <c r="J92" s="335"/>
      <c r="K92" s="335"/>
      <c r="L92" s="335"/>
      <c r="M92" s="335"/>
      <c r="N92" s="335"/>
      <c r="O92" s="335"/>
      <c r="P92" s="336"/>
      <c r="Q92" s="335"/>
      <c r="R92" s="337">
        <v>0</v>
      </c>
      <c r="S92" s="338"/>
      <c r="T92" s="255"/>
    </row>
    <row r="93" spans="1:20" s="256" customFormat="1" ht="15.6" x14ac:dyDescent="0.3">
      <c r="A93" s="334"/>
      <c r="B93" s="335" t="s">
        <v>199</v>
      </c>
      <c r="C93" s="335"/>
      <c r="D93" s="335"/>
      <c r="E93" s="335"/>
      <c r="F93" s="335"/>
      <c r="G93" s="335"/>
      <c r="H93" s="335"/>
      <c r="I93" s="335"/>
      <c r="J93" s="335"/>
      <c r="K93" s="335"/>
      <c r="L93" s="335"/>
      <c r="M93" s="335"/>
      <c r="N93" s="335"/>
      <c r="O93" s="335"/>
      <c r="P93" s="336"/>
      <c r="Q93" s="335"/>
      <c r="R93" s="337">
        <v>140</v>
      </c>
      <c r="S93" s="338"/>
      <c r="T93" s="255"/>
    </row>
    <row r="94" spans="1:20" s="256" customFormat="1" ht="15.6" x14ac:dyDescent="0.3">
      <c r="A94" s="334"/>
      <c r="B94" s="335" t="s">
        <v>35</v>
      </c>
      <c r="C94" s="335"/>
      <c r="D94" s="335"/>
      <c r="E94" s="335"/>
      <c r="F94" s="335"/>
      <c r="G94" s="335"/>
      <c r="H94" s="335"/>
      <c r="I94" s="335"/>
      <c r="J94" s="335"/>
      <c r="K94" s="335"/>
      <c r="L94" s="335"/>
      <c r="M94" s="335"/>
      <c r="N94" s="335"/>
      <c r="O94" s="335"/>
      <c r="P94" s="336">
        <f>SUM(P86:P93)</f>
        <v>6693</v>
      </c>
      <c r="Q94" s="335"/>
      <c r="R94" s="336">
        <f>SUM(R86:R93)</f>
        <v>2118</v>
      </c>
      <c r="S94" s="338"/>
      <c r="T94" s="255"/>
    </row>
    <row r="95" spans="1:20" s="256" customFormat="1" ht="15.6" x14ac:dyDescent="0.3">
      <c r="A95" s="334"/>
      <c r="B95" s="335" t="s">
        <v>235</v>
      </c>
      <c r="C95" s="335"/>
      <c r="D95" s="335"/>
      <c r="E95" s="335"/>
      <c r="F95" s="335"/>
      <c r="G95" s="335"/>
      <c r="H95" s="335"/>
      <c r="I95" s="335"/>
      <c r="J95" s="335"/>
      <c r="K95" s="335"/>
      <c r="L95" s="335"/>
      <c r="M95" s="335"/>
      <c r="N95" s="335"/>
      <c r="O95" s="335"/>
      <c r="P95" s="336">
        <v>0</v>
      </c>
      <c r="Q95" s="335"/>
      <c r="R95" s="336">
        <f>-P95</f>
        <v>0</v>
      </c>
      <c r="S95" s="338"/>
      <c r="T95" s="255"/>
    </row>
    <row r="96" spans="1:20" s="256" customFormat="1" ht="15.6" x14ac:dyDescent="0.3">
      <c r="A96" s="334"/>
      <c r="B96" s="335" t="s">
        <v>36</v>
      </c>
      <c r="C96" s="335"/>
      <c r="D96" s="335"/>
      <c r="E96" s="335"/>
      <c r="F96" s="335"/>
      <c r="G96" s="335"/>
      <c r="H96" s="335"/>
      <c r="I96" s="335"/>
      <c r="J96" s="335"/>
      <c r="K96" s="335"/>
      <c r="L96" s="335"/>
      <c r="M96" s="335"/>
      <c r="N96" s="335"/>
      <c r="O96" s="335"/>
      <c r="P96" s="336">
        <f>-R96</f>
        <v>0</v>
      </c>
      <c r="Q96" s="335"/>
      <c r="R96" s="337">
        <v>0</v>
      </c>
      <c r="S96" s="338"/>
      <c r="T96" s="255"/>
    </row>
    <row r="97" spans="1:21" s="256" customFormat="1" ht="15.6" x14ac:dyDescent="0.3">
      <c r="A97" s="334"/>
      <c r="B97" s="335" t="s">
        <v>276</v>
      </c>
      <c r="C97" s="335"/>
      <c r="D97" s="335"/>
      <c r="E97" s="335"/>
      <c r="F97" s="335"/>
      <c r="G97" s="335"/>
      <c r="H97" s="335"/>
      <c r="I97" s="335"/>
      <c r="J97" s="335"/>
      <c r="K97" s="335"/>
      <c r="L97" s="335"/>
      <c r="M97" s="335"/>
      <c r="N97" s="335"/>
      <c r="O97" s="335"/>
      <c r="P97" s="336"/>
      <c r="Q97" s="335"/>
      <c r="R97" s="337">
        <v>87</v>
      </c>
      <c r="S97" s="338"/>
      <c r="T97" s="255"/>
    </row>
    <row r="98" spans="1:21" s="256" customFormat="1" ht="15.6" x14ac:dyDescent="0.3">
      <c r="A98" s="334"/>
      <c r="B98" s="335" t="s">
        <v>37</v>
      </c>
      <c r="C98" s="335"/>
      <c r="D98" s="335"/>
      <c r="E98" s="335"/>
      <c r="F98" s="335"/>
      <c r="G98" s="335"/>
      <c r="H98" s="335"/>
      <c r="I98" s="335"/>
      <c r="J98" s="335"/>
      <c r="K98" s="335"/>
      <c r="L98" s="335"/>
      <c r="M98" s="335"/>
      <c r="N98" s="335"/>
      <c r="O98" s="335"/>
      <c r="P98" s="336">
        <f>P94+P96+P95</f>
        <v>6693</v>
      </c>
      <c r="Q98" s="335"/>
      <c r="R98" s="336">
        <f>R94+R96+R95+R97</f>
        <v>2205</v>
      </c>
      <c r="S98" s="338"/>
      <c r="T98" s="255"/>
    </row>
    <row r="99" spans="1:21" ht="15.6" x14ac:dyDescent="0.3">
      <c r="A99" s="343"/>
      <c r="B99" s="344" t="s">
        <v>38</v>
      </c>
      <c r="C99" s="345"/>
      <c r="D99" s="345"/>
      <c r="E99" s="345"/>
      <c r="F99" s="345"/>
      <c r="G99" s="345"/>
      <c r="H99" s="345"/>
      <c r="I99" s="345"/>
      <c r="J99" s="345"/>
      <c r="K99" s="345"/>
      <c r="L99" s="345"/>
      <c r="M99" s="345"/>
      <c r="N99" s="345"/>
      <c r="O99" s="345"/>
      <c r="P99" s="346"/>
      <c r="Q99" s="345"/>
      <c r="R99" s="347"/>
      <c r="S99" s="348"/>
      <c r="T99" s="5"/>
    </row>
    <row r="100" spans="1:21" s="256" customFormat="1" ht="15.6" x14ac:dyDescent="0.3">
      <c r="A100" s="334">
        <v>1</v>
      </c>
      <c r="B100" s="335" t="s">
        <v>39</v>
      </c>
      <c r="C100" s="335"/>
      <c r="D100" s="335"/>
      <c r="E100" s="335"/>
      <c r="F100" s="335"/>
      <c r="G100" s="335"/>
      <c r="H100" s="335"/>
      <c r="I100" s="335"/>
      <c r="J100" s="335"/>
      <c r="K100" s="335"/>
      <c r="L100" s="335"/>
      <c r="M100" s="335"/>
      <c r="N100" s="335"/>
      <c r="O100" s="335"/>
      <c r="P100" s="335"/>
      <c r="Q100" s="335"/>
      <c r="R100" s="337">
        <v>0</v>
      </c>
      <c r="S100" s="338"/>
      <c r="T100" s="255"/>
    </row>
    <row r="101" spans="1:21" s="256" customFormat="1" ht="15.6" x14ac:dyDescent="0.3">
      <c r="A101" s="334">
        <f>+A100+1</f>
        <v>2</v>
      </c>
      <c r="B101" s="292" t="s">
        <v>316</v>
      </c>
      <c r="C101" s="335"/>
      <c r="D101" s="335"/>
      <c r="E101" s="335"/>
      <c r="F101" s="335"/>
      <c r="G101" s="335"/>
      <c r="H101" s="335"/>
      <c r="I101" s="335"/>
      <c r="J101" s="335"/>
      <c r="K101" s="335"/>
      <c r="L101" s="335"/>
      <c r="M101" s="335"/>
      <c r="N101" s="335"/>
      <c r="O101" s="335"/>
      <c r="P101" s="335"/>
      <c r="Q101" s="335"/>
      <c r="R101" s="337">
        <v>-2</v>
      </c>
      <c r="S101" s="338"/>
      <c r="T101" s="255"/>
    </row>
    <row r="102" spans="1:21" s="256" customFormat="1" ht="15.6" x14ac:dyDescent="0.3">
      <c r="A102" s="334">
        <f>+A101+1</f>
        <v>3</v>
      </c>
      <c r="B102" s="292" t="s">
        <v>318</v>
      </c>
      <c r="C102" s="335"/>
      <c r="D102" s="335"/>
      <c r="E102" s="335"/>
      <c r="F102" s="335"/>
      <c r="G102" s="335"/>
      <c r="H102" s="335"/>
      <c r="I102" s="335"/>
      <c r="J102" s="335"/>
      <c r="K102" s="335"/>
      <c r="L102" s="335"/>
      <c r="M102" s="335"/>
      <c r="N102" s="335"/>
      <c r="O102" s="335"/>
      <c r="P102" s="335"/>
      <c r="Q102" s="335"/>
      <c r="R102" s="337">
        <f>-90-69-5</f>
        <v>-164</v>
      </c>
      <c r="S102" s="338"/>
      <c r="T102" s="255"/>
    </row>
    <row r="103" spans="1:21" s="256" customFormat="1" ht="15.6" x14ac:dyDescent="0.3">
      <c r="A103" s="334" t="s">
        <v>146</v>
      </c>
      <c r="B103" s="335" t="s">
        <v>131</v>
      </c>
      <c r="C103" s="335"/>
      <c r="D103" s="335"/>
      <c r="E103" s="335"/>
      <c r="F103" s="335"/>
      <c r="G103" s="335"/>
      <c r="H103" s="335"/>
      <c r="I103" s="335"/>
      <c r="J103" s="335"/>
      <c r="K103" s="335"/>
      <c r="L103" s="335"/>
      <c r="M103" s="335"/>
      <c r="N103" s="335"/>
      <c r="O103" s="335"/>
      <c r="P103" s="335"/>
      <c r="Q103" s="335"/>
      <c r="R103" s="337">
        <v>0</v>
      </c>
      <c r="S103" s="338"/>
      <c r="T103" s="255"/>
    </row>
    <row r="104" spans="1:21" s="256" customFormat="1" ht="15.6" x14ac:dyDescent="0.3">
      <c r="A104" s="334" t="s">
        <v>147</v>
      </c>
      <c r="B104" s="335" t="s">
        <v>218</v>
      </c>
      <c r="C104" s="335"/>
      <c r="D104" s="335"/>
      <c r="E104" s="335"/>
      <c r="F104" s="335"/>
      <c r="G104" s="335"/>
      <c r="H104" s="335"/>
      <c r="I104" s="335"/>
      <c r="J104" s="335"/>
      <c r="K104" s="335"/>
      <c r="L104" s="335"/>
      <c r="M104" s="335"/>
      <c r="N104" s="335"/>
      <c r="O104" s="335"/>
      <c r="P104" s="335"/>
      <c r="Q104" s="335"/>
      <c r="R104" s="337">
        <v>0</v>
      </c>
      <c r="S104" s="338"/>
      <c r="T104" s="255"/>
    </row>
    <row r="105" spans="1:21" s="256" customFormat="1" ht="15.6" x14ac:dyDescent="0.3">
      <c r="A105" s="334" t="s">
        <v>176</v>
      </c>
      <c r="B105" s="335" t="s">
        <v>230</v>
      </c>
      <c r="C105" s="335"/>
      <c r="D105" s="335"/>
      <c r="E105" s="335"/>
      <c r="F105" s="335"/>
      <c r="G105" s="335"/>
      <c r="H105" s="335"/>
      <c r="I105" s="335"/>
      <c r="J105" s="335"/>
      <c r="K105" s="335"/>
      <c r="L105" s="335"/>
      <c r="M105" s="335"/>
      <c r="N105" s="335"/>
      <c r="O105" s="335"/>
      <c r="P105" s="335"/>
      <c r="Q105" s="335"/>
      <c r="R105" s="337">
        <v>0</v>
      </c>
      <c r="S105" s="338"/>
      <c r="T105" s="255"/>
      <c r="U105" s="270"/>
    </row>
    <row r="106" spans="1:21" s="256" customFormat="1" ht="15.6" x14ac:dyDescent="0.3">
      <c r="A106" s="334" t="s">
        <v>177</v>
      </c>
      <c r="B106" s="335" t="s">
        <v>231</v>
      </c>
      <c r="C106" s="335"/>
      <c r="D106" s="335"/>
      <c r="E106" s="335"/>
      <c r="F106" s="335"/>
      <c r="G106" s="335"/>
      <c r="H106" s="335"/>
      <c r="I106" s="335"/>
      <c r="J106" s="335"/>
      <c r="K106" s="335"/>
      <c r="L106" s="335"/>
      <c r="M106" s="335"/>
      <c r="N106" s="335"/>
      <c r="O106" s="335"/>
      <c r="P106" s="335"/>
      <c r="Q106" s="335"/>
      <c r="R106" s="337">
        <v>0</v>
      </c>
      <c r="S106" s="338"/>
      <c r="T106" s="255"/>
      <c r="U106" s="270"/>
    </row>
    <row r="107" spans="1:21" s="256" customFormat="1" ht="15.6" x14ac:dyDescent="0.3">
      <c r="A107" s="334" t="s">
        <v>248</v>
      </c>
      <c r="B107" s="335" t="s">
        <v>232</v>
      </c>
      <c r="C107" s="335"/>
      <c r="D107" s="335"/>
      <c r="E107" s="335"/>
      <c r="F107" s="335"/>
      <c r="G107" s="335"/>
      <c r="H107" s="335"/>
      <c r="I107" s="335"/>
      <c r="J107" s="335"/>
      <c r="K107" s="335"/>
      <c r="L107" s="335"/>
      <c r="M107" s="335"/>
      <c r="N107" s="335"/>
      <c r="O107" s="335"/>
      <c r="P107" s="335"/>
      <c r="Q107" s="335"/>
      <c r="R107" s="337">
        <v>-247</v>
      </c>
      <c r="S107" s="338"/>
      <c r="T107" s="255"/>
    </row>
    <row r="108" spans="1:21" s="256" customFormat="1" ht="15.6" x14ac:dyDescent="0.3">
      <c r="A108" s="334" t="s">
        <v>205</v>
      </c>
      <c r="B108" s="335" t="s">
        <v>233</v>
      </c>
      <c r="C108" s="335"/>
      <c r="D108" s="335"/>
      <c r="E108" s="335"/>
      <c r="F108" s="335"/>
      <c r="G108" s="335"/>
      <c r="H108" s="335"/>
      <c r="I108" s="335"/>
      <c r="J108" s="335"/>
      <c r="K108" s="335"/>
      <c r="L108" s="335"/>
      <c r="M108" s="335"/>
      <c r="N108" s="335"/>
      <c r="O108" s="335"/>
      <c r="P108" s="335"/>
      <c r="Q108" s="335"/>
      <c r="R108" s="337">
        <v>-284</v>
      </c>
      <c r="S108" s="338"/>
      <c r="T108" s="255"/>
      <c r="U108" s="270"/>
    </row>
    <row r="109" spans="1:21" s="256" customFormat="1" ht="15.6" x14ac:dyDescent="0.3">
      <c r="A109" s="334" t="s">
        <v>249</v>
      </c>
      <c r="B109" s="335" t="s">
        <v>234</v>
      </c>
      <c r="C109" s="335"/>
      <c r="D109" s="335"/>
      <c r="E109" s="335"/>
      <c r="F109" s="335"/>
      <c r="G109" s="335"/>
      <c r="H109" s="335"/>
      <c r="I109" s="335"/>
      <c r="J109" s="335"/>
      <c r="K109" s="335"/>
      <c r="L109" s="335"/>
      <c r="M109" s="335"/>
      <c r="N109" s="335"/>
      <c r="O109" s="335"/>
      <c r="P109" s="335"/>
      <c r="Q109" s="335"/>
      <c r="R109" s="337">
        <v>-187</v>
      </c>
      <c r="S109" s="338"/>
      <c r="T109" s="255"/>
      <c r="U109" s="270"/>
    </row>
    <row r="110" spans="1:21" s="256" customFormat="1" ht="15.6" x14ac:dyDescent="0.3">
      <c r="A110" s="334" t="s">
        <v>250</v>
      </c>
      <c r="B110" s="335" t="s">
        <v>168</v>
      </c>
      <c r="C110" s="335"/>
      <c r="D110" s="335"/>
      <c r="E110" s="335"/>
      <c r="F110" s="335"/>
      <c r="G110" s="335"/>
      <c r="H110" s="335"/>
      <c r="I110" s="335"/>
      <c r="J110" s="335"/>
      <c r="K110" s="335"/>
      <c r="L110" s="335"/>
      <c r="M110" s="335"/>
      <c r="N110" s="335"/>
      <c r="O110" s="335"/>
      <c r="P110" s="335"/>
      <c r="Q110" s="335"/>
      <c r="R110" s="337">
        <v>-105</v>
      </c>
      <c r="S110" s="338"/>
      <c r="T110" s="255"/>
      <c r="U110" s="270"/>
    </row>
    <row r="111" spans="1:21" s="256" customFormat="1" ht="15.6" x14ac:dyDescent="0.3">
      <c r="A111" s="291">
        <v>6</v>
      </c>
      <c r="B111" s="292" t="s">
        <v>317</v>
      </c>
      <c r="C111" s="292"/>
      <c r="D111" s="292"/>
      <c r="E111" s="292"/>
      <c r="F111" s="292"/>
      <c r="G111" s="335"/>
      <c r="H111" s="335"/>
      <c r="I111" s="335"/>
      <c r="J111" s="335"/>
      <c r="K111" s="335"/>
      <c r="L111" s="335"/>
      <c r="M111" s="335"/>
      <c r="N111" s="335"/>
      <c r="O111" s="335"/>
      <c r="P111" s="335"/>
      <c r="Q111" s="335"/>
      <c r="R111" s="337">
        <v>0</v>
      </c>
      <c r="S111" s="338"/>
      <c r="T111" s="255"/>
      <c r="U111" s="270"/>
    </row>
    <row r="112" spans="1:21" s="256" customFormat="1" ht="15.6" x14ac:dyDescent="0.3">
      <c r="A112" s="334">
        <f t="shared" ref="A112:A118" si="0">+A111+1</f>
        <v>7</v>
      </c>
      <c r="B112" s="335" t="s">
        <v>41</v>
      </c>
      <c r="C112" s="335"/>
      <c r="D112" s="335"/>
      <c r="E112" s="335"/>
      <c r="F112" s="335"/>
      <c r="G112" s="335"/>
      <c r="H112" s="335"/>
      <c r="I112" s="335"/>
      <c r="J112" s="335"/>
      <c r="K112" s="335"/>
      <c r="L112" s="335"/>
      <c r="M112" s="335"/>
      <c r="N112" s="335"/>
      <c r="O112" s="335"/>
      <c r="P112" s="335"/>
      <c r="Q112" s="335"/>
      <c r="R112" s="337">
        <v>-8</v>
      </c>
      <c r="S112" s="338"/>
      <c r="T112" s="255"/>
    </row>
    <row r="113" spans="1:20" s="256" customFormat="1" ht="15.6" x14ac:dyDescent="0.3">
      <c r="A113" s="334">
        <f t="shared" si="0"/>
        <v>8</v>
      </c>
      <c r="B113" s="335" t="s">
        <v>53</v>
      </c>
      <c r="C113" s="335"/>
      <c r="D113" s="335"/>
      <c r="E113" s="335"/>
      <c r="F113" s="335"/>
      <c r="G113" s="335"/>
      <c r="H113" s="335"/>
      <c r="I113" s="335"/>
      <c r="J113" s="335"/>
      <c r="K113" s="335"/>
      <c r="L113" s="335"/>
      <c r="M113" s="335"/>
      <c r="N113" s="335"/>
      <c r="O113" s="335"/>
      <c r="P113" s="336">
        <f>-R113</f>
        <v>252</v>
      </c>
      <c r="Q113" s="335"/>
      <c r="R113" s="337">
        <v>-252</v>
      </c>
      <c r="S113" s="338"/>
      <c r="T113" s="255"/>
    </row>
    <row r="114" spans="1:20" s="256" customFormat="1" ht="15.6" x14ac:dyDescent="0.3">
      <c r="A114" s="334">
        <f t="shared" si="0"/>
        <v>9</v>
      </c>
      <c r="B114" s="335" t="s">
        <v>144</v>
      </c>
      <c r="C114" s="335"/>
      <c r="D114" s="335"/>
      <c r="E114" s="335"/>
      <c r="F114" s="335"/>
      <c r="G114" s="335"/>
      <c r="H114" s="335"/>
      <c r="I114" s="335"/>
      <c r="J114" s="335"/>
      <c r="K114" s="335"/>
      <c r="L114" s="335"/>
      <c r="M114" s="335"/>
      <c r="N114" s="335"/>
      <c r="O114" s="335"/>
      <c r="P114" s="336"/>
      <c r="Q114" s="335"/>
      <c r="R114" s="337">
        <v>0</v>
      </c>
      <c r="S114" s="338"/>
      <c r="T114" s="255"/>
    </row>
    <row r="115" spans="1:20" s="256" customFormat="1" ht="15.6" x14ac:dyDescent="0.3">
      <c r="A115" s="334">
        <f t="shared" si="0"/>
        <v>10</v>
      </c>
      <c r="B115" s="335" t="s">
        <v>42</v>
      </c>
      <c r="C115" s="335"/>
      <c r="D115" s="335"/>
      <c r="E115" s="335"/>
      <c r="F115" s="335"/>
      <c r="G115" s="335"/>
      <c r="H115" s="335"/>
      <c r="I115" s="335"/>
      <c r="J115" s="335"/>
      <c r="K115" s="335"/>
      <c r="L115" s="335"/>
      <c r="M115" s="335"/>
      <c r="N115" s="335"/>
      <c r="O115" s="335"/>
      <c r="P115" s="335"/>
      <c r="Q115" s="335"/>
      <c r="R115" s="337">
        <v>0</v>
      </c>
      <c r="S115" s="338"/>
      <c r="T115" s="255"/>
    </row>
    <row r="116" spans="1:20" s="256" customFormat="1" ht="15.6" x14ac:dyDescent="0.3">
      <c r="A116" s="334">
        <f t="shared" si="0"/>
        <v>11</v>
      </c>
      <c r="B116" s="335" t="s">
        <v>43</v>
      </c>
      <c r="C116" s="335"/>
      <c r="D116" s="335"/>
      <c r="E116" s="335"/>
      <c r="F116" s="335"/>
      <c r="G116" s="335"/>
      <c r="H116" s="335"/>
      <c r="I116" s="335"/>
      <c r="J116" s="335"/>
      <c r="K116" s="335"/>
      <c r="L116" s="335"/>
      <c r="M116" s="335"/>
      <c r="N116" s="335"/>
      <c r="O116" s="335"/>
      <c r="P116" s="335"/>
      <c r="Q116" s="335"/>
      <c r="R116" s="337">
        <v>0</v>
      </c>
      <c r="S116" s="338"/>
      <c r="T116" s="255"/>
    </row>
    <row r="117" spans="1:20" s="256" customFormat="1" ht="15.6" x14ac:dyDescent="0.3">
      <c r="A117" s="334">
        <f t="shared" si="0"/>
        <v>12</v>
      </c>
      <c r="B117" s="335" t="s">
        <v>175</v>
      </c>
      <c r="C117" s="335"/>
      <c r="D117" s="335"/>
      <c r="E117" s="335"/>
      <c r="F117" s="335"/>
      <c r="G117" s="335"/>
      <c r="H117" s="335"/>
      <c r="I117" s="335"/>
      <c r="J117" s="335"/>
      <c r="K117" s="335"/>
      <c r="L117" s="335"/>
      <c r="M117" s="335"/>
      <c r="N117" s="335"/>
      <c r="O117" s="335"/>
      <c r="P117" s="335"/>
      <c r="Q117" s="335"/>
      <c r="R117" s="337">
        <v>-182</v>
      </c>
      <c r="S117" s="338"/>
      <c r="T117" s="255"/>
    </row>
    <row r="118" spans="1:20" s="256" customFormat="1" ht="15.6" x14ac:dyDescent="0.3">
      <c r="A118" s="334">
        <f t="shared" si="0"/>
        <v>13</v>
      </c>
      <c r="B118" s="335" t="s">
        <v>145</v>
      </c>
      <c r="C118" s="335"/>
      <c r="D118" s="335"/>
      <c r="E118" s="335"/>
      <c r="F118" s="335"/>
      <c r="G118" s="335"/>
      <c r="H118" s="335"/>
      <c r="I118" s="335"/>
      <c r="J118" s="335"/>
      <c r="K118" s="335"/>
      <c r="L118" s="335"/>
      <c r="M118" s="335"/>
      <c r="N118" s="335"/>
      <c r="O118" s="335"/>
      <c r="P118" s="335"/>
      <c r="Q118" s="335"/>
      <c r="R118" s="337">
        <f>-R98-SUM(R100:R117)</f>
        <v>-774</v>
      </c>
      <c r="S118" s="338"/>
      <c r="T118" s="255"/>
    </row>
    <row r="119" spans="1:20" ht="15.6" x14ac:dyDescent="0.3">
      <c r="A119" s="343"/>
      <c r="B119" s="344" t="s">
        <v>44</v>
      </c>
      <c r="C119" s="345"/>
      <c r="D119" s="345"/>
      <c r="E119" s="345"/>
      <c r="F119" s="345"/>
      <c r="G119" s="345"/>
      <c r="H119" s="345"/>
      <c r="I119" s="345"/>
      <c r="J119" s="345"/>
      <c r="K119" s="345"/>
      <c r="L119" s="345"/>
      <c r="M119" s="345"/>
      <c r="N119" s="345"/>
      <c r="O119" s="345"/>
      <c r="P119" s="345"/>
      <c r="Q119" s="345"/>
      <c r="R119" s="349"/>
      <c r="S119" s="348"/>
      <c r="T119" s="5"/>
    </row>
    <row r="120" spans="1:20" s="256" customFormat="1" ht="15.6" x14ac:dyDescent="0.3">
      <c r="A120" s="334"/>
      <c r="B120" s="335" t="s">
        <v>45</v>
      </c>
      <c r="C120" s="335"/>
      <c r="D120" s="335"/>
      <c r="E120" s="335"/>
      <c r="F120" s="335"/>
      <c r="G120" s="335"/>
      <c r="H120" s="335"/>
      <c r="I120" s="335"/>
      <c r="J120" s="335"/>
      <c r="K120" s="335"/>
      <c r="L120" s="335"/>
      <c r="M120" s="335"/>
      <c r="N120" s="335"/>
      <c r="O120" s="335"/>
      <c r="P120" s="336">
        <v>0</v>
      </c>
      <c r="Q120" s="336"/>
      <c r="R120" s="337"/>
      <c r="S120" s="338"/>
      <c r="T120" s="255"/>
    </row>
    <row r="121" spans="1:20" s="256" customFormat="1" ht="15.6" x14ac:dyDescent="0.3">
      <c r="A121" s="334"/>
      <c r="B121" s="335" t="s">
        <v>46</v>
      </c>
      <c r="C121" s="335"/>
      <c r="D121" s="335"/>
      <c r="E121" s="335"/>
      <c r="F121" s="335"/>
      <c r="G121" s="335"/>
      <c r="H121" s="335"/>
      <c r="I121" s="335"/>
      <c r="J121" s="335"/>
      <c r="K121" s="335"/>
      <c r="L121" s="335"/>
      <c r="M121" s="335"/>
      <c r="N121" s="335"/>
      <c r="O121" s="335"/>
      <c r="P121" s="336">
        <f>-O176</f>
        <v>0</v>
      </c>
      <c r="Q121" s="336"/>
      <c r="R121" s="337"/>
      <c r="S121" s="338"/>
      <c r="T121" s="255"/>
    </row>
    <row r="122" spans="1:20" s="256" customFormat="1" ht="15.6" x14ac:dyDescent="0.3">
      <c r="A122" s="334"/>
      <c r="B122" s="335" t="s">
        <v>219</v>
      </c>
      <c r="C122" s="335"/>
      <c r="D122" s="335"/>
      <c r="E122" s="335"/>
      <c r="F122" s="335"/>
      <c r="G122" s="335"/>
      <c r="H122" s="335"/>
      <c r="I122" s="335"/>
      <c r="J122" s="335"/>
      <c r="K122" s="335"/>
      <c r="L122" s="335"/>
      <c r="M122" s="335"/>
      <c r="N122" s="335"/>
      <c r="O122" s="335"/>
      <c r="P122" s="336">
        <v>0</v>
      </c>
      <c r="Q122" s="336"/>
      <c r="R122" s="337"/>
      <c r="S122" s="338"/>
      <c r="T122" s="255"/>
    </row>
    <row r="123" spans="1:20" s="256" customFormat="1" ht="15.6" x14ac:dyDescent="0.3">
      <c r="A123" s="334"/>
      <c r="B123" s="335" t="s">
        <v>220</v>
      </c>
      <c r="C123" s="335"/>
      <c r="D123" s="335"/>
      <c r="E123" s="335"/>
      <c r="F123" s="335"/>
      <c r="G123" s="335"/>
      <c r="H123" s="335"/>
      <c r="I123" s="335"/>
      <c r="J123" s="335"/>
      <c r="K123" s="335"/>
      <c r="L123" s="335"/>
      <c r="M123" s="335"/>
      <c r="N123" s="335"/>
      <c r="O123" s="335"/>
      <c r="P123" s="336">
        <v>0</v>
      </c>
      <c r="Q123" s="336"/>
      <c r="R123" s="337"/>
      <c r="S123" s="338"/>
      <c r="T123" s="255"/>
    </row>
    <row r="124" spans="1:20" s="256" customFormat="1" ht="15.6" x14ac:dyDescent="0.3">
      <c r="A124" s="334"/>
      <c r="B124" s="335" t="s">
        <v>221</v>
      </c>
      <c r="C124" s="335"/>
      <c r="D124" s="335"/>
      <c r="E124" s="335"/>
      <c r="F124" s="335"/>
      <c r="G124" s="335"/>
      <c r="H124" s="335"/>
      <c r="I124" s="335"/>
      <c r="J124" s="335"/>
      <c r="K124" s="335"/>
      <c r="L124" s="335"/>
      <c r="M124" s="335"/>
      <c r="N124" s="335"/>
      <c r="O124" s="335"/>
      <c r="P124" s="336">
        <v>-2733</v>
      </c>
      <c r="Q124" s="336"/>
      <c r="R124" s="337"/>
      <c r="S124" s="338"/>
      <c r="T124" s="255"/>
    </row>
    <row r="125" spans="1:20" s="256" customFormat="1" ht="15.6" x14ac:dyDescent="0.3">
      <c r="A125" s="334"/>
      <c r="B125" s="335" t="s">
        <v>222</v>
      </c>
      <c r="C125" s="335"/>
      <c r="D125" s="335"/>
      <c r="E125" s="335"/>
      <c r="F125" s="335"/>
      <c r="G125" s="335"/>
      <c r="H125" s="335"/>
      <c r="I125" s="335"/>
      <c r="J125" s="335"/>
      <c r="K125" s="335"/>
      <c r="L125" s="335"/>
      <c r="M125" s="335"/>
      <c r="N125" s="335"/>
      <c r="O125" s="335"/>
      <c r="P125" s="336">
        <v>-2823</v>
      </c>
      <c r="Q125" s="336"/>
      <c r="R125" s="337"/>
      <c r="S125" s="338"/>
      <c r="T125" s="255"/>
    </row>
    <row r="126" spans="1:20" s="256" customFormat="1" ht="15.6" x14ac:dyDescent="0.3">
      <c r="A126" s="334"/>
      <c r="B126" s="335" t="s">
        <v>223</v>
      </c>
      <c r="C126" s="335"/>
      <c r="D126" s="335"/>
      <c r="E126" s="335"/>
      <c r="F126" s="335"/>
      <c r="G126" s="335"/>
      <c r="H126" s="335"/>
      <c r="I126" s="335"/>
      <c r="J126" s="335"/>
      <c r="K126" s="335"/>
      <c r="L126" s="335"/>
      <c r="M126" s="335"/>
      <c r="N126" s="335"/>
      <c r="O126" s="335"/>
      <c r="P126" s="336">
        <v>-903</v>
      </c>
      <c r="Q126" s="336"/>
      <c r="R126" s="337"/>
      <c r="S126" s="338"/>
      <c r="T126" s="255"/>
    </row>
    <row r="127" spans="1:20" s="256" customFormat="1" ht="15.6" x14ac:dyDescent="0.3">
      <c r="A127" s="334"/>
      <c r="B127" s="335" t="s">
        <v>173</v>
      </c>
      <c r="C127" s="335"/>
      <c r="D127" s="335"/>
      <c r="E127" s="335"/>
      <c r="F127" s="335"/>
      <c r="G127" s="335"/>
      <c r="H127" s="335"/>
      <c r="I127" s="335"/>
      <c r="J127" s="335"/>
      <c r="K127" s="335"/>
      <c r="L127" s="335"/>
      <c r="M127" s="335"/>
      <c r="N127" s="335"/>
      <c r="O127" s="335"/>
      <c r="P127" s="336">
        <v>-486</v>
      </c>
      <c r="Q127" s="336"/>
      <c r="R127" s="337"/>
      <c r="S127" s="338"/>
      <c r="T127" s="255"/>
    </row>
    <row r="128" spans="1:20" s="256" customFormat="1" ht="15.6" x14ac:dyDescent="0.3">
      <c r="A128" s="334"/>
      <c r="B128" s="335" t="s">
        <v>47</v>
      </c>
      <c r="C128" s="335"/>
      <c r="D128" s="335"/>
      <c r="E128" s="335"/>
      <c r="F128" s="335"/>
      <c r="G128" s="335"/>
      <c r="H128" s="335"/>
      <c r="I128" s="335"/>
      <c r="J128" s="335"/>
      <c r="K128" s="335"/>
      <c r="L128" s="335"/>
      <c r="M128" s="335"/>
      <c r="N128" s="335"/>
      <c r="O128" s="335"/>
      <c r="P128" s="336">
        <f>SUM(P120:P127)</f>
        <v>-6945</v>
      </c>
      <c r="Q128" s="336"/>
      <c r="R128" s="336">
        <f>SUM(R99:R127)</f>
        <v>-2205</v>
      </c>
      <c r="S128" s="338"/>
      <c r="T128" s="255"/>
    </row>
    <row r="129" spans="1:21" s="256" customFormat="1" ht="15.6" x14ac:dyDescent="0.3">
      <c r="A129" s="334"/>
      <c r="B129" s="335" t="s">
        <v>48</v>
      </c>
      <c r="C129" s="335"/>
      <c r="D129" s="335"/>
      <c r="E129" s="335"/>
      <c r="F129" s="335"/>
      <c r="G129" s="335"/>
      <c r="H129" s="335"/>
      <c r="I129" s="335"/>
      <c r="J129" s="335"/>
      <c r="K129" s="335"/>
      <c r="L129" s="335"/>
      <c r="M129" s="335"/>
      <c r="N129" s="335"/>
      <c r="O129" s="335"/>
      <c r="P129" s="336">
        <f>P98+P128+P113</f>
        <v>0</v>
      </c>
      <c r="Q129" s="336"/>
      <c r="R129" s="336">
        <f>R98+R128</f>
        <v>0</v>
      </c>
      <c r="S129" s="338"/>
      <c r="T129" s="255"/>
    </row>
    <row r="130" spans="1:21" s="256" customFormat="1" ht="15.6" x14ac:dyDescent="0.3">
      <c r="A130" s="261"/>
      <c r="B130" s="282"/>
      <c r="C130" s="282"/>
      <c r="D130" s="282"/>
      <c r="E130" s="282"/>
      <c r="F130" s="282"/>
      <c r="G130" s="282"/>
      <c r="H130" s="282"/>
      <c r="I130" s="282"/>
      <c r="J130" s="282"/>
      <c r="K130" s="282"/>
      <c r="L130" s="282"/>
      <c r="M130" s="282"/>
      <c r="N130" s="282"/>
      <c r="O130" s="282"/>
      <c r="P130" s="339"/>
      <c r="Q130" s="339"/>
      <c r="R130" s="339"/>
      <c r="S130" s="282"/>
      <c r="T130" s="255"/>
    </row>
    <row r="131" spans="1:21" s="256" customFormat="1" ht="15.6" x14ac:dyDescent="0.3">
      <c r="A131" s="261"/>
      <c r="B131" s="242"/>
      <c r="C131" s="242"/>
      <c r="D131" s="242"/>
      <c r="E131" s="242"/>
      <c r="F131" s="242"/>
      <c r="G131" s="242"/>
      <c r="H131" s="242"/>
      <c r="I131" s="242"/>
      <c r="J131" s="242"/>
      <c r="K131" s="242"/>
      <c r="L131" s="242"/>
      <c r="M131" s="242"/>
      <c r="N131" s="242"/>
      <c r="O131" s="242"/>
      <c r="P131" s="242"/>
      <c r="Q131" s="242"/>
      <c r="R131" s="271"/>
      <c r="S131" s="242"/>
      <c r="T131" s="255"/>
    </row>
    <row r="132" spans="1:21" s="256" customFormat="1" ht="18" thickBot="1" x14ac:dyDescent="0.35">
      <c r="A132" s="264"/>
      <c r="B132" s="265" t="str">
        <f>B62</f>
        <v>PM8 INVESTOR REPORT QUARTER ENDING JUNE 2017</v>
      </c>
      <c r="C132" s="266"/>
      <c r="D132" s="266"/>
      <c r="E132" s="266"/>
      <c r="F132" s="266"/>
      <c r="G132" s="266"/>
      <c r="H132" s="266"/>
      <c r="I132" s="266"/>
      <c r="J132" s="266"/>
      <c r="K132" s="266"/>
      <c r="L132" s="266"/>
      <c r="M132" s="266"/>
      <c r="N132" s="266"/>
      <c r="O132" s="266"/>
      <c r="P132" s="266"/>
      <c r="Q132" s="266"/>
      <c r="R132" s="272"/>
      <c r="S132" s="268"/>
      <c r="T132" s="255"/>
    </row>
    <row r="133" spans="1:21" ht="15.6" x14ac:dyDescent="0.3">
      <c r="A133" s="226"/>
      <c r="B133" s="568" t="s">
        <v>49</v>
      </c>
      <c r="C133" s="227"/>
      <c r="D133" s="227"/>
      <c r="E133" s="227"/>
      <c r="F133" s="227"/>
      <c r="G133" s="227"/>
      <c r="H133" s="227"/>
      <c r="I133" s="227"/>
      <c r="J133" s="227"/>
      <c r="K133" s="227"/>
      <c r="L133" s="227"/>
      <c r="M133" s="227"/>
      <c r="N133" s="227"/>
      <c r="O133" s="227"/>
      <c r="P133" s="227"/>
      <c r="Q133" s="227"/>
      <c r="R133" s="228"/>
      <c r="S133" s="227"/>
      <c r="T133" s="5"/>
    </row>
    <row r="134" spans="1:21" ht="15.6" x14ac:dyDescent="0.3">
      <c r="A134" s="182"/>
      <c r="B134" s="193"/>
      <c r="C134" s="184"/>
      <c r="D134" s="184"/>
      <c r="E134" s="184"/>
      <c r="F134" s="184"/>
      <c r="G134" s="184"/>
      <c r="H134" s="184"/>
      <c r="I134" s="184"/>
      <c r="J134" s="184"/>
      <c r="K134" s="184"/>
      <c r="L134" s="184"/>
      <c r="M134" s="184"/>
      <c r="N134" s="184"/>
      <c r="O134" s="184"/>
      <c r="P134" s="184"/>
      <c r="Q134" s="184"/>
      <c r="R134" s="196"/>
      <c r="S134" s="184"/>
      <c r="T134" s="5"/>
    </row>
    <row r="135" spans="1:21" ht="15.6" x14ac:dyDescent="0.3">
      <c r="A135" s="182"/>
      <c r="B135" s="203" t="s">
        <v>50</v>
      </c>
      <c r="C135" s="184"/>
      <c r="D135" s="184"/>
      <c r="E135" s="184"/>
      <c r="F135" s="184"/>
      <c r="G135" s="184"/>
      <c r="H135" s="184"/>
      <c r="I135" s="184"/>
      <c r="J135" s="184"/>
      <c r="K135" s="184"/>
      <c r="L135" s="184"/>
      <c r="M135" s="184"/>
      <c r="N135" s="184"/>
      <c r="O135" s="184"/>
      <c r="P135" s="184"/>
      <c r="Q135" s="184"/>
      <c r="R135" s="196"/>
      <c r="S135" s="184"/>
      <c r="T135" s="5"/>
    </row>
    <row r="136" spans="1:21" s="256" customFormat="1" ht="15.6" x14ac:dyDescent="0.3">
      <c r="A136" s="334"/>
      <c r="B136" s="335" t="s">
        <v>51</v>
      </c>
      <c r="C136" s="335"/>
      <c r="D136" s="335"/>
      <c r="E136" s="335"/>
      <c r="F136" s="335"/>
      <c r="G136" s="335"/>
      <c r="H136" s="335"/>
      <c r="I136" s="335"/>
      <c r="J136" s="335"/>
      <c r="K136" s="335"/>
      <c r="L136" s="335"/>
      <c r="M136" s="335"/>
      <c r="N136" s="335"/>
      <c r="O136" s="335"/>
      <c r="P136" s="335"/>
      <c r="Q136" s="335"/>
      <c r="R136" s="337">
        <f>+R33*0.019</f>
        <v>19000</v>
      </c>
      <c r="S136" s="338"/>
      <c r="T136" s="255"/>
    </row>
    <row r="137" spans="1:21" s="256" customFormat="1" ht="15.6" x14ac:dyDescent="0.3">
      <c r="A137" s="334"/>
      <c r="B137" s="335" t="s">
        <v>52</v>
      </c>
      <c r="C137" s="335"/>
      <c r="D137" s="335"/>
      <c r="E137" s="335"/>
      <c r="F137" s="335"/>
      <c r="G137" s="335"/>
      <c r="H137" s="335"/>
      <c r="I137" s="335"/>
      <c r="J137" s="335"/>
      <c r="K137" s="335"/>
      <c r="L137" s="335"/>
      <c r="M137" s="335"/>
      <c r="N137" s="335"/>
      <c r="O137" s="335"/>
      <c r="P137" s="335"/>
      <c r="Q137" s="335"/>
      <c r="R137" s="337">
        <v>19000</v>
      </c>
      <c r="S137" s="338"/>
      <c r="T137" s="255"/>
    </row>
    <row r="138" spans="1:21" s="256" customFormat="1" ht="15.6" x14ac:dyDescent="0.3">
      <c r="A138" s="334"/>
      <c r="B138" s="335" t="s">
        <v>155</v>
      </c>
      <c r="C138" s="335"/>
      <c r="D138" s="335"/>
      <c r="E138" s="335"/>
      <c r="F138" s="335"/>
      <c r="G138" s="335"/>
      <c r="H138" s="335"/>
      <c r="I138" s="335"/>
      <c r="J138" s="335"/>
      <c r="K138" s="335"/>
      <c r="L138" s="335"/>
      <c r="M138" s="335"/>
      <c r="N138" s="335"/>
      <c r="O138" s="335"/>
      <c r="P138" s="335"/>
      <c r="Q138" s="335"/>
      <c r="R138" s="337">
        <v>0</v>
      </c>
      <c r="S138" s="338"/>
      <c r="T138" s="255"/>
    </row>
    <row r="139" spans="1:21" s="256" customFormat="1" ht="15.6" x14ac:dyDescent="0.3">
      <c r="A139" s="334"/>
      <c r="B139" s="335" t="s">
        <v>142</v>
      </c>
      <c r="C139" s="335"/>
      <c r="D139" s="335"/>
      <c r="E139" s="335"/>
      <c r="F139" s="335"/>
      <c r="G139" s="335"/>
      <c r="H139" s="335"/>
      <c r="I139" s="335"/>
      <c r="J139" s="335"/>
      <c r="K139" s="335"/>
      <c r="L139" s="335"/>
      <c r="M139" s="335"/>
      <c r="N139" s="335"/>
      <c r="O139" s="335"/>
      <c r="P139" s="335"/>
      <c r="Q139" s="335"/>
      <c r="R139" s="337">
        <v>0</v>
      </c>
      <c r="S139" s="338"/>
      <c r="T139" s="255"/>
    </row>
    <row r="140" spans="1:21" s="256" customFormat="1" ht="15.6" x14ac:dyDescent="0.3">
      <c r="A140" s="334"/>
      <c r="B140" s="335" t="s">
        <v>143</v>
      </c>
      <c r="C140" s="335"/>
      <c r="D140" s="335"/>
      <c r="E140" s="335"/>
      <c r="F140" s="335"/>
      <c r="G140" s="335"/>
      <c r="H140" s="335"/>
      <c r="I140" s="335"/>
      <c r="J140" s="335"/>
      <c r="K140" s="335"/>
      <c r="L140" s="335"/>
      <c r="M140" s="335"/>
      <c r="N140" s="335"/>
      <c r="O140" s="335"/>
      <c r="P140" s="335"/>
      <c r="Q140" s="335"/>
      <c r="R140" s="337">
        <v>0</v>
      </c>
      <c r="S140" s="338"/>
      <c r="T140" s="255"/>
    </row>
    <row r="141" spans="1:21" s="256" customFormat="1" ht="15.6" x14ac:dyDescent="0.3">
      <c r="A141" s="334"/>
      <c r="B141" s="335" t="s">
        <v>53</v>
      </c>
      <c r="C141" s="335"/>
      <c r="D141" s="335"/>
      <c r="E141" s="335"/>
      <c r="F141" s="335"/>
      <c r="G141" s="335"/>
      <c r="H141" s="335"/>
      <c r="I141" s="335"/>
      <c r="J141" s="335"/>
      <c r="K141" s="335"/>
      <c r="L141" s="335"/>
      <c r="M141" s="335"/>
      <c r="N141" s="335"/>
      <c r="O141" s="335"/>
      <c r="P141" s="335"/>
      <c r="Q141" s="335"/>
      <c r="R141" s="337">
        <v>0</v>
      </c>
      <c r="S141" s="338"/>
      <c r="T141" s="255"/>
    </row>
    <row r="142" spans="1:21" s="256" customFormat="1" ht="15.6" x14ac:dyDescent="0.3">
      <c r="A142" s="334"/>
      <c r="B142" s="335" t="s">
        <v>148</v>
      </c>
      <c r="C142" s="335"/>
      <c r="D142" s="335"/>
      <c r="E142" s="335"/>
      <c r="F142" s="335"/>
      <c r="G142" s="335"/>
      <c r="H142" s="335"/>
      <c r="I142" s="335"/>
      <c r="J142" s="335"/>
      <c r="K142" s="335"/>
      <c r="L142" s="335"/>
      <c r="M142" s="335"/>
      <c r="N142" s="335"/>
      <c r="O142" s="335"/>
      <c r="P142" s="335"/>
      <c r="Q142" s="335"/>
      <c r="R142" s="337">
        <v>0</v>
      </c>
      <c r="S142" s="338"/>
      <c r="T142" s="255"/>
    </row>
    <row r="143" spans="1:21" s="256" customFormat="1" ht="15.6" x14ac:dyDescent="0.3">
      <c r="A143" s="334"/>
      <c r="B143" s="335" t="s">
        <v>203</v>
      </c>
      <c r="C143" s="335"/>
      <c r="D143" s="335"/>
      <c r="E143" s="335"/>
      <c r="F143" s="335"/>
      <c r="G143" s="335"/>
      <c r="H143" s="335"/>
      <c r="I143" s="335"/>
      <c r="J143" s="335"/>
      <c r="K143" s="335"/>
      <c r="L143" s="335"/>
      <c r="M143" s="335"/>
      <c r="N143" s="335"/>
      <c r="O143" s="335"/>
      <c r="P143" s="335"/>
      <c r="Q143" s="335"/>
      <c r="R143" s="337">
        <v>0</v>
      </c>
      <c r="S143" s="338"/>
      <c r="T143" s="255"/>
      <c r="U143" s="270"/>
    </row>
    <row r="144" spans="1:21" s="256" customFormat="1" ht="15.6" x14ac:dyDescent="0.3">
      <c r="A144" s="334"/>
      <c r="B144" s="335" t="s">
        <v>54</v>
      </c>
      <c r="C144" s="335"/>
      <c r="D144" s="335"/>
      <c r="E144" s="335"/>
      <c r="F144" s="335"/>
      <c r="G144" s="335"/>
      <c r="H144" s="335"/>
      <c r="I144" s="335"/>
      <c r="J144" s="335"/>
      <c r="K144" s="335"/>
      <c r="L144" s="335"/>
      <c r="M144" s="335"/>
      <c r="N144" s="335"/>
      <c r="O144" s="335"/>
      <c r="P144" s="335"/>
      <c r="Q144" s="335"/>
      <c r="R144" s="337">
        <f>SUM(R137:R143)</f>
        <v>19000</v>
      </c>
      <c r="S144" s="338"/>
      <c r="T144" s="255"/>
    </row>
    <row r="145" spans="1:20" s="256" customFormat="1" ht="15.6" x14ac:dyDescent="0.3">
      <c r="A145" s="334"/>
      <c r="B145" s="335"/>
      <c r="C145" s="335"/>
      <c r="D145" s="335"/>
      <c r="E145" s="335"/>
      <c r="F145" s="335"/>
      <c r="G145" s="335"/>
      <c r="H145" s="335"/>
      <c r="I145" s="335"/>
      <c r="J145" s="335"/>
      <c r="K145" s="335"/>
      <c r="L145" s="335"/>
      <c r="M145" s="335"/>
      <c r="N145" s="335"/>
      <c r="O145" s="335"/>
      <c r="P145" s="335"/>
      <c r="Q145" s="335"/>
      <c r="R145" s="337"/>
      <c r="S145" s="338"/>
      <c r="T145" s="255"/>
    </row>
    <row r="146" spans="1:20" ht="15.6" x14ac:dyDescent="0.3">
      <c r="A146" s="343"/>
      <c r="B146" s="344" t="s">
        <v>264</v>
      </c>
      <c r="C146" s="345"/>
      <c r="D146" s="345"/>
      <c r="E146" s="345"/>
      <c r="F146" s="345"/>
      <c r="G146" s="345"/>
      <c r="H146" s="345"/>
      <c r="I146" s="345"/>
      <c r="J146" s="345"/>
      <c r="K146" s="345"/>
      <c r="L146" s="345"/>
      <c r="M146" s="345"/>
      <c r="N146" s="345"/>
      <c r="O146" s="345"/>
      <c r="P146" s="345"/>
      <c r="Q146" s="345"/>
      <c r="R146" s="347"/>
      <c r="S146" s="348"/>
      <c r="T146" s="5"/>
    </row>
    <row r="147" spans="1:20" s="256" customFormat="1" ht="15.6" x14ac:dyDescent="0.3">
      <c r="A147" s="334"/>
      <c r="B147" s="335" t="s">
        <v>206</v>
      </c>
      <c r="C147" s="335"/>
      <c r="D147" s="335"/>
      <c r="E147" s="335"/>
      <c r="F147" s="335"/>
      <c r="G147" s="335"/>
      <c r="H147" s="335"/>
      <c r="I147" s="335"/>
      <c r="J147" s="335"/>
      <c r="K147" s="335"/>
      <c r="L147" s="335"/>
      <c r="M147" s="335"/>
      <c r="N147" s="335"/>
      <c r="O147" s="335"/>
      <c r="P147" s="335"/>
      <c r="Q147" s="335"/>
      <c r="R147" s="337">
        <f>+R33*0.005</f>
        <v>5000</v>
      </c>
      <c r="S147" s="338"/>
      <c r="T147" s="255"/>
    </row>
    <row r="148" spans="1:20" s="256" customFormat="1" ht="15.6" x14ac:dyDescent="0.3">
      <c r="A148" s="334"/>
      <c r="B148" s="335" t="s">
        <v>260</v>
      </c>
      <c r="C148" s="335"/>
      <c r="D148" s="335"/>
      <c r="E148" s="335"/>
      <c r="F148" s="335"/>
      <c r="G148" s="335"/>
      <c r="H148" s="335"/>
      <c r="I148" s="335"/>
      <c r="J148" s="335"/>
      <c r="K148" s="335"/>
      <c r="L148" s="335"/>
      <c r="M148" s="335"/>
      <c r="N148" s="335"/>
      <c r="O148" s="335"/>
      <c r="P148" s="335"/>
      <c r="Q148" s="335"/>
      <c r="R148" s="337">
        <v>0</v>
      </c>
      <c r="S148" s="338"/>
      <c r="T148" s="255"/>
    </row>
    <row r="149" spans="1:20" s="256" customFormat="1" ht="15.6" x14ac:dyDescent="0.3">
      <c r="A149" s="334"/>
      <c r="B149" s="335" t="s">
        <v>326</v>
      </c>
      <c r="C149" s="335"/>
      <c r="D149" s="335"/>
      <c r="E149" s="335"/>
      <c r="F149" s="335"/>
      <c r="G149" s="335"/>
      <c r="H149" s="335"/>
      <c r="I149" s="335"/>
      <c r="J149" s="335"/>
      <c r="K149" s="335"/>
      <c r="L149" s="335"/>
      <c r="M149" s="335"/>
      <c r="N149" s="335"/>
      <c r="O149" s="335"/>
      <c r="P149" s="335"/>
      <c r="Q149" s="335"/>
      <c r="R149" s="337">
        <v>0</v>
      </c>
      <c r="S149" s="338"/>
      <c r="T149" s="255"/>
    </row>
    <row r="150" spans="1:20" s="256" customFormat="1" ht="15.6" x14ac:dyDescent="0.3">
      <c r="A150" s="334"/>
      <c r="B150" s="335"/>
      <c r="C150" s="335"/>
      <c r="D150" s="335"/>
      <c r="E150" s="335"/>
      <c r="F150" s="335"/>
      <c r="G150" s="335"/>
      <c r="H150" s="335"/>
      <c r="I150" s="335"/>
      <c r="J150" s="335"/>
      <c r="K150" s="335"/>
      <c r="L150" s="335"/>
      <c r="M150" s="335"/>
      <c r="N150" s="335"/>
      <c r="O150" s="335"/>
      <c r="P150" s="335"/>
      <c r="Q150" s="335"/>
      <c r="R150" s="337"/>
      <c r="S150" s="338"/>
      <c r="T150" s="255"/>
    </row>
    <row r="151" spans="1:20" s="256" customFormat="1" ht="15.6" x14ac:dyDescent="0.3">
      <c r="A151" s="261"/>
      <c r="B151" s="282"/>
      <c r="C151" s="282"/>
      <c r="D151" s="282"/>
      <c r="E151" s="282"/>
      <c r="F151" s="282"/>
      <c r="G151" s="282"/>
      <c r="H151" s="282"/>
      <c r="I151" s="282"/>
      <c r="J151" s="282"/>
      <c r="K151" s="282"/>
      <c r="L151" s="282"/>
      <c r="M151" s="282"/>
      <c r="N151" s="282"/>
      <c r="O151" s="282"/>
      <c r="P151" s="282"/>
      <c r="Q151" s="282"/>
      <c r="R151" s="350"/>
      <c r="S151" s="282"/>
      <c r="T151" s="255"/>
    </row>
    <row r="152" spans="1:20" ht="15.6" x14ac:dyDescent="0.3">
      <c r="A152" s="182"/>
      <c r="B152" s="203" t="s">
        <v>28</v>
      </c>
      <c r="C152" s="184"/>
      <c r="D152" s="184"/>
      <c r="E152" s="184"/>
      <c r="F152" s="184"/>
      <c r="G152" s="184"/>
      <c r="H152" s="184"/>
      <c r="I152" s="184"/>
      <c r="J152" s="184"/>
      <c r="K152" s="184"/>
      <c r="L152" s="184"/>
      <c r="M152" s="184"/>
      <c r="N152" s="184"/>
      <c r="O152" s="184"/>
      <c r="P152" s="184"/>
      <c r="Q152" s="184"/>
      <c r="R152" s="196"/>
      <c r="S152" s="184"/>
      <c r="T152" s="5"/>
    </row>
    <row r="153" spans="1:20" s="256" customFormat="1" ht="15.6" x14ac:dyDescent="0.3">
      <c r="A153" s="334"/>
      <c r="B153" s="335" t="s">
        <v>55</v>
      </c>
      <c r="C153" s="335"/>
      <c r="D153" s="335"/>
      <c r="E153" s="335"/>
      <c r="F153" s="335"/>
      <c r="G153" s="335"/>
      <c r="H153" s="335"/>
      <c r="I153" s="335"/>
      <c r="J153" s="335"/>
      <c r="K153" s="335"/>
      <c r="L153" s="335"/>
      <c r="M153" s="335"/>
      <c r="N153" s="335"/>
      <c r="O153" s="335"/>
      <c r="P153" s="335"/>
      <c r="Q153" s="335"/>
      <c r="R153" s="352" t="s">
        <v>137</v>
      </c>
      <c r="S153" s="338"/>
      <c r="T153" s="255"/>
    </row>
    <row r="154" spans="1:20" s="256" customFormat="1" ht="15.6" x14ac:dyDescent="0.3">
      <c r="A154" s="334"/>
      <c r="B154" s="335" t="s">
        <v>56</v>
      </c>
      <c r="C154" s="353"/>
      <c r="D154" s="353"/>
      <c r="E154" s="353"/>
      <c r="F154" s="353"/>
      <c r="G154" s="353"/>
      <c r="H154" s="353"/>
      <c r="I154" s="353"/>
      <c r="J154" s="353"/>
      <c r="K154" s="353"/>
      <c r="L154" s="353"/>
      <c r="M154" s="353"/>
      <c r="N154" s="353"/>
      <c r="O154" s="353"/>
      <c r="P154" s="353"/>
      <c r="Q154" s="353"/>
      <c r="R154" s="352" t="s">
        <v>137</v>
      </c>
      <c r="S154" s="338"/>
      <c r="T154" s="255"/>
    </row>
    <row r="155" spans="1:20" s="256" customFormat="1" ht="15.6" x14ac:dyDescent="0.3">
      <c r="A155" s="334"/>
      <c r="B155" s="335" t="s">
        <v>57</v>
      </c>
      <c r="C155" s="335"/>
      <c r="D155" s="335"/>
      <c r="E155" s="335"/>
      <c r="F155" s="335"/>
      <c r="G155" s="335"/>
      <c r="H155" s="335"/>
      <c r="I155" s="335"/>
      <c r="J155" s="335"/>
      <c r="K155" s="335"/>
      <c r="L155" s="335"/>
      <c r="M155" s="335"/>
      <c r="N155" s="335"/>
      <c r="O155" s="335"/>
      <c r="P155" s="335"/>
      <c r="Q155" s="335"/>
      <c r="R155" s="352" t="s">
        <v>137</v>
      </c>
      <c r="S155" s="338"/>
      <c r="T155" s="255"/>
    </row>
    <row r="156" spans="1:20" s="256" customFormat="1" ht="15.6" x14ac:dyDescent="0.3">
      <c r="A156" s="334"/>
      <c r="B156" s="335" t="s">
        <v>58</v>
      </c>
      <c r="C156" s="335"/>
      <c r="D156" s="335"/>
      <c r="E156" s="335"/>
      <c r="F156" s="335"/>
      <c r="G156" s="335"/>
      <c r="H156" s="335"/>
      <c r="I156" s="335"/>
      <c r="J156" s="335"/>
      <c r="K156" s="335"/>
      <c r="L156" s="335"/>
      <c r="M156" s="335"/>
      <c r="N156" s="335"/>
      <c r="O156" s="335"/>
      <c r="P156" s="335"/>
      <c r="Q156" s="335"/>
      <c r="R156" s="352" t="s">
        <v>137</v>
      </c>
      <c r="S156" s="338"/>
      <c r="T156" s="255"/>
    </row>
    <row r="157" spans="1:20" ht="15.6" x14ac:dyDescent="0.3">
      <c r="A157" s="182"/>
      <c r="B157" s="213"/>
      <c r="C157" s="213"/>
      <c r="D157" s="213"/>
      <c r="E157" s="213"/>
      <c r="F157" s="213"/>
      <c r="G157" s="213"/>
      <c r="H157" s="213"/>
      <c r="I157" s="213"/>
      <c r="J157" s="213"/>
      <c r="K157" s="213"/>
      <c r="L157" s="213"/>
      <c r="M157" s="213"/>
      <c r="N157" s="213"/>
      <c r="O157" s="213"/>
      <c r="P157" s="213"/>
      <c r="Q157" s="213"/>
      <c r="R157" s="351"/>
      <c r="S157" s="213"/>
      <c r="T157" s="5"/>
    </row>
    <row r="158" spans="1:20" ht="15.6" x14ac:dyDescent="0.3">
      <c r="A158" s="182"/>
      <c r="B158" s="203" t="s">
        <v>59</v>
      </c>
      <c r="C158" s="184"/>
      <c r="D158" s="184"/>
      <c r="E158" s="184"/>
      <c r="F158" s="184"/>
      <c r="G158" s="184"/>
      <c r="H158" s="184"/>
      <c r="I158" s="184"/>
      <c r="J158" s="184"/>
      <c r="K158" s="184"/>
      <c r="L158" s="184"/>
      <c r="M158" s="184"/>
      <c r="N158" s="184"/>
      <c r="O158" s="184"/>
      <c r="P158" s="184"/>
      <c r="Q158" s="184"/>
      <c r="R158" s="204"/>
      <c r="S158" s="184"/>
      <c r="T158" s="5"/>
    </row>
    <row r="159" spans="1:20" s="256" customFormat="1" ht="15.6" x14ac:dyDescent="0.3">
      <c r="A159" s="334"/>
      <c r="B159" s="335" t="s">
        <v>60</v>
      </c>
      <c r="C159" s="335"/>
      <c r="D159" s="335"/>
      <c r="E159" s="335"/>
      <c r="F159" s="335"/>
      <c r="G159" s="335"/>
      <c r="H159" s="335"/>
      <c r="I159" s="335"/>
      <c r="J159" s="335"/>
      <c r="K159" s="335"/>
      <c r="L159" s="335"/>
      <c r="M159" s="335"/>
      <c r="N159" s="335"/>
      <c r="O159" s="335"/>
      <c r="P159" s="335"/>
      <c r="Q159" s="335"/>
      <c r="R159" s="337">
        <v>0</v>
      </c>
      <c r="S159" s="338"/>
      <c r="T159" s="255"/>
    </row>
    <row r="160" spans="1:20" s="256" customFormat="1" ht="15.6" x14ac:dyDescent="0.3">
      <c r="A160" s="334"/>
      <c r="B160" s="335" t="s">
        <v>61</v>
      </c>
      <c r="C160" s="335"/>
      <c r="D160" s="335"/>
      <c r="E160" s="335"/>
      <c r="F160" s="335"/>
      <c r="G160" s="335"/>
      <c r="H160" s="335"/>
      <c r="I160" s="335"/>
      <c r="J160" s="335"/>
      <c r="K160" s="335"/>
      <c r="L160" s="335"/>
      <c r="M160" s="335"/>
      <c r="N160" s="335"/>
      <c r="O160" s="335"/>
      <c r="P160" s="335"/>
      <c r="Q160" s="335"/>
      <c r="R160" s="337">
        <f>P113</f>
        <v>252</v>
      </c>
      <c r="S160" s="338"/>
      <c r="T160" s="255"/>
    </row>
    <row r="161" spans="1:20" s="256" customFormat="1" ht="15.6" x14ac:dyDescent="0.3">
      <c r="A161" s="334"/>
      <c r="B161" s="335" t="s">
        <v>62</v>
      </c>
      <c r="C161" s="335"/>
      <c r="D161" s="335"/>
      <c r="E161" s="335"/>
      <c r="F161" s="335"/>
      <c r="G161" s="335"/>
      <c r="H161" s="335"/>
      <c r="I161" s="335"/>
      <c r="J161" s="335"/>
      <c r="K161" s="335"/>
      <c r="L161" s="335"/>
      <c r="M161" s="335"/>
      <c r="N161" s="335"/>
      <c r="O161" s="335"/>
      <c r="P161" s="335"/>
      <c r="Q161" s="335"/>
      <c r="R161" s="337">
        <f>R160+R159</f>
        <v>252</v>
      </c>
      <c r="S161" s="338"/>
      <c r="T161" s="255"/>
    </row>
    <row r="162" spans="1:20" s="256" customFormat="1" ht="15.6" x14ac:dyDescent="0.3">
      <c r="A162" s="334"/>
      <c r="B162" s="335" t="s">
        <v>308</v>
      </c>
      <c r="C162" s="335"/>
      <c r="D162" s="335"/>
      <c r="E162" s="335"/>
      <c r="F162" s="335"/>
      <c r="G162" s="335"/>
      <c r="H162" s="335"/>
      <c r="I162" s="335"/>
      <c r="J162" s="335"/>
      <c r="K162" s="335"/>
      <c r="L162" s="335"/>
      <c r="M162" s="335"/>
      <c r="N162" s="335"/>
      <c r="O162" s="335"/>
      <c r="P162" s="335"/>
      <c r="Q162" s="335"/>
      <c r="R162" s="337">
        <f>R113</f>
        <v>-252</v>
      </c>
      <c r="S162" s="338"/>
      <c r="T162" s="255"/>
    </row>
    <row r="163" spans="1:20" s="256" customFormat="1" ht="15.6" x14ac:dyDescent="0.3">
      <c r="A163" s="334"/>
      <c r="B163" s="335" t="s">
        <v>63</v>
      </c>
      <c r="C163" s="335"/>
      <c r="D163" s="335"/>
      <c r="E163" s="335"/>
      <c r="F163" s="335"/>
      <c r="G163" s="335"/>
      <c r="H163" s="335"/>
      <c r="I163" s="335"/>
      <c r="J163" s="335"/>
      <c r="K163" s="335"/>
      <c r="L163" s="335"/>
      <c r="M163" s="335"/>
      <c r="N163" s="335"/>
      <c r="O163" s="335"/>
      <c r="P163" s="335"/>
      <c r="Q163" s="335"/>
      <c r="R163" s="337">
        <f>R161+R162</f>
        <v>0</v>
      </c>
      <c r="S163" s="338"/>
      <c r="T163" s="255"/>
    </row>
    <row r="164" spans="1:20" s="256" customFormat="1" ht="15.6" x14ac:dyDescent="0.3">
      <c r="A164" s="334"/>
      <c r="B164" s="335" t="s">
        <v>276</v>
      </c>
      <c r="C164" s="335"/>
      <c r="D164" s="335"/>
      <c r="E164" s="335"/>
      <c r="F164" s="335"/>
      <c r="G164" s="335"/>
      <c r="H164" s="335"/>
      <c r="I164" s="335"/>
      <c r="J164" s="335"/>
      <c r="K164" s="335"/>
      <c r="L164" s="335"/>
      <c r="M164" s="335"/>
      <c r="N164" s="335"/>
      <c r="O164" s="335"/>
      <c r="P164" s="335"/>
      <c r="Q164" s="335"/>
      <c r="R164" s="337">
        <v>0</v>
      </c>
      <c r="S164" s="338"/>
      <c r="T164" s="255"/>
    </row>
    <row r="165" spans="1:20" s="256" customFormat="1" ht="16.2" thickBot="1" x14ac:dyDescent="0.35">
      <c r="A165" s="261"/>
      <c r="B165" s="282"/>
      <c r="C165" s="282"/>
      <c r="D165" s="282"/>
      <c r="E165" s="282"/>
      <c r="F165" s="282"/>
      <c r="G165" s="282"/>
      <c r="H165" s="282"/>
      <c r="I165" s="282"/>
      <c r="J165" s="282"/>
      <c r="K165" s="282"/>
      <c r="L165" s="282"/>
      <c r="M165" s="282"/>
      <c r="N165" s="282"/>
      <c r="O165" s="282"/>
      <c r="P165" s="282"/>
      <c r="Q165" s="282"/>
      <c r="R165" s="350"/>
      <c r="S165" s="282"/>
      <c r="T165" s="255"/>
    </row>
    <row r="166" spans="1:20" ht="15.6" x14ac:dyDescent="0.3">
      <c r="A166" s="180"/>
      <c r="B166" s="181"/>
      <c r="C166" s="181"/>
      <c r="D166" s="181"/>
      <c r="E166" s="181"/>
      <c r="F166" s="181"/>
      <c r="G166" s="181"/>
      <c r="H166" s="181"/>
      <c r="I166" s="181"/>
      <c r="J166" s="181"/>
      <c r="K166" s="181"/>
      <c r="L166" s="181"/>
      <c r="M166" s="181"/>
      <c r="N166" s="181"/>
      <c r="O166" s="181"/>
      <c r="P166" s="181"/>
      <c r="Q166" s="181"/>
      <c r="R166" s="195"/>
      <c r="S166" s="181"/>
      <c r="T166" s="5"/>
    </row>
    <row r="167" spans="1:20" ht="15.6" x14ac:dyDescent="0.3">
      <c r="A167" s="182"/>
      <c r="B167" s="203" t="s">
        <v>64</v>
      </c>
      <c r="C167" s="184"/>
      <c r="D167" s="184"/>
      <c r="E167" s="184"/>
      <c r="F167" s="184"/>
      <c r="G167" s="184"/>
      <c r="H167" s="184"/>
      <c r="I167" s="184"/>
      <c r="J167" s="184"/>
      <c r="K167" s="184"/>
      <c r="L167" s="184"/>
      <c r="M167" s="184"/>
      <c r="N167" s="184"/>
      <c r="O167" s="184"/>
      <c r="P167" s="184"/>
      <c r="Q167" s="184"/>
      <c r="R167" s="196"/>
      <c r="S167" s="184"/>
      <c r="T167" s="5"/>
    </row>
    <row r="168" spans="1:20" ht="15.6" x14ac:dyDescent="0.3">
      <c r="A168" s="182"/>
      <c r="B168" s="193"/>
      <c r="C168" s="184"/>
      <c r="D168" s="184"/>
      <c r="E168" s="184"/>
      <c r="F168" s="184"/>
      <c r="G168" s="184"/>
      <c r="H168" s="184"/>
      <c r="I168" s="184"/>
      <c r="J168" s="184"/>
      <c r="K168" s="184"/>
      <c r="L168" s="184"/>
      <c r="M168" s="184"/>
      <c r="N168" s="184"/>
      <c r="O168" s="184"/>
      <c r="P168" s="184"/>
      <c r="Q168" s="184"/>
      <c r="R168" s="196"/>
      <c r="S168" s="184"/>
      <c r="T168" s="5"/>
    </row>
    <row r="169" spans="1:20" s="256" customFormat="1" ht="15.6" x14ac:dyDescent="0.3">
      <c r="A169" s="334"/>
      <c r="B169" s="335" t="s">
        <v>65</v>
      </c>
      <c r="C169" s="335"/>
      <c r="D169" s="335"/>
      <c r="E169" s="335"/>
      <c r="F169" s="335"/>
      <c r="G169" s="335"/>
      <c r="H169" s="335"/>
      <c r="I169" s="335"/>
      <c r="J169" s="335"/>
      <c r="K169" s="335"/>
      <c r="L169" s="335"/>
      <c r="M169" s="335"/>
      <c r="N169" s="335"/>
      <c r="O169" s="335"/>
      <c r="P169" s="335"/>
      <c r="Q169" s="335"/>
      <c r="R169" s="337">
        <f>R69</f>
        <v>349042</v>
      </c>
      <c r="S169" s="338"/>
      <c r="T169" s="255"/>
    </row>
    <row r="170" spans="1:20" s="256" customFormat="1" ht="15.6" x14ac:dyDescent="0.3">
      <c r="A170" s="334"/>
      <c r="B170" s="335" t="s">
        <v>66</v>
      </c>
      <c r="C170" s="335"/>
      <c r="D170" s="335"/>
      <c r="E170" s="335"/>
      <c r="F170" s="335"/>
      <c r="G170" s="335"/>
      <c r="H170" s="335"/>
      <c r="I170" s="335"/>
      <c r="J170" s="335"/>
      <c r="K170" s="335"/>
      <c r="L170" s="335"/>
      <c r="M170" s="335"/>
      <c r="N170" s="335"/>
      <c r="O170" s="335"/>
      <c r="P170" s="335"/>
      <c r="Q170" s="335"/>
      <c r="R170" s="337">
        <f>R82</f>
        <v>349042</v>
      </c>
      <c r="S170" s="338"/>
      <c r="T170" s="255"/>
    </row>
    <row r="171" spans="1:20" ht="16.2" thickBot="1" x14ac:dyDescent="0.35">
      <c r="A171" s="182"/>
      <c r="B171" s="213"/>
      <c r="C171" s="213"/>
      <c r="D171" s="213"/>
      <c r="E171" s="213"/>
      <c r="F171" s="213"/>
      <c r="G171" s="213"/>
      <c r="H171" s="213"/>
      <c r="I171" s="213"/>
      <c r="J171" s="213"/>
      <c r="K171" s="213"/>
      <c r="L171" s="213"/>
      <c r="M171" s="213"/>
      <c r="N171" s="213"/>
      <c r="O171" s="213"/>
      <c r="P171" s="213"/>
      <c r="Q171" s="213"/>
      <c r="R171" s="351"/>
      <c r="S171" s="213"/>
      <c r="T171" s="5"/>
    </row>
    <row r="172" spans="1:20" ht="15.6" x14ac:dyDescent="0.3">
      <c r="A172" s="180"/>
      <c r="B172" s="181"/>
      <c r="C172" s="181"/>
      <c r="D172" s="181"/>
      <c r="E172" s="181"/>
      <c r="F172" s="181"/>
      <c r="G172" s="181"/>
      <c r="H172" s="181"/>
      <c r="I172" s="181"/>
      <c r="J172" s="181"/>
      <c r="K172" s="181"/>
      <c r="L172" s="181"/>
      <c r="M172" s="181"/>
      <c r="N172" s="181"/>
      <c r="O172" s="181"/>
      <c r="P172" s="181"/>
      <c r="Q172" s="181"/>
      <c r="R172" s="195"/>
      <c r="S172" s="181"/>
      <c r="T172" s="5"/>
    </row>
    <row r="173" spans="1:20" ht="15.6" x14ac:dyDescent="0.3">
      <c r="A173" s="182"/>
      <c r="B173" s="203" t="s">
        <v>67</v>
      </c>
      <c r="C173" s="200"/>
      <c r="D173" s="200"/>
      <c r="E173" s="200"/>
      <c r="F173" s="200"/>
      <c r="G173" s="200"/>
      <c r="H173" s="205"/>
      <c r="I173" s="205"/>
      <c r="J173" s="205"/>
      <c r="K173" s="205"/>
      <c r="L173" s="205"/>
      <c r="M173" s="205"/>
      <c r="N173" s="205"/>
      <c r="O173" s="205" t="s">
        <v>112</v>
      </c>
      <c r="P173" s="205" t="s">
        <v>120</v>
      </c>
      <c r="Q173" s="186"/>
      <c r="R173" s="206" t="s">
        <v>129</v>
      </c>
      <c r="S173" s="207"/>
      <c r="T173" s="5"/>
    </row>
    <row r="174" spans="1:20" s="256" customFormat="1" ht="15.6" x14ac:dyDescent="0.3">
      <c r="A174" s="334"/>
      <c r="B174" s="335" t="s">
        <v>68</v>
      </c>
      <c r="C174" s="335"/>
      <c r="D174" s="335"/>
      <c r="E174" s="335"/>
      <c r="F174" s="335"/>
      <c r="G174" s="335"/>
      <c r="H174" s="335"/>
      <c r="I174" s="335"/>
      <c r="J174" s="335"/>
      <c r="K174" s="335"/>
      <c r="L174" s="335"/>
      <c r="M174" s="335"/>
      <c r="N174" s="335"/>
      <c r="O174" s="337">
        <v>160000</v>
      </c>
      <c r="P174" s="340"/>
      <c r="Q174" s="335"/>
      <c r="R174" s="337"/>
      <c r="S174" s="338"/>
      <c r="T174" s="255"/>
    </row>
    <row r="175" spans="1:20" s="256" customFormat="1" ht="15.6" x14ac:dyDescent="0.3">
      <c r="A175" s="334"/>
      <c r="B175" s="335" t="s">
        <v>69</v>
      </c>
      <c r="C175" s="335"/>
      <c r="D175" s="335"/>
      <c r="E175" s="335"/>
      <c r="F175" s="335"/>
      <c r="G175" s="335"/>
      <c r="H175" s="335"/>
      <c r="I175" s="335"/>
      <c r="J175" s="335"/>
      <c r="K175" s="335"/>
      <c r="L175" s="335"/>
      <c r="M175" s="335"/>
      <c r="N175" s="335"/>
      <c r="O175" s="337">
        <f>+'Mar 17'!O177</f>
        <v>92006</v>
      </c>
      <c r="P175" s="337">
        <f>+'Mar 17'!P177</f>
        <v>8496</v>
      </c>
      <c r="Q175" s="335"/>
      <c r="R175" s="337">
        <f>O175+P175</f>
        <v>100502</v>
      </c>
      <c r="S175" s="338"/>
      <c r="T175" s="255"/>
    </row>
    <row r="176" spans="1:20" s="256" customFormat="1" ht="15.6" x14ac:dyDescent="0.3">
      <c r="A176" s="334"/>
      <c r="B176" s="335" t="s">
        <v>70</v>
      </c>
      <c r="C176" s="335"/>
      <c r="D176" s="335"/>
      <c r="E176" s="335"/>
      <c r="F176" s="335"/>
      <c r="G176" s="335"/>
      <c r="H176" s="335"/>
      <c r="I176" s="335"/>
      <c r="J176" s="335"/>
      <c r="K176" s="335"/>
      <c r="L176" s="335"/>
      <c r="M176" s="335"/>
      <c r="N176" s="335"/>
      <c r="O176" s="336">
        <v>0</v>
      </c>
      <c r="P176" s="336">
        <f>-P95-P120</f>
        <v>0</v>
      </c>
      <c r="Q176" s="335"/>
      <c r="R176" s="337">
        <f>O176+P176</f>
        <v>0</v>
      </c>
      <c r="S176" s="338"/>
      <c r="T176" s="255"/>
    </row>
    <row r="177" spans="1:20" s="256" customFormat="1" ht="15.6" x14ac:dyDescent="0.3">
      <c r="A177" s="334"/>
      <c r="B177" s="335" t="s">
        <v>71</v>
      </c>
      <c r="C177" s="335"/>
      <c r="D177" s="335"/>
      <c r="E177" s="335"/>
      <c r="F177" s="335"/>
      <c r="G177" s="335"/>
      <c r="H177" s="335"/>
      <c r="I177" s="335"/>
      <c r="J177" s="335"/>
      <c r="K177" s="335"/>
      <c r="L177" s="335"/>
      <c r="M177" s="335"/>
      <c r="N177" s="335"/>
      <c r="O177" s="337">
        <f>O175+O176</f>
        <v>92006</v>
      </c>
      <c r="P177" s="337">
        <f>P176+P175</f>
        <v>8496</v>
      </c>
      <c r="Q177" s="335"/>
      <c r="R177" s="337">
        <f>O177+P177</f>
        <v>100502</v>
      </c>
      <c r="S177" s="338"/>
      <c r="T177" s="255"/>
    </row>
    <row r="178" spans="1:20" s="256" customFormat="1" ht="15.6" x14ac:dyDescent="0.3">
      <c r="A178" s="334"/>
      <c r="B178" s="335" t="s">
        <v>72</v>
      </c>
      <c r="C178" s="335"/>
      <c r="D178" s="335"/>
      <c r="E178" s="335"/>
      <c r="F178" s="335"/>
      <c r="G178" s="335"/>
      <c r="H178" s="335"/>
      <c r="I178" s="335"/>
      <c r="J178" s="335"/>
      <c r="K178" s="335"/>
      <c r="L178" s="335"/>
      <c r="M178" s="335"/>
      <c r="N178" s="335"/>
      <c r="O178" s="337">
        <f>O174-O177-P177</f>
        <v>59498</v>
      </c>
      <c r="P178" s="340"/>
      <c r="Q178" s="335"/>
      <c r="R178" s="337"/>
      <c r="S178" s="338"/>
      <c r="T178" s="255"/>
    </row>
    <row r="179" spans="1:20" ht="16.2" thickBot="1" x14ac:dyDescent="0.35">
      <c r="A179" s="182"/>
      <c r="B179" s="213"/>
      <c r="C179" s="213"/>
      <c r="D179" s="213"/>
      <c r="E179" s="213"/>
      <c r="F179" s="213"/>
      <c r="G179" s="213"/>
      <c r="H179" s="213"/>
      <c r="I179" s="213"/>
      <c r="J179" s="213"/>
      <c r="K179" s="213"/>
      <c r="L179" s="213"/>
      <c r="M179" s="213"/>
      <c r="N179" s="213"/>
      <c r="O179" s="213"/>
      <c r="P179" s="213"/>
      <c r="Q179" s="213"/>
      <c r="R179" s="351"/>
      <c r="S179" s="213"/>
      <c r="T179" s="5"/>
    </row>
    <row r="180" spans="1:20" ht="15.6" x14ac:dyDescent="0.3">
      <c r="A180" s="180"/>
      <c r="B180" s="181"/>
      <c r="C180" s="181"/>
      <c r="D180" s="181"/>
      <c r="E180" s="181"/>
      <c r="F180" s="181"/>
      <c r="G180" s="181"/>
      <c r="H180" s="181"/>
      <c r="I180" s="181"/>
      <c r="J180" s="181"/>
      <c r="K180" s="181"/>
      <c r="L180" s="181"/>
      <c r="M180" s="181"/>
      <c r="N180" s="181"/>
      <c r="O180" s="181"/>
      <c r="P180" s="181"/>
      <c r="Q180" s="181"/>
      <c r="R180" s="195"/>
      <c r="S180" s="181"/>
      <c r="T180" s="5"/>
    </row>
    <row r="181" spans="1:20" ht="15.6" x14ac:dyDescent="0.3">
      <c r="A181" s="182"/>
      <c r="B181" s="203" t="s">
        <v>73</v>
      </c>
      <c r="C181" s="184"/>
      <c r="D181" s="184"/>
      <c r="E181" s="184"/>
      <c r="F181" s="184"/>
      <c r="G181" s="184"/>
      <c r="H181" s="184"/>
      <c r="I181" s="184"/>
      <c r="J181" s="184"/>
      <c r="K181" s="184"/>
      <c r="L181" s="184"/>
      <c r="M181" s="184"/>
      <c r="N181" s="184"/>
      <c r="O181" s="184"/>
      <c r="P181" s="184"/>
      <c r="Q181" s="184"/>
      <c r="R181" s="208"/>
      <c r="S181" s="184"/>
      <c r="T181" s="5"/>
    </row>
    <row r="182" spans="1:20" s="256" customFormat="1" ht="15.6" x14ac:dyDescent="0.3">
      <c r="A182" s="334"/>
      <c r="B182" s="335" t="s">
        <v>74</v>
      </c>
      <c r="C182" s="335"/>
      <c r="D182" s="335"/>
      <c r="E182" s="335"/>
      <c r="F182" s="335"/>
      <c r="G182" s="335"/>
      <c r="H182" s="335"/>
      <c r="I182" s="335"/>
      <c r="J182" s="335"/>
      <c r="K182" s="335"/>
      <c r="L182" s="335"/>
      <c r="M182" s="335"/>
      <c r="N182" s="335"/>
      <c r="O182" s="335"/>
      <c r="P182" s="335"/>
      <c r="Q182" s="335"/>
      <c r="R182" s="352">
        <f>(R98+R100+R101+R102+R103+R104)/-(R105+R106+R107+R108)</f>
        <v>3.8399246704331449</v>
      </c>
      <c r="S182" s="338" t="s">
        <v>130</v>
      </c>
      <c r="T182" s="255"/>
    </row>
    <row r="183" spans="1:20" s="256" customFormat="1" ht="15.6" x14ac:dyDescent="0.3">
      <c r="A183" s="334"/>
      <c r="B183" s="335" t="s">
        <v>75</v>
      </c>
      <c r="C183" s="335"/>
      <c r="D183" s="335"/>
      <c r="E183" s="335"/>
      <c r="F183" s="335"/>
      <c r="G183" s="335"/>
      <c r="H183" s="335"/>
      <c r="I183" s="335"/>
      <c r="J183" s="335"/>
      <c r="K183" s="335"/>
      <c r="L183" s="335"/>
      <c r="M183" s="335"/>
      <c r="N183" s="335"/>
      <c r="O183" s="335"/>
      <c r="P183" s="335"/>
      <c r="Q183" s="335"/>
      <c r="R183" s="352">
        <v>1.66</v>
      </c>
      <c r="S183" s="338" t="s">
        <v>130</v>
      </c>
      <c r="T183" s="255"/>
    </row>
    <row r="184" spans="1:20" s="256" customFormat="1" ht="15.6" x14ac:dyDescent="0.3">
      <c r="A184" s="334"/>
      <c r="B184" s="335" t="s">
        <v>76</v>
      </c>
      <c r="C184" s="335"/>
      <c r="D184" s="335"/>
      <c r="E184" s="335"/>
      <c r="F184" s="335"/>
      <c r="G184" s="335"/>
      <c r="H184" s="335"/>
      <c r="I184" s="335"/>
      <c r="J184" s="335"/>
      <c r="K184" s="335"/>
      <c r="L184" s="335"/>
      <c r="M184" s="335"/>
      <c r="N184" s="335"/>
      <c r="O184" s="335"/>
      <c r="P184" s="335"/>
      <c r="Q184" s="335"/>
      <c r="R184" s="352">
        <f>(R98+R100+R101+R102+R103+R104+R105+R106+R107+R108)/-(R109+R110)</f>
        <v>5.1643835616438354</v>
      </c>
      <c r="S184" s="338" t="s">
        <v>130</v>
      </c>
      <c r="T184" s="255"/>
    </row>
    <row r="185" spans="1:20" s="256" customFormat="1" ht="15.6" x14ac:dyDescent="0.3">
      <c r="A185" s="334"/>
      <c r="B185" s="335" t="s">
        <v>77</v>
      </c>
      <c r="C185" s="335"/>
      <c r="D185" s="335"/>
      <c r="E185" s="335"/>
      <c r="F185" s="335"/>
      <c r="G185" s="335"/>
      <c r="H185" s="335"/>
      <c r="I185" s="335"/>
      <c r="J185" s="335"/>
      <c r="K185" s="335"/>
      <c r="L185" s="335"/>
      <c r="M185" s="335"/>
      <c r="N185" s="335"/>
      <c r="O185" s="335"/>
      <c r="P185" s="335"/>
      <c r="Q185" s="335"/>
      <c r="R185" s="354">
        <v>3.13</v>
      </c>
      <c r="S185" s="338" t="s">
        <v>130</v>
      </c>
      <c r="T185" s="255"/>
    </row>
    <row r="186" spans="1:20" s="256" customFormat="1" ht="15.6" x14ac:dyDescent="0.3">
      <c r="A186" s="334"/>
      <c r="B186" s="335"/>
      <c r="C186" s="335"/>
      <c r="D186" s="335"/>
      <c r="E186" s="335"/>
      <c r="F186" s="335"/>
      <c r="G186" s="335"/>
      <c r="H186" s="335"/>
      <c r="I186" s="335"/>
      <c r="J186" s="335"/>
      <c r="K186" s="335"/>
      <c r="L186" s="335"/>
      <c r="M186" s="335"/>
      <c r="N186" s="335"/>
      <c r="O186" s="335"/>
      <c r="P186" s="335"/>
      <c r="Q186" s="335"/>
      <c r="R186" s="335"/>
      <c r="S186" s="338"/>
      <c r="T186" s="255"/>
    </row>
    <row r="187" spans="1:20" s="256" customFormat="1" ht="15.6" x14ac:dyDescent="0.3">
      <c r="A187" s="261"/>
      <c r="B187" s="282"/>
      <c r="C187" s="282"/>
      <c r="D187" s="282"/>
      <c r="E187" s="282"/>
      <c r="F187" s="282"/>
      <c r="G187" s="282"/>
      <c r="H187" s="282"/>
      <c r="I187" s="282"/>
      <c r="J187" s="282"/>
      <c r="K187" s="282"/>
      <c r="L187" s="282"/>
      <c r="M187" s="282"/>
      <c r="N187" s="282"/>
      <c r="O187" s="282"/>
      <c r="P187" s="282"/>
      <c r="Q187" s="282"/>
      <c r="R187" s="282"/>
      <c r="S187" s="282"/>
      <c r="T187" s="255"/>
    </row>
    <row r="188" spans="1:20" s="256" customFormat="1" ht="15.6" x14ac:dyDescent="0.3">
      <c r="A188" s="261"/>
      <c r="B188" s="242"/>
      <c r="C188" s="242"/>
      <c r="D188" s="242"/>
      <c r="E188" s="242"/>
      <c r="F188" s="242"/>
      <c r="G188" s="242"/>
      <c r="H188" s="242"/>
      <c r="I188" s="242"/>
      <c r="J188" s="242"/>
      <c r="K188" s="242"/>
      <c r="L188" s="242"/>
      <c r="M188" s="242"/>
      <c r="N188" s="242"/>
      <c r="O188" s="242"/>
      <c r="P188" s="242"/>
      <c r="Q188" s="242"/>
      <c r="R188" s="242"/>
      <c r="S188" s="242"/>
      <c r="T188" s="255"/>
    </row>
    <row r="189" spans="1:20" s="256" customFormat="1" ht="18" thickBot="1" x14ac:dyDescent="0.35">
      <c r="A189" s="264"/>
      <c r="B189" s="265" t="str">
        <f>B132</f>
        <v>PM8 INVESTOR REPORT QUARTER ENDING JUNE 2017</v>
      </c>
      <c r="C189" s="273"/>
      <c r="D189" s="273"/>
      <c r="E189" s="273"/>
      <c r="F189" s="273"/>
      <c r="G189" s="273"/>
      <c r="H189" s="273"/>
      <c r="I189" s="273"/>
      <c r="J189" s="273"/>
      <c r="K189" s="273"/>
      <c r="L189" s="273"/>
      <c r="M189" s="273"/>
      <c r="N189" s="273"/>
      <c r="O189" s="273"/>
      <c r="P189" s="273"/>
      <c r="Q189" s="273"/>
      <c r="R189" s="273"/>
      <c r="S189" s="274"/>
      <c r="T189" s="255"/>
    </row>
    <row r="190" spans="1:20" ht="15.6" x14ac:dyDescent="0.3">
      <c r="A190" s="226"/>
      <c r="B190" s="568" t="s">
        <v>78</v>
      </c>
      <c r="C190" s="569"/>
      <c r="D190" s="569"/>
      <c r="E190" s="569"/>
      <c r="F190" s="569"/>
      <c r="G190" s="570"/>
      <c r="H190" s="570"/>
      <c r="I190" s="570"/>
      <c r="J190" s="570"/>
      <c r="K190" s="570"/>
      <c r="L190" s="570"/>
      <c r="M190" s="570"/>
      <c r="N190" s="570"/>
      <c r="O190" s="570"/>
      <c r="P190" s="570">
        <v>42916</v>
      </c>
      <c r="Q190" s="227"/>
      <c r="R190" s="227"/>
      <c r="S190" s="227"/>
      <c r="T190" s="5"/>
    </row>
    <row r="191" spans="1:20" ht="15.6" x14ac:dyDescent="0.3">
      <c r="A191" s="209"/>
      <c r="B191" s="210"/>
      <c r="C191" s="211"/>
      <c r="D191" s="211"/>
      <c r="E191" s="211"/>
      <c r="F191" s="211"/>
      <c r="G191" s="212"/>
      <c r="H191" s="212"/>
      <c r="I191" s="212"/>
      <c r="J191" s="212"/>
      <c r="K191" s="212"/>
      <c r="L191" s="212"/>
      <c r="M191" s="212"/>
      <c r="N191" s="212"/>
      <c r="O191" s="212"/>
      <c r="P191" s="212"/>
      <c r="Q191" s="184"/>
      <c r="R191" s="184"/>
      <c r="S191" s="184"/>
      <c r="T191" s="5"/>
    </row>
    <row r="192" spans="1:20" s="256" customFormat="1" ht="15.6" x14ac:dyDescent="0.3">
      <c r="A192" s="334"/>
      <c r="B192" s="335" t="s">
        <v>79</v>
      </c>
      <c r="C192" s="356"/>
      <c r="D192" s="356"/>
      <c r="E192" s="356"/>
      <c r="F192" s="356"/>
      <c r="G192" s="357"/>
      <c r="H192" s="357"/>
      <c r="I192" s="357"/>
      <c r="J192" s="357"/>
      <c r="K192" s="357"/>
      <c r="L192" s="357"/>
      <c r="M192" s="357"/>
      <c r="N192" s="357"/>
      <c r="O192" s="357"/>
      <c r="P192" s="358">
        <v>6.2039999999999998E-2</v>
      </c>
      <c r="Q192" s="335"/>
      <c r="R192" s="335"/>
      <c r="S192" s="338"/>
      <c r="T192" s="255"/>
    </row>
    <row r="193" spans="1:20" s="256" customFormat="1" ht="15.6" x14ac:dyDescent="0.3">
      <c r="A193" s="334"/>
      <c r="B193" s="335" t="s">
        <v>178</v>
      </c>
      <c r="C193" s="356"/>
      <c r="D193" s="356"/>
      <c r="E193" s="356"/>
      <c r="F193" s="356"/>
      <c r="G193" s="357"/>
      <c r="H193" s="357"/>
      <c r="I193" s="357"/>
      <c r="J193" s="357"/>
      <c r="K193" s="357"/>
      <c r="L193" s="357"/>
      <c r="M193" s="357"/>
      <c r="N193" s="357"/>
      <c r="O193" s="357"/>
      <c r="P193" s="358">
        <v>5.1733455000000005E-2</v>
      </c>
      <c r="Q193" s="335"/>
      <c r="R193" s="335"/>
      <c r="S193" s="338"/>
      <c r="T193" s="255"/>
    </row>
    <row r="194" spans="1:20" s="256" customFormat="1" ht="15.6" x14ac:dyDescent="0.3">
      <c r="A194" s="334"/>
      <c r="B194" s="335" t="s">
        <v>80</v>
      </c>
      <c r="C194" s="356"/>
      <c r="D194" s="356"/>
      <c r="E194" s="356"/>
      <c r="F194" s="356"/>
      <c r="G194" s="357"/>
      <c r="H194" s="357"/>
      <c r="I194" s="357"/>
      <c r="J194" s="357"/>
      <c r="K194" s="357"/>
      <c r="L194" s="357"/>
      <c r="M194" s="357"/>
      <c r="N194" s="357"/>
      <c r="O194" s="357"/>
      <c r="P194" s="358">
        <f>P192-P193</f>
        <v>1.0306544999999993E-2</v>
      </c>
      <c r="Q194" s="335"/>
      <c r="R194" s="335"/>
      <c r="S194" s="338"/>
      <c r="T194" s="255"/>
    </row>
    <row r="195" spans="1:20" s="256" customFormat="1" ht="15.6" x14ac:dyDescent="0.3">
      <c r="A195" s="334"/>
      <c r="B195" s="335" t="s">
        <v>81</v>
      </c>
      <c r="C195" s="356"/>
      <c r="D195" s="356"/>
      <c r="E195" s="356"/>
      <c r="F195" s="356"/>
      <c r="G195" s="357"/>
      <c r="H195" s="357"/>
      <c r="I195" s="357"/>
      <c r="J195" s="357"/>
      <c r="K195" s="357"/>
      <c r="L195" s="357"/>
      <c r="M195" s="357"/>
      <c r="N195" s="357"/>
      <c r="O195" s="357"/>
      <c r="P195" s="358">
        <v>2.1499999999999998E-2</v>
      </c>
      <c r="Q195" s="335"/>
      <c r="R195" s="335"/>
      <c r="S195" s="338"/>
      <c r="T195" s="255"/>
    </row>
    <row r="196" spans="1:20" s="256" customFormat="1" ht="15.6" x14ac:dyDescent="0.3">
      <c r="A196" s="334"/>
      <c r="B196" s="335" t="s">
        <v>261</v>
      </c>
      <c r="C196" s="356"/>
      <c r="D196" s="356"/>
      <c r="E196" s="356"/>
      <c r="F196" s="356"/>
      <c r="G196" s="357"/>
      <c r="H196" s="357"/>
      <c r="I196" s="357"/>
      <c r="J196" s="357"/>
      <c r="K196" s="357"/>
      <c r="L196" s="357"/>
      <c r="M196" s="357"/>
      <c r="N196" s="357"/>
      <c r="O196" s="357"/>
      <c r="P196" s="358">
        <f>+R42</f>
        <v>9.3719103126573191E-3</v>
      </c>
      <c r="Q196" s="335"/>
      <c r="R196" s="335"/>
      <c r="S196" s="338"/>
      <c r="T196" s="255"/>
    </row>
    <row r="197" spans="1:20" s="256" customFormat="1" ht="15.6" x14ac:dyDescent="0.3">
      <c r="A197" s="334"/>
      <c r="B197" s="335" t="s">
        <v>82</v>
      </c>
      <c r="C197" s="356"/>
      <c r="D197" s="356"/>
      <c r="E197" s="356"/>
      <c r="F197" s="356"/>
      <c r="G197" s="357"/>
      <c r="H197" s="357"/>
      <c r="I197" s="357"/>
      <c r="J197" s="357"/>
      <c r="K197" s="357"/>
      <c r="L197" s="357"/>
      <c r="M197" s="357"/>
      <c r="N197" s="357"/>
      <c r="O197" s="357"/>
      <c r="P197" s="358">
        <f>P195-P196</f>
        <v>1.2128089687342679E-2</v>
      </c>
      <c r="Q197" s="335"/>
      <c r="R197" s="335"/>
      <c r="S197" s="338"/>
      <c r="T197" s="255"/>
    </row>
    <row r="198" spans="1:20" s="256" customFormat="1" ht="15.6" x14ac:dyDescent="0.3">
      <c r="A198" s="334"/>
      <c r="B198" s="335" t="s">
        <v>267</v>
      </c>
      <c r="C198" s="356"/>
      <c r="D198" s="356"/>
      <c r="E198" s="356"/>
      <c r="F198" s="356"/>
      <c r="G198" s="357"/>
      <c r="H198" s="357"/>
      <c r="I198" s="357"/>
      <c r="J198" s="357"/>
      <c r="K198" s="357"/>
      <c r="L198" s="357"/>
      <c r="M198" s="357"/>
      <c r="N198" s="357"/>
      <c r="O198" s="357"/>
      <c r="P198" s="358">
        <f>+R98/J69</f>
        <v>6.1940464118071725E-3</v>
      </c>
      <c r="Q198" s="335"/>
      <c r="R198" s="335"/>
      <c r="S198" s="338"/>
      <c r="T198" s="255"/>
    </row>
    <row r="199" spans="1:20" s="256" customFormat="1" ht="15.6" x14ac:dyDescent="0.3">
      <c r="A199" s="334"/>
      <c r="B199" s="335" t="s">
        <v>208</v>
      </c>
      <c r="C199" s="356"/>
      <c r="D199" s="356"/>
      <c r="E199" s="356"/>
      <c r="F199" s="356"/>
      <c r="G199" s="357"/>
      <c r="H199" s="357"/>
      <c r="I199" s="357"/>
      <c r="J199" s="357"/>
      <c r="K199" s="357"/>
      <c r="L199" s="357"/>
      <c r="M199" s="357"/>
      <c r="N199" s="357"/>
      <c r="O199" s="357"/>
      <c r="P199" s="359">
        <v>12875</v>
      </c>
      <c r="Q199" s="335"/>
      <c r="R199" s="335"/>
      <c r="S199" s="338"/>
      <c r="T199" s="255"/>
    </row>
    <row r="200" spans="1:20" s="256" customFormat="1" ht="15.6" x14ac:dyDescent="0.3">
      <c r="A200" s="334"/>
      <c r="B200" s="335" t="s">
        <v>209</v>
      </c>
      <c r="C200" s="356"/>
      <c r="D200" s="356"/>
      <c r="E200" s="356"/>
      <c r="F200" s="356"/>
      <c r="G200" s="357"/>
      <c r="H200" s="357"/>
      <c r="I200" s="357"/>
      <c r="J200" s="357"/>
      <c r="K200" s="357"/>
      <c r="L200" s="357"/>
      <c r="M200" s="357"/>
      <c r="N200" s="357"/>
      <c r="O200" s="357"/>
      <c r="P200" s="359">
        <v>16163</v>
      </c>
      <c r="Q200" s="335"/>
      <c r="R200" s="335"/>
      <c r="S200" s="338"/>
      <c r="T200" s="255"/>
    </row>
    <row r="201" spans="1:20" s="256" customFormat="1" ht="15.6" x14ac:dyDescent="0.3">
      <c r="A201" s="334"/>
      <c r="B201" s="335" t="s">
        <v>83</v>
      </c>
      <c r="C201" s="356"/>
      <c r="D201" s="356"/>
      <c r="E201" s="356"/>
      <c r="F201" s="356"/>
      <c r="G201" s="357"/>
      <c r="H201" s="357"/>
      <c r="I201" s="357"/>
      <c r="J201" s="357"/>
      <c r="K201" s="357"/>
      <c r="L201" s="357"/>
      <c r="M201" s="357"/>
      <c r="N201" s="357"/>
      <c r="O201" s="357"/>
      <c r="P201" s="360">
        <v>19.739999999999998</v>
      </c>
      <c r="Q201" s="335" t="s">
        <v>125</v>
      </c>
      <c r="R201" s="335"/>
      <c r="S201" s="338"/>
      <c r="T201" s="255"/>
    </row>
    <row r="202" spans="1:20" s="256" customFormat="1" ht="15.6" x14ac:dyDescent="0.3">
      <c r="A202" s="334"/>
      <c r="B202" s="335" t="s">
        <v>84</v>
      </c>
      <c r="C202" s="356"/>
      <c r="D202" s="356"/>
      <c r="E202" s="356"/>
      <c r="F202" s="356"/>
      <c r="G202" s="357"/>
      <c r="H202" s="357"/>
      <c r="I202" s="357"/>
      <c r="J202" s="357"/>
      <c r="K202" s="357"/>
      <c r="L202" s="357"/>
      <c r="M202" s="357"/>
      <c r="N202" s="357"/>
      <c r="O202" s="357"/>
      <c r="P202" s="360">
        <v>9.49</v>
      </c>
      <c r="Q202" s="335" t="s">
        <v>125</v>
      </c>
      <c r="R202" s="335"/>
      <c r="S202" s="338"/>
      <c r="T202" s="255"/>
    </row>
    <row r="203" spans="1:20" s="256" customFormat="1" ht="15.6" x14ac:dyDescent="0.3">
      <c r="A203" s="334"/>
      <c r="B203" s="335" t="s">
        <v>85</v>
      </c>
      <c r="C203" s="356"/>
      <c r="D203" s="356"/>
      <c r="E203" s="356"/>
      <c r="F203" s="356"/>
      <c r="G203" s="357"/>
      <c r="H203" s="357"/>
      <c r="I203" s="357"/>
      <c r="J203" s="357"/>
      <c r="K203" s="357"/>
      <c r="L203" s="357"/>
      <c r="M203" s="357"/>
      <c r="N203" s="357"/>
      <c r="O203" s="357"/>
      <c r="P203" s="358">
        <f>L66/J66</f>
        <v>1.9509139378685175E-2</v>
      </c>
      <c r="Q203" s="335"/>
      <c r="R203" s="335"/>
      <c r="S203" s="338"/>
      <c r="T203" s="255"/>
    </row>
    <row r="204" spans="1:20" s="256" customFormat="1" ht="15.6" x14ac:dyDescent="0.3">
      <c r="A204" s="334"/>
      <c r="B204" s="335" t="s">
        <v>86</v>
      </c>
      <c r="C204" s="356"/>
      <c r="D204" s="356"/>
      <c r="E204" s="356"/>
      <c r="F204" s="356"/>
      <c r="G204" s="357"/>
      <c r="H204" s="357"/>
      <c r="I204" s="357"/>
      <c r="J204" s="357"/>
      <c r="K204" s="357"/>
      <c r="L204" s="357"/>
      <c r="M204" s="357"/>
      <c r="N204" s="357"/>
      <c r="O204" s="357"/>
      <c r="P204" s="358">
        <v>9.0399999999999994E-2</v>
      </c>
      <c r="Q204" s="335"/>
      <c r="R204" s="335"/>
      <c r="S204" s="338"/>
      <c r="T204" s="255"/>
    </row>
    <row r="205" spans="1:20" s="256" customFormat="1" ht="15.6" x14ac:dyDescent="0.3">
      <c r="A205" s="261"/>
      <c r="B205" s="282"/>
      <c r="C205" s="282"/>
      <c r="D205" s="282"/>
      <c r="E205" s="282"/>
      <c r="F205" s="282"/>
      <c r="G205" s="282"/>
      <c r="H205" s="282"/>
      <c r="I205" s="282"/>
      <c r="J205" s="282"/>
      <c r="K205" s="282"/>
      <c r="L205" s="282"/>
      <c r="M205" s="282"/>
      <c r="N205" s="282"/>
      <c r="O205" s="282"/>
      <c r="P205" s="350"/>
      <c r="Q205" s="282"/>
      <c r="R205" s="355"/>
      <c r="S205" s="282"/>
      <c r="T205" s="255"/>
    </row>
    <row r="206" spans="1:20" ht="15.6" x14ac:dyDescent="0.3">
      <c r="A206" s="231"/>
      <c r="B206" s="564" t="s">
        <v>87</v>
      </c>
      <c r="C206" s="566"/>
      <c r="D206" s="566"/>
      <c r="E206" s="566"/>
      <c r="F206" s="571"/>
      <c r="G206" s="566"/>
      <c r="H206" s="566"/>
      <c r="I206" s="566"/>
      <c r="J206" s="566"/>
      <c r="K206" s="566"/>
      <c r="L206" s="566"/>
      <c r="M206" s="566"/>
      <c r="N206" s="566"/>
      <c r="O206" s="566" t="s">
        <v>113</v>
      </c>
      <c r="P206" s="571" t="s">
        <v>121</v>
      </c>
      <c r="Q206" s="216"/>
      <c r="R206" s="216"/>
      <c r="S206" s="216"/>
      <c r="T206" s="5"/>
    </row>
    <row r="207" spans="1:20" s="256" customFormat="1" ht="15.6" x14ac:dyDescent="0.3">
      <c r="A207" s="276"/>
      <c r="B207" s="252" t="s">
        <v>88</v>
      </c>
      <c r="C207" s="259"/>
      <c r="D207" s="259"/>
      <c r="E207" s="259"/>
      <c r="F207" s="252"/>
      <c r="G207" s="252"/>
      <c r="H207" s="258"/>
      <c r="I207" s="258"/>
      <c r="J207" s="258"/>
      <c r="K207" s="258"/>
      <c r="L207" s="258"/>
      <c r="M207" s="258"/>
      <c r="N207" s="258"/>
      <c r="O207" s="258">
        <v>0</v>
      </c>
      <c r="P207" s="277">
        <v>0</v>
      </c>
      <c r="Q207" s="252"/>
      <c r="R207" s="275"/>
      <c r="S207" s="278"/>
      <c r="T207" s="255"/>
    </row>
    <row r="208" spans="1:20" s="256" customFormat="1" ht="15.6" x14ac:dyDescent="0.3">
      <c r="A208" s="368"/>
      <c r="B208" s="335" t="s">
        <v>169</v>
      </c>
      <c r="C208" s="336"/>
      <c r="D208" s="336"/>
      <c r="E208" s="336"/>
      <c r="F208" s="335"/>
      <c r="G208" s="335"/>
      <c r="H208" s="369"/>
      <c r="I208" s="369"/>
      <c r="J208" s="369"/>
      <c r="K208" s="369"/>
      <c r="L208" s="369"/>
      <c r="M208" s="369"/>
      <c r="N208" s="369"/>
      <c r="O208" s="370">
        <f>+N258</f>
        <v>49</v>
      </c>
      <c r="P208" s="371">
        <f>+P258</f>
        <v>6833</v>
      </c>
      <c r="Q208" s="335"/>
      <c r="R208" s="372"/>
      <c r="S208" s="373"/>
      <c r="T208" s="255"/>
    </row>
    <row r="209" spans="1:20" s="256" customFormat="1" ht="15.6" x14ac:dyDescent="0.3">
      <c r="A209" s="368"/>
      <c r="B209" s="335" t="s">
        <v>89</v>
      </c>
      <c r="C209" s="336"/>
      <c r="D209" s="336"/>
      <c r="E209" s="336"/>
      <c r="F209" s="335"/>
      <c r="G209" s="335"/>
      <c r="H209" s="369"/>
      <c r="I209" s="369"/>
      <c r="J209" s="369"/>
      <c r="K209" s="369"/>
      <c r="L209" s="369"/>
      <c r="M209" s="369"/>
      <c r="N209" s="369"/>
      <c r="O209" s="370">
        <f>+N270</f>
        <v>0</v>
      </c>
      <c r="P209" s="371">
        <f>+P270</f>
        <v>0</v>
      </c>
      <c r="Q209" s="335"/>
      <c r="R209" s="372"/>
      <c r="S209" s="373"/>
      <c r="T209" s="255"/>
    </row>
    <row r="210" spans="1:20" ht="15.6" x14ac:dyDescent="0.3">
      <c r="A210" s="374"/>
      <c r="B210" s="375" t="s">
        <v>90</v>
      </c>
      <c r="C210" s="376"/>
      <c r="D210" s="376"/>
      <c r="E210" s="376"/>
      <c r="F210" s="345"/>
      <c r="G210" s="345"/>
      <c r="H210" s="345"/>
      <c r="I210" s="345"/>
      <c r="J210" s="345"/>
      <c r="K210" s="345"/>
      <c r="L210" s="345"/>
      <c r="M210" s="345"/>
      <c r="N210" s="345"/>
      <c r="O210" s="345"/>
      <c r="P210" s="371">
        <v>0</v>
      </c>
      <c r="Q210" s="345"/>
      <c r="R210" s="378"/>
      <c r="S210" s="379"/>
      <c r="T210" s="5"/>
    </row>
    <row r="211" spans="1:20" ht="15.6" x14ac:dyDescent="0.3">
      <c r="A211" s="374"/>
      <c r="B211" s="375" t="s">
        <v>91</v>
      </c>
      <c r="C211" s="376"/>
      <c r="D211" s="376"/>
      <c r="E211" s="376"/>
      <c r="F211" s="345"/>
      <c r="G211" s="345"/>
      <c r="H211" s="345"/>
      <c r="I211" s="345"/>
      <c r="J211" s="345"/>
      <c r="K211" s="345"/>
      <c r="L211" s="345"/>
      <c r="M211" s="345"/>
      <c r="N211" s="345"/>
      <c r="O211" s="345"/>
      <c r="P211" s="387" t="s">
        <v>122</v>
      </c>
      <c r="Q211" s="345"/>
      <c r="R211" s="378"/>
      <c r="S211" s="379"/>
      <c r="T211" s="5"/>
    </row>
    <row r="212" spans="1:20" ht="15.6" x14ac:dyDescent="0.3">
      <c r="A212" s="380"/>
      <c r="B212" s="375" t="s">
        <v>92</v>
      </c>
      <c r="C212" s="381"/>
      <c r="D212" s="381"/>
      <c r="E212" s="381"/>
      <c r="F212" s="381"/>
      <c r="G212" s="345"/>
      <c r="H212" s="345"/>
      <c r="I212" s="345"/>
      <c r="J212" s="345"/>
      <c r="K212" s="345"/>
      <c r="L212" s="345"/>
      <c r="M212" s="345"/>
      <c r="N212" s="345"/>
      <c r="O212" s="345"/>
      <c r="P212" s="377"/>
      <c r="Q212" s="345"/>
      <c r="R212" s="378"/>
      <c r="S212" s="382"/>
      <c r="T212" s="5"/>
    </row>
    <row r="213" spans="1:20" s="256" customFormat="1" ht="15.6" x14ac:dyDescent="0.3">
      <c r="A213" s="383"/>
      <c r="B213" s="335" t="s">
        <v>93</v>
      </c>
      <c r="C213" s="335"/>
      <c r="D213" s="335"/>
      <c r="E213" s="335"/>
      <c r="F213" s="335"/>
      <c r="G213" s="335"/>
      <c r="H213" s="335"/>
      <c r="I213" s="335"/>
      <c r="J213" s="335"/>
      <c r="K213" s="335"/>
      <c r="L213" s="335"/>
      <c r="M213" s="335"/>
      <c r="N213" s="335"/>
      <c r="O213" s="369"/>
      <c r="P213" s="371">
        <f>R160</f>
        <v>252</v>
      </c>
      <c r="Q213" s="335"/>
      <c r="R213" s="372"/>
      <c r="S213" s="385"/>
      <c r="T213" s="255"/>
    </row>
    <row r="214" spans="1:20" s="256" customFormat="1" ht="15.6" x14ac:dyDescent="0.3">
      <c r="A214" s="368"/>
      <c r="B214" s="335" t="s">
        <v>94</v>
      </c>
      <c r="C214" s="336"/>
      <c r="D214" s="336"/>
      <c r="E214" s="336"/>
      <c r="F214" s="336"/>
      <c r="G214" s="335"/>
      <c r="H214" s="335"/>
      <c r="I214" s="335"/>
      <c r="J214" s="335"/>
      <c r="K214" s="335"/>
      <c r="L214" s="335"/>
      <c r="M214" s="335"/>
      <c r="N214" s="335"/>
      <c r="O214" s="369"/>
      <c r="P214" s="371">
        <f>'Mar 17'!P214+P213</f>
        <v>5519</v>
      </c>
      <c r="Q214" s="335"/>
      <c r="R214" s="372"/>
      <c r="S214" s="385"/>
      <c r="T214" s="255"/>
    </row>
    <row r="215" spans="1:20" ht="15.6" x14ac:dyDescent="0.3">
      <c r="A215" s="380" t="s">
        <v>255</v>
      </c>
      <c r="B215" s="375" t="s">
        <v>256</v>
      </c>
      <c r="C215" s="381"/>
      <c r="D215" s="381"/>
      <c r="E215" s="381"/>
      <c r="F215" s="381"/>
      <c r="G215" s="345"/>
      <c r="H215" s="345"/>
      <c r="I215" s="345"/>
      <c r="J215" s="345"/>
      <c r="K215" s="345"/>
      <c r="L215" s="345"/>
      <c r="M215" s="345"/>
      <c r="N215" s="345"/>
      <c r="O215" s="345"/>
      <c r="P215" s="377"/>
      <c r="Q215" s="345"/>
      <c r="R215" s="378"/>
      <c r="S215" s="382"/>
      <c r="T215" s="5"/>
    </row>
    <row r="216" spans="1:20" s="256" customFormat="1" ht="15.6" x14ac:dyDescent="0.3">
      <c r="A216" s="383"/>
      <c r="B216" s="335" t="s">
        <v>283</v>
      </c>
      <c r="C216" s="335"/>
      <c r="D216" s="335"/>
      <c r="E216" s="335"/>
      <c r="F216" s="335"/>
      <c r="G216" s="335"/>
      <c r="H216" s="335"/>
      <c r="I216" s="335"/>
      <c r="J216" s="335"/>
      <c r="K216" s="335"/>
      <c r="L216" s="335"/>
      <c r="M216" s="335"/>
      <c r="N216" s="335"/>
      <c r="O216" s="369">
        <v>0</v>
      </c>
      <c r="P216" s="371">
        <v>0</v>
      </c>
      <c r="Q216" s="335"/>
      <c r="R216" s="372"/>
      <c r="S216" s="385"/>
      <c r="T216" s="255"/>
    </row>
    <row r="217" spans="1:20" s="256" customFormat="1" ht="15.6" x14ac:dyDescent="0.3">
      <c r="A217" s="368"/>
      <c r="B217" s="335" t="s">
        <v>97</v>
      </c>
      <c r="C217" s="340"/>
      <c r="D217" s="340"/>
      <c r="E217" s="340"/>
      <c r="F217" s="386"/>
      <c r="G217" s="335"/>
      <c r="H217" s="335"/>
      <c r="I217" s="335"/>
      <c r="J217" s="335"/>
      <c r="K217" s="335"/>
      <c r="L217" s="335"/>
      <c r="M217" s="335"/>
      <c r="N217" s="335"/>
      <c r="O217" s="369"/>
      <c r="P217" s="387">
        <v>0</v>
      </c>
      <c r="Q217" s="335"/>
      <c r="R217" s="372"/>
      <c r="S217" s="385"/>
      <c r="T217" s="255"/>
    </row>
    <row r="218" spans="1:20" s="256" customFormat="1" ht="15.6" x14ac:dyDescent="0.3">
      <c r="A218" s="368"/>
      <c r="B218" s="335" t="s">
        <v>98</v>
      </c>
      <c r="C218" s="340"/>
      <c r="D218" s="340"/>
      <c r="E218" s="340"/>
      <c r="F218" s="386"/>
      <c r="G218" s="335"/>
      <c r="H218" s="335"/>
      <c r="I218" s="335"/>
      <c r="J218" s="335"/>
      <c r="K218" s="335"/>
      <c r="L218" s="335"/>
      <c r="M218" s="335"/>
      <c r="N218" s="335"/>
      <c r="O218" s="369"/>
      <c r="P218" s="387">
        <v>0</v>
      </c>
      <c r="Q218" s="335"/>
      <c r="R218" s="372"/>
      <c r="S218" s="385"/>
      <c r="T218" s="255"/>
    </row>
    <row r="219" spans="1:20" ht="15.6" x14ac:dyDescent="0.3">
      <c r="A219" s="374"/>
      <c r="B219" s="375" t="s">
        <v>257</v>
      </c>
      <c r="C219" s="388"/>
      <c r="D219" s="388"/>
      <c r="E219" s="388"/>
      <c r="F219" s="389"/>
      <c r="G219" s="345"/>
      <c r="H219" s="345"/>
      <c r="I219" s="345"/>
      <c r="J219" s="345"/>
      <c r="K219" s="345"/>
      <c r="L219" s="345"/>
      <c r="M219" s="345"/>
      <c r="N219" s="345"/>
      <c r="O219" s="390"/>
      <c r="P219" s="391"/>
      <c r="Q219" s="345"/>
      <c r="R219" s="378"/>
      <c r="S219" s="382"/>
      <c r="T219" s="5"/>
    </row>
    <row r="220" spans="1:20" s="256" customFormat="1" ht="15.6" x14ac:dyDescent="0.3">
      <c r="A220" s="368"/>
      <c r="B220" s="335" t="s">
        <v>283</v>
      </c>
      <c r="C220" s="340"/>
      <c r="D220" s="340"/>
      <c r="E220" s="340"/>
      <c r="F220" s="386"/>
      <c r="G220" s="335"/>
      <c r="H220" s="335"/>
      <c r="I220" s="335"/>
      <c r="J220" s="335"/>
      <c r="K220" s="335"/>
      <c r="L220" s="335"/>
      <c r="M220" s="335"/>
      <c r="N220" s="335"/>
      <c r="O220" s="369">
        <v>3</v>
      </c>
      <c r="P220" s="371">
        <v>755</v>
      </c>
      <c r="Q220" s="335"/>
      <c r="R220" s="372"/>
      <c r="S220" s="385"/>
      <c r="T220" s="255"/>
    </row>
    <row r="221" spans="1:20" s="256" customFormat="1" ht="15.6" x14ac:dyDescent="0.3">
      <c r="A221" s="368"/>
      <c r="B221" s="335" t="s">
        <v>258</v>
      </c>
      <c r="C221" s="340"/>
      <c r="D221" s="340"/>
      <c r="E221" s="340"/>
      <c r="F221" s="386"/>
      <c r="G221" s="335"/>
      <c r="H221" s="335"/>
      <c r="I221" s="335"/>
      <c r="J221" s="335"/>
      <c r="K221" s="335"/>
      <c r="L221" s="335"/>
      <c r="M221" s="335"/>
      <c r="N221" s="335"/>
      <c r="O221" s="335"/>
      <c r="P221" s="392">
        <v>5.39</v>
      </c>
      <c r="Q221" s="335"/>
      <c r="R221" s="372"/>
      <c r="S221" s="385"/>
      <c r="T221" s="255"/>
    </row>
    <row r="222" spans="1:20" ht="17.399999999999999" x14ac:dyDescent="0.3">
      <c r="A222" s="374"/>
      <c r="B222" s="393" t="s">
        <v>247</v>
      </c>
      <c r="C222" s="388"/>
      <c r="D222" s="388"/>
      <c r="E222" s="388"/>
      <c r="F222" s="389"/>
      <c r="G222" s="345"/>
      <c r="H222" s="345"/>
      <c r="I222" s="345"/>
      <c r="J222" s="394" t="s">
        <v>246</v>
      </c>
      <c r="K222" s="345"/>
      <c r="L222" s="345"/>
      <c r="M222" s="345"/>
      <c r="N222" s="345"/>
      <c r="O222" s="345"/>
      <c r="P222" s="395"/>
      <c r="Q222" s="345"/>
      <c r="R222" s="378"/>
      <c r="S222" s="382"/>
      <c r="T222" s="5"/>
    </row>
    <row r="223" spans="1:20" ht="17.399999999999999" x14ac:dyDescent="0.3">
      <c r="A223" s="361"/>
      <c r="B223" s="559"/>
      <c r="C223" s="363"/>
      <c r="D223" s="363"/>
      <c r="E223" s="363"/>
      <c r="F223" s="364"/>
      <c r="G223" s="213"/>
      <c r="H223" s="213"/>
      <c r="I223" s="213"/>
      <c r="J223" s="560"/>
      <c r="K223" s="213"/>
      <c r="L223" s="213"/>
      <c r="M223" s="213"/>
      <c r="N223" s="213"/>
      <c r="O223" s="213"/>
      <c r="P223" s="365"/>
      <c r="Q223" s="213"/>
      <c r="R223" s="366"/>
      <c r="S223" s="367"/>
      <c r="T223" s="5"/>
    </row>
    <row r="224" spans="1:20" ht="15.6" x14ac:dyDescent="0.3">
      <c r="A224" s="215"/>
      <c r="B224" s="564" t="s">
        <v>298</v>
      </c>
      <c r="C224" s="566"/>
      <c r="D224" s="566"/>
      <c r="E224" s="566"/>
      <c r="F224" s="571"/>
      <c r="G224" s="566"/>
      <c r="H224" s="566"/>
      <c r="I224" s="566"/>
      <c r="J224" s="566"/>
      <c r="K224" s="566"/>
      <c r="L224" s="566"/>
      <c r="M224" s="566"/>
      <c r="N224" s="571" t="s">
        <v>113</v>
      </c>
      <c r="O224" s="566" t="s">
        <v>114</v>
      </c>
      <c r="P224" s="571" t="s">
        <v>123</v>
      </c>
      <c r="Q224" s="566" t="s">
        <v>114</v>
      </c>
      <c r="R224" s="216"/>
      <c r="S224" s="564"/>
      <c r="T224" s="5"/>
    </row>
    <row r="225" spans="1:21" s="256" customFormat="1" ht="15.6" x14ac:dyDescent="0.3">
      <c r="A225" s="251"/>
      <c r="B225" s="259" t="s">
        <v>99</v>
      </c>
      <c r="C225" s="279"/>
      <c r="D225" s="279"/>
      <c r="E225" s="279"/>
      <c r="F225" s="252"/>
      <c r="G225" s="279"/>
      <c r="H225" s="279"/>
      <c r="I225" s="279"/>
      <c r="J225" s="279"/>
      <c r="K225" s="279"/>
      <c r="L225" s="279"/>
      <c r="M225" s="279"/>
      <c r="N225" s="259">
        <f t="shared" ref="N225:N232" si="1">+N237+N249+N261</f>
        <v>2930</v>
      </c>
      <c r="O225" s="280">
        <f t="shared" ref="O225:O232" si="2">N225/$N$234</f>
        <v>0.99693773392310314</v>
      </c>
      <c r="P225" s="269">
        <f t="shared" ref="P225:P232" si="3">+P237+P249+P261</f>
        <v>348121</v>
      </c>
      <c r="Q225" s="280">
        <f t="shared" ref="Q225:Q232" si="4">P225/$P$234</f>
        <v>0.99736134906400953</v>
      </c>
      <c r="R225" s="275"/>
      <c r="S225" s="257"/>
      <c r="T225" s="255"/>
    </row>
    <row r="226" spans="1:21" s="256" customFormat="1" ht="15.6" x14ac:dyDescent="0.3">
      <c r="A226" s="334"/>
      <c r="B226" s="336" t="s">
        <v>100</v>
      </c>
      <c r="C226" s="398"/>
      <c r="D226" s="398"/>
      <c r="E226" s="398"/>
      <c r="F226" s="335"/>
      <c r="G226" s="399"/>
      <c r="H226" s="398"/>
      <c r="I226" s="398"/>
      <c r="J226" s="398"/>
      <c r="K226" s="398"/>
      <c r="L226" s="398"/>
      <c r="M226" s="398"/>
      <c r="N226" s="336">
        <f t="shared" si="1"/>
        <v>4</v>
      </c>
      <c r="O226" s="399">
        <f t="shared" si="2"/>
        <v>1.3610071452875127E-3</v>
      </c>
      <c r="P226" s="337">
        <f t="shared" si="3"/>
        <v>351</v>
      </c>
      <c r="Q226" s="399">
        <f t="shared" si="4"/>
        <v>1.0056096401006183E-3</v>
      </c>
      <c r="R226" s="372"/>
      <c r="S226" s="385"/>
      <c r="T226" s="255"/>
      <c r="U226" s="270"/>
    </row>
    <row r="227" spans="1:21" s="256" customFormat="1" ht="15.6" x14ac:dyDescent="0.3">
      <c r="A227" s="334"/>
      <c r="B227" s="336" t="s">
        <v>101</v>
      </c>
      <c r="C227" s="398"/>
      <c r="D227" s="398"/>
      <c r="E227" s="398"/>
      <c r="F227" s="335"/>
      <c r="G227" s="399"/>
      <c r="H227" s="398"/>
      <c r="I227" s="398"/>
      <c r="J227" s="398"/>
      <c r="K227" s="398"/>
      <c r="L227" s="398"/>
      <c r="M227" s="398"/>
      <c r="N227" s="336">
        <f t="shared" si="1"/>
        <v>1</v>
      </c>
      <c r="O227" s="399">
        <f t="shared" si="2"/>
        <v>3.4025178632187818E-4</v>
      </c>
      <c r="P227" s="337">
        <f t="shared" si="3"/>
        <v>21</v>
      </c>
      <c r="Q227" s="399">
        <f t="shared" si="4"/>
        <v>6.0164679322259214E-5</v>
      </c>
      <c r="R227" s="372"/>
      <c r="S227" s="385"/>
      <c r="T227" s="255"/>
    </row>
    <row r="228" spans="1:21" s="256" customFormat="1" ht="15.6" x14ac:dyDescent="0.3">
      <c r="A228" s="334"/>
      <c r="B228" s="336" t="s">
        <v>210</v>
      </c>
      <c r="C228" s="398"/>
      <c r="D228" s="398"/>
      <c r="E228" s="398"/>
      <c r="F228" s="335"/>
      <c r="G228" s="399"/>
      <c r="H228" s="398"/>
      <c r="I228" s="398"/>
      <c r="J228" s="398"/>
      <c r="K228" s="398"/>
      <c r="L228" s="398"/>
      <c r="M228" s="398"/>
      <c r="N228" s="336">
        <f t="shared" si="1"/>
        <v>1</v>
      </c>
      <c r="O228" s="399">
        <f t="shared" si="2"/>
        <v>3.4025178632187818E-4</v>
      </c>
      <c r="P228" s="337">
        <f t="shared" si="3"/>
        <v>55</v>
      </c>
      <c r="Q228" s="399">
        <f t="shared" si="4"/>
        <v>1.5757416012972651E-4</v>
      </c>
      <c r="R228" s="372"/>
      <c r="S228" s="385"/>
      <c r="T228" s="255"/>
      <c r="U228" s="270"/>
    </row>
    <row r="229" spans="1:21" s="256" customFormat="1" ht="15.6" x14ac:dyDescent="0.3">
      <c r="A229" s="334"/>
      <c r="B229" s="336" t="s">
        <v>211</v>
      </c>
      <c r="C229" s="398"/>
      <c r="D229" s="398"/>
      <c r="E229" s="398"/>
      <c r="F229" s="335"/>
      <c r="G229" s="399"/>
      <c r="H229" s="398"/>
      <c r="I229" s="398"/>
      <c r="J229" s="398"/>
      <c r="K229" s="398"/>
      <c r="L229" s="398"/>
      <c r="M229" s="398"/>
      <c r="N229" s="336">
        <f t="shared" si="1"/>
        <v>1</v>
      </c>
      <c r="O229" s="399">
        <f t="shared" si="2"/>
        <v>3.4025178632187818E-4</v>
      </c>
      <c r="P229" s="337">
        <f t="shared" si="3"/>
        <v>299</v>
      </c>
      <c r="Q229" s="399">
        <f t="shared" si="4"/>
        <v>8.5663043415978597E-4</v>
      </c>
      <c r="R229" s="372"/>
      <c r="S229" s="385"/>
      <c r="T229" s="255"/>
    </row>
    <row r="230" spans="1:21" s="256" customFormat="1" ht="15.6" x14ac:dyDescent="0.3">
      <c r="A230" s="334"/>
      <c r="B230" s="336" t="s">
        <v>212</v>
      </c>
      <c r="C230" s="398"/>
      <c r="D230" s="398"/>
      <c r="E230" s="398"/>
      <c r="F230" s="335"/>
      <c r="G230" s="399"/>
      <c r="H230" s="398"/>
      <c r="I230" s="398"/>
      <c r="J230" s="398"/>
      <c r="K230" s="398"/>
      <c r="L230" s="398"/>
      <c r="M230" s="398"/>
      <c r="N230" s="336">
        <f t="shared" si="1"/>
        <v>0</v>
      </c>
      <c r="O230" s="399">
        <f t="shared" si="2"/>
        <v>0</v>
      </c>
      <c r="P230" s="337">
        <f t="shared" si="3"/>
        <v>0</v>
      </c>
      <c r="Q230" s="399">
        <f t="shared" si="4"/>
        <v>0</v>
      </c>
      <c r="R230" s="372"/>
      <c r="S230" s="385"/>
      <c r="T230" s="255"/>
      <c r="U230" s="270"/>
    </row>
    <row r="231" spans="1:21" s="256" customFormat="1" ht="15.6" x14ac:dyDescent="0.3">
      <c r="A231" s="334"/>
      <c r="B231" s="336" t="s">
        <v>213</v>
      </c>
      <c r="C231" s="398"/>
      <c r="D231" s="398"/>
      <c r="E231" s="398"/>
      <c r="F231" s="335"/>
      <c r="G231" s="399"/>
      <c r="H231" s="398"/>
      <c r="I231" s="398"/>
      <c r="J231" s="398"/>
      <c r="K231" s="398"/>
      <c r="L231" s="398"/>
      <c r="M231" s="398"/>
      <c r="N231" s="336">
        <f t="shared" si="1"/>
        <v>0</v>
      </c>
      <c r="O231" s="399">
        <f t="shared" si="2"/>
        <v>0</v>
      </c>
      <c r="P231" s="337">
        <f t="shared" si="3"/>
        <v>0</v>
      </c>
      <c r="Q231" s="399">
        <f t="shared" si="4"/>
        <v>0</v>
      </c>
      <c r="R231" s="372"/>
      <c r="S231" s="385"/>
      <c r="T231" s="255"/>
    </row>
    <row r="232" spans="1:21" s="256" customFormat="1" ht="15.6" x14ac:dyDescent="0.3">
      <c r="A232" s="334"/>
      <c r="B232" s="336" t="s">
        <v>214</v>
      </c>
      <c r="C232" s="398"/>
      <c r="D232" s="398"/>
      <c r="E232" s="398"/>
      <c r="F232" s="335"/>
      <c r="G232" s="399"/>
      <c r="H232" s="398"/>
      <c r="I232" s="398"/>
      <c r="J232" s="398"/>
      <c r="K232" s="398"/>
      <c r="L232" s="398"/>
      <c r="M232" s="398"/>
      <c r="N232" s="339">
        <f t="shared" si="1"/>
        <v>2</v>
      </c>
      <c r="O232" s="561">
        <f t="shared" si="2"/>
        <v>6.8050357264375636E-4</v>
      </c>
      <c r="P232" s="562">
        <f t="shared" si="3"/>
        <v>195</v>
      </c>
      <c r="Q232" s="561">
        <f t="shared" si="4"/>
        <v>5.5867202227812126E-4</v>
      </c>
      <c r="R232" s="372"/>
      <c r="S232" s="385"/>
      <c r="T232" s="255"/>
      <c r="U232" s="270"/>
    </row>
    <row r="233" spans="1:21" s="256" customFormat="1" ht="15.6" x14ac:dyDescent="0.3">
      <c r="A233" s="334"/>
      <c r="B233" s="335"/>
      <c r="C233" s="398"/>
      <c r="D233" s="398"/>
      <c r="E233" s="398"/>
      <c r="F233" s="335"/>
      <c r="G233" s="399"/>
      <c r="H233" s="398"/>
      <c r="I233" s="398"/>
      <c r="J233" s="398"/>
      <c r="K233" s="398"/>
      <c r="L233" s="398"/>
      <c r="M233" s="398"/>
      <c r="N233" s="336"/>
      <c r="O233" s="399"/>
      <c r="P233" s="337"/>
      <c r="Q233" s="399"/>
      <c r="R233" s="372"/>
      <c r="S233" s="385"/>
      <c r="T233" s="255"/>
    </row>
    <row r="234" spans="1:21" s="256" customFormat="1" ht="15.6" x14ac:dyDescent="0.3">
      <c r="A234" s="334"/>
      <c r="B234" s="335" t="s">
        <v>129</v>
      </c>
      <c r="C234" s="335"/>
      <c r="D234" s="335"/>
      <c r="E234" s="335"/>
      <c r="F234" s="335"/>
      <c r="G234" s="335"/>
      <c r="H234" s="400"/>
      <c r="I234" s="400"/>
      <c r="J234" s="400"/>
      <c r="K234" s="400"/>
      <c r="L234" s="400"/>
      <c r="M234" s="400"/>
      <c r="N234" s="336">
        <f>SUM(N225:N233)</f>
        <v>2939</v>
      </c>
      <c r="O234" s="399">
        <f>SUM(O225:O233)</f>
        <v>1.0000000000000002</v>
      </c>
      <c r="P234" s="337">
        <f>SUM(P225:P233)</f>
        <v>349042</v>
      </c>
      <c r="Q234" s="399">
        <f>SUM(Q225:Q233)</f>
        <v>1</v>
      </c>
      <c r="R234" s="335"/>
      <c r="S234" s="338"/>
      <c r="T234" s="255"/>
    </row>
    <row r="235" spans="1:21" ht="17.399999999999999" x14ac:dyDescent="0.3">
      <c r="A235" s="361"/>
      <c r="B235" s="559"/>
      <c r="C235" s="363"/>
      <c r="D235" s="363"/>
      <c r="E235" s="363"/>
      <c r="F235" s="364"/>
      <c r="G235" s="213"/>
      <c r="H235" s="213"/>
      <c r="I235" s="213"/>
      <c r="J235" s="560"/>
      <c r="K235" s="213"/>
      <c r="L235" s="213"/>
      <c r="M235" s="213"/>
      <c r="N235" s="213"/>
      <c r="O235" s="213"/>
      <c r="P235" s="365"/>
      <c r="Q235" s="213"/>
      <c r="R235" s="366"/>
      <c r="S235" s="367"/>
      <c r="T235" s="5"/>
    </row>
    <row r="236" spans="1:21" ht="15.6" x14ac:dyDescent="0.3">
      <c r="A236" s="215"/>
      <c r="B236" s="564" t="s">
        <v>236</v>
      </c>
      <c r="C236" s="566"/>
      <c r="D236" s="566"/>
      <c r="E236" s="566"/>
      <c r="F236" s="571"/>
      <c r="G236" s="566"/>
      <c r="H236" s="566"/>
      <c r="I236" s="566"/>
      <c r="J236" s="566"/>
      <c r="K236" s="566"/>
      <c r="L236" s="566"/>
      <c r="M236" s="566"/>
      <c r="N236" s="571" t="s">
        <v>113</v>
      </c>
      <c r="O236" s="566" t="s">
        <v>114</v>
      </c>
      <c r="P236" s="571" t="s">
        <v>123</v>
      </c>
      <c r="Q236" s="566" t="s">
        <v>114</v>
      </c>
      <c r="R236" s="216"/>
      <c r="S236" s="564"/>
      <c r="T236" s="5"/>
    </row>
    <row r="237" spans="1:21" s="256" customFormat="1" ht="15.6" x14ac:dyDescent="0.3">
      <c r="A237" s="251"/>
      <c r="B237" s="259" t="s">
        <v>99</v>
      </c>
      <c r="C237" s="279"/>
      <c r="D237" s="279"/>
      <c r="E237" s="279"/>
      <c r="F237" s="252"/>
      <c r="G237" s="279"/>
      <c r="H237" s="279"/>
      <c r="I237" s="279"/>
      <c r="J237" s="279"/>
      <c r="K237" s="279"/>
      <c r="L237" s="279"/>
      <c r="M237" s="279"/>
      <c r="N237" s="259">
        <v>2884</v>
      </c>
      <c r="O237" s="280">
        <f t="shared" ref="O237:O244" si="5">N237/$N$246</f>
        <v>0.99792387543252592</v>
      </c>
      <c r="P237" s="269">
        <v>341715</v>
      </c>
      <c r="Q237" s="280">
        <f t="shared" ref="Q237:Q244" si="6">P237/$P$246</f>
        <v>0.9985564377324968</v>
      </c>
      <c r="R237" s="275"/>
      <c r="S237" s="257"/>
      <c r="T237" s="255"/>
    </row>
    <row r="238" spans="1:21" s="256" customFormat="1" ht="15.6" x14ac:dyDescent="0.3">
      <c r="A238" s="334"/>
      <c r="B238" s="336" t="s">
        <v>100</v>
      </c>
      <c r="C238" s="398"/>
      <c r="D238" s="398"/>
      <c r="E238" s="398"/>
      <c r="F238" s="335"/>
      <c r="G238" s="399"/>
      <c r="H238" s="398"/>
      <c r="I238" s="398"/>
      <c r="J238" s="398"/>
      <c r="K238" s="398"/>
      <c r="L238" s="398"/>
      <c r="M238" s="398"/>
      <c r="N238" s="336">
        <v>3</v>
      </c>
      <c r="O238" s="399">
        <f t="shared" si="5"/>
        <v>1.0380622837370243E-3</v>
      </c>
      <c r="P238" s="337">
        <v>278</v>
      </c>
      <c r="Q238" s="399">
        <f t="shared" si="6"/>
        <v>8.1236904932365894E-4</v>
      </c>
      <c r="R238" s="372"/>
      <c r="S238" s="385"/>
      <c r="T238" s="255"/>
      <c r="U238" s="270"/>
    </row>
    <row r="239" spans="1:21" s="256" customFormat="1" ht="15.6" x14ac:dyDescent="0.3">
      <c r="A239" s="334"/>
      <c r="B239" s="336" t="s">
        <v>101</v>
      </c>
      <c r="C239" s="398"/>
      <c r="D239" s="398"/>
      <c r="E239" s="398"/>
      <c r="F239" s="335"/>
      <c r="G239" s="399"/>
      <c r="H239" s="398"/>
      <c r="I239" s="398"/>
      <c r="J239" s="398"/>
      <c r="K239" s="398"/>
      <c r="L239" s="398"/>
      <c r="M239" s="398"/>
      <c r="N239" s="336">
        <v>1</v>
      </c>
      <c r="O239" s="399">
        <f t="shared" si="5"/>
        <v>3.4602076124567473E-4</v>
      </c>
      <c r="P239" s="337">
        <v>21</v>
      </c>
      <c r="Q239" s="399">
        <f t="shared" si="6"/>
        <v>6.1366007323010208E-5</v>
      </c>
      <c r="R239" s="372"/>
      <c r="S239" s="385"/>
      <c r="T239" s="255"/>
    </row>
    <row r="240" spans="1:21" s="256" customFormat="1" ht="15.6" x14ac:dyDescent="0.3">
      <c r="A240" s="334"/>
      <c r="B240" s="336" t="s">
        <v>210</v>
      </c>
      <c r="C240" s="398"/>
      <c r="D240" s="398"/>
      <c r="E240" s="398"/>
      <c r="F240" s="335"/>
      <c r="G240" s="399"/>
      <c r="H240" s="398"/>
      <c r="I240" s="398"/>
      <c r="J240" s="398"/>
      <c r="K240" s="398"/>
      <c r="L240" s="398"/>
      <c r="M240" s="398"/>
      <c r="N240" s="336">
        <v>0</v>
      </c>
      <c r="O240" s="399">
        <f t="shared" si="5"/>
        <v>0</v>
      </c>
      <c r="P240" s="337">
        <v>0</v>
      </c>
      <c r="Q240" s="399">
        <f t="shared" si="6"/>
        <v>0</v>
      </c>
      <c r="R240" s="372"/>
      <c r="S240" s="385"/>
      <c r="T240" s="255"/>
      <c r="U240" s="270"/>
    </row>
    <row r="241" spans="1:21" s="256" customFormat="1" ht="15.6" x14ac:dyDescent="0.3">
      <c r="A241" s="334"/>
      <c r="B241" s="336" t="s">
        <v>211</v>
      </c>
      <c r="C241" s="398"/>
      <c r="D241" s="398"/>
      <c r="E241" s="398"/>
      <c r="F241" s="335"/>
      <c r="G241" s="399"/>
      <c r="H241" s="398"/>
      <c r="I241" s="398"/>
      <c r="J241" s="398"/>
      <c r="K241" s="398"/>
      <c r="L241" s="398"/>
      <c r="M241" s="398"/>
      <c r="N241" s="336">
        <v>0</v>
      </c>
      <c r="O241" s="399">
        <f t="shared" si="5"/>
        <v>0</v>
      </c>
      <c r="P241" s="337">
        <v>0</v>
      </c>
      <c r="Q241" s="399">
        <f t="shared" si="6"/>
        <v>0</v>
      </c>
      <c r="R241" s="372"/>
      <c r="S241" s="385"/>
      <c r="T241" s="255"/>
    </row>
    <row r="242" spans="1:21" s="256" customFormat="1" ht="15.6" x14ac:dyDescent="0.3">
      <c r="A242" s="334"/>
      <c r="B242" s="336" t="s">
        <v>212</v>
      </c>
      <c r="C242" s="398"/>
      <c r="D242" s="398"/>
      <c r="E242" s="398"/>
      <c r="F242" s="335"/>
      <c r="G242" s="399"/>
      <c r="H242" s="398"/>
      <c r="I242" s="398"/>
      <c r="J242" s="398"/>
      <c r="K242" s="398"/>
      <c r="L242" s="398"/>
      <c r="M242" s="398"/>
      <c r="N242" s="336">
        <v>0</v>
      </c>
      <c r="O242" s="399">
        <f t="shared" si="5"/>
        <v>0</v>
      </c>
      <c r="P242" s="337">
        <v>0</v>
      </c>
      <c r="Q242" s="399">
        <f t="shared" si="6"/>
        <v>0</v>
      </c>
      <c r="R242" s="372"/>
      <c r="S242" s="385"/>
      <c r="T242" s="255"/>
      <c r="U242" s="270"/>
    </row>
    <row r="243" spans="1:21" s="256" customFormat="1" ht="15.6" x14ac:dyDescent="0.3">
      <c r="A243" s="334"/>
      <c r="B243" s="336" t="s">
        <v>213</v>
      </c>
      <c r="C243" s="398"/>
      <c r="D243" s="398"/>
      <c r="E243" s="398"/>
      <c r="F243" s="335"/>
      <c r="G243" s="399"/>
      <c r="H243" s="398"/>
      <c r="I243" s="398"/>
      <c r="J243" s="398"/>
      <c r="K243" s="398"/>
      <c r="L243" s="398"/>
      <c r="M243" s="398"/>
      <c r="N243" s="336">
        <v>0</v>
      </c>
      <c r="O243" s="399">
        <f t="shared" si="5"/>
        <v>0</v>
      </c>
      <c r="P243" s="337">
        <v>0</v>
      </c>
      <c r="Q243" s="399">
        <f t="shared" si="6"/>
        <v>0</v>
      </c>
      <c r="R243" s="372"/>
      <c r="S243" s="385"/>
      <c r="T243" s="255"/>
    </row>
    <row r="244" spans="1:21" s="256" customFormat="1" ht="15.6" x14ac:dyDescent="0.3">
      <c r="A244" s="334"/>
      <c r="B244" s="336" t="s">
        <v>214</v>
      </c>
      <c r="C244" s="398"/>
      <c r="D244" s="398"/>
      <c r="E244" s="398"/>
      <c r="F244" s="335"/>
      <c r="G244" s="399"/>
      <c r="H244" s="398"/>
      <c r="I244" s="398"/>
      <c r="J244" s="398"/>
      <c r="K244" s="398"/>
      <c r="L244" s="398"/>
      <c r="M244" s="398"/>
      <c r="N244" s="336">
        <v>2</v>
      </c>
      <c r="O244" s="399">
        <f t="shared" si="5"/>
        <v>6.9204152249134946E-4</v>
      </c>
      <c r="P244" s="337">
        <v>195</v>
      </c>
      <c r="Q244" s="399">
        <f t="shared" si="6"/>
        <v>5.6982721085652339E-4</v>
      </c>
      <c r="R244" s="372"/>
      <c r="S244" s="385"/>
      <c r="T244" s="255"/>
      <c r="U244" s="270"/>
    </row>
    <row r="245" spans="1:21" s="256" customFormat="1" ht="15.6" x14ac:dyDescent="0.3">
      <c r="A245" s="334"/>
      <c r="B245" s="335"/>
      <c r="C245" s="398"/>
      <c r="D245" s="398"/>
      <c r="E245" s="398"/>
      <c r="F245" s="335"/>
      <c r="G245" s="399"/>
      <c r="H245" s="398"/>
      <c r="I245" s="398"/>
      <c r="J245" s="398"/>
      <c r="K245" s="398"/>
      <c r="L245" s="398"/>
      <c r="M245" s="398"/>
      <c r="N245" s="336"/>
      <c r="O245" s="399"/>
      <c r="P245" s="337"/>
      <c r="Q245" s="399"/>
      <c r="R245" s="372"/>
      <c r="S245" s="385"/>
      <c r="T245" s="255"/>
    </row>
    <row r="246" spans="1:21" s="256" customFormat="1" ht="15.6" x14ac:dyDescent="0.3">
      <c r="A246" s="334"/>
      <c r="B246" s="335" t="s">
        <v>129</v>
      </c>
      <c r="C246" s="335"/>
      <c r="D246" s="335"/>
      <c r="E246" s="335"/>
      <c r="F246" s="335"/>
      <c r="G246" s="335"/>
      <c r="H246" s="400"/>
      <c r="I246" s="400"/>
      <c r="J246" s="400"/>
      <c r="K246" s="400"/>
      <c r="L246" s="400"/>
      <c r="M246" s="400"/>
      <c r="N246" s="336">
        <f>SUM(N237:N245)</f>
        <v>2890</v>
      </c>
      <c r="O246" s="399">
        <f>SUM(O237:O245)</f>
        <v>1</v>
      </c>
      <c r="P246" s="337">
        <f>SUM(P237:P245)</f>
        <v>342209</v>
      </c>
      <c r="Q246" s="399">
        <f>SUM(Q237:Q245)</f>
        <v>1</v>
      </c>
      <c r="R246" s="335"/>
      <c r="S246" s="338"/>
      <c r="T246" s="255"/>
    </row>
    <row r="247" spans="1:21" ht="15.6" x14ac:dyDescent="0.3">
      <c r="A247" s="182"/>
      <c r="B247" s="213"/>
      <c r="C247" s="213"/>
      <c r="D247" s="213"/>
      <c r="E247" s="213"/>
      <c r="F247" s="213"/>
      <c r="G247" s="213"/>
      <c r="H247" s="214"/>
      <c r="I247" s="214"/>
      <c r="J247" s="214"/>
      <c r="K247" s="214"/>
      <c r="L247" s="214"/>
      <c r="M247" s="214"/>
      <c r="N247" s="332"/>
      <c r="O247" s="396"/>
      <c r="P247" s="397"/>
      <c r="Q247" s="396"/>
      <c r="R247" s="213"/>
      <c r="S247" s="213"/>
      <c r="T247" s="5"/>
    </row>
    <row r="248" spans="1:21" ht="15.6" x14ac:dyDescent="0.3">
      <c r="A248" s="233"/>
      <c r="B248" s="564" t="s">
        <v>241</v>
      </c>
      <c r="C248" s="566"/>
      <c r="D248" s="566"/>
      <c r="E248" s="566"/>
      <c r="F248" s="571"/>
      <c r="G248" s="566"/>
      <c r="H248" s="566"/>
      <c r="I248" s="566"/>
      <c r="J248" s="566"/>
      <c r="K248" s="566"/>
      <c r="L248" s="566"/>
      <c r="M248" s="566"/>
      <c r="N248" s="571" t="s">
        <v>113</v>
      </c>
      <c r="O248" s="566" t="s">
        <v>114</v>
      </c>
      <c r="P248" s="571" t="s">
        <v>123</v>
      </c>
      <c r="Q248" s="566" t="s">
        <v>114</v>
      </c>
      <c r="R248" s="234"/>
      <c r="S248" s="235"/>
      <c r="T248" s="5"/>
    </row>
    <row r="249" spans="1:21" s="256" customFormat="1" ht="15.6" x14ac:dyDescent="0.3">
      <c r="A249" s="251"/>
      <c r="B249" s="259" t="s">
        <v>99</v>
      </c>
      <c r="C249" s="279"/>
      <c r="D249" s="279"/>
      <c r="E249" s="279"/>
      <c r="F249" s="252"/>
      <c r="G249" s="279"/>
      <c r="H249" s="279"/>
      <c r="I249" s="279"/>
      <c r="J249" s="279"/>
      <c r="K249" s="279"/>
      <c r="L249" s="279"/>
      <c r="M249" s="279"/>
      <c r="N249" s="259">
        <v>46</v>
      </c>
      <c r="O249" s="280">
        <f>N249/$N$258</f>
        <v>0.93877551020408168</v>
      </c>
      <c r="P249" s="269">
        <v>6406</v>
      </c>
      <c r="Q249" s="280">
        <f t="shared" ref="Q249:Q256" si="7">P249/$P$258</f>
        <v>0.93750914678764818</v>
      </c>
      <c r="R249" s="252"/>
      <c r="S249" s="252"/>
      <c r="T249" s="255"/>
    </row>
    <row r="250" spans="1:21" s="256" customFormat="1" ht="15.6" x14ac:dyDescent="0.3">
      <c r="A250" s="334"/>
      <c r="B250" s="336" t="s">
        <v>100</v>
      </c>
      <c r="C250" s="398"/>
      <c r="D250" s="398"/>
      <c r="E250" s="398"/>
      <c r="F250" s="335"/>
      <c r="G250" s="399"/>
      <c r="H250" s="398"/>
      <c r="I250" s="398"/>
      <c r="J250" s="398"/>
      <c r="K250" s="398"/>
      <c r="L250" s="398"/>
      <c r="M250" s="398"/>
      <c r="N250" s="336">
        <v>1</v>
      </c>
      <c r="O250" s="399">
        <f t="shared" ref="O250:O256" si="8">N250/$N$258</f>
        <v>2.0408163265306121E-2</v>
      </c>
      <c r="P250" s="337">
        <v>73</v>
      </c>
      <c r="Q250" s="399">
        <f t="shared" si="7"/>
        <v>1.0683447973071858E-2</v>
      </c>
      <c r="R250" s="335"/>
      <c r="S250" s="338"/>
      <c r="T250" s="255"/>
    </row>
    <row r="251" spans="1:21" s="256" customFormat="1" ht="15.6" x14ac:dyDescent="0.3">
      <c r="A251" s="334"/>
      <c r="B251" s="336" t="s">
        <v>101</v>
      </c>
      <c r="C251" s="398"/>
      <c r="D251" s="398"/>
      <c r="E251" s="398"/>
      <c r="F251" s="335"/>
      <c r="G251" s="399"/>
      <c r="H251" s="398"/>
      <c r="I251" s="398"/>
      <c r="J251" s="398"/>
      <c r="K251" s="398"/>
      <c r="L251" s="398"/>
      <c r="M251" s="398"/>
      <c r="N251" s="336">
        <v>0</v>
      </c>
      <c r="O251" s="399">
        <f t="shared" si="8"/>
        <v>0</v>
      </c>
      <c r="P251" s="337">
        <v>0</v>
      </c>
      <c r="Q251" s="399">
        <f t="shared" si="7"/>
        <v>0</v>
      </c>
      <c r="R251" s="335"/>
      <c r="S251" s="338"/>
      <c r="T251" s="255"/>
    </row>
    <row r="252" spans="1:21" s="256" customFormat="1" ht="15.6" x14ac:dyDescent="0.3">
      <c r="A252" s="334"/>
      <c r="B252" s="336" t="s">
        <v>210</v>
      </c>
      <c r="C252" s="398"/>
      <c r="D252" s="398"/>
      <c r="E252" s="398"/>
      <c r="F252" s="335"/>
      <c r="G252" s="399"/>
      <c r="H252" s="398"/>
      <c r="I252" s="398"/>
      <c r="J252" s="398"/>
      <c r="K252" s="398"/>
      <c r="L252" s="398"/>
      <c r="M252" s="398"/>
      <c r="N252" s="336">
        <v>1</v>
      </c>
      <c r="O252" s="399">
        <f t="shared" si="8"/>
        <v>2.0408163265306121E-2</v>
      </c>
      <c r="P252" s="337">
        <v>55</v>
      </c>
      <c r="Q252" s="399">
        <f t="shared" si="7"/>
        <v>8.0491731303966047E-3</v>
      </c>
      <c r="R252" s="335"/>
      <c r="S252" s="338"/>
      <c r="T252" s="255"/>
    </row>
    <row r="253" spans="1:21" s="256" customFormat="1" ht="15.6" x14ac:dyDescent="0.3">
      <c r="A253" s="334"/>
      <c r="B253" s="336" t="s">
        <v>211</v>
      </c>
      <c r="C253" s="398"/>
      <c r="D253" s="398"/>
      <c r="E253" s="398"/>
      <c r="F253" s="335"/>
      <c r="G253" s="399"/>
      <c r="H253" s="398"/>
      <c r="I253" s="398"/>
      <c r="J253" s="398"/>
      <c r="K253" s="398"/>
      <c r="L253" s="398"/>
      <c r="M253" s="398"/>
      <c r="N253" s="336">
        <v>1</v>
      </c>
      <c r="O253" s="399">
        <f t="shared" si="8"/>
        <v>2.0408163265306121E-2</v>
      </c>
      <c r="P253" s="337">
        <v>299</v>
      </c>
      <c r="Q253" s="399">
        <f t="shared" si="7"/>
        <v>4.3758232108883362E-2</v>
      </c>
      <c r="R253" s="335"/>
      <c r="S253" s="338"/>
      <c r="T253" s="255"/>
    </row>
    <row r="254" spans="1:21" s="256" customFormat="1" ht="15.6" x14ac:dyDescent="0.3">
      <c r="A254" s="334"/>
      <c r="B254" s="336" t="s">
        <v>212</v>
      </c>
      <c r="C254" s="398"/>
      <c r="D254" s="398"/>
      <c r="E254" s="398"/>
      <c r="F254" s="335"/>
      <c r="G254" s="399"/>
      <c r="H254" s="398"/>
      <c r="I254" s="398"/>
      <c r="J254" s="398"/>
      <c r="K254" s="398"/>
      <c r="L254" s="398"/>
      <c r="M254" s="398"/>
      <c r="N254" s="336">
        <v>0</v>
      </c>
      <c r="O254" s="399">
        <f t="shared" si="8"/>
        <v>0</v>
      </c>
      <c r="P254" s="337">
        <v>0</v>
      </c>
      <c r="Q254" s="399">
        <f t="shared" si="7"/>
        <v>0</v>
      </c>
      <c r="R254" s="335"/>
      <c r="S254" s="338"/>
      <c r="T254" s="255"/>
    </row>
    <row r="255" spans="1:21" s="256" customFormat="1" ht="15.6" x14ac:dyDescent="0.3">
      <c r="A255" s="334"/>
      <c r="B255" s="336" t="s">
        <v>213</v>
      </c>
      <c r="C255" s="398"/>
      <c r="D255" s="398"/>
      <c r="E255" s="398"/>
      <c r="F255" s="335"/>
      <c r="G255" s="399"/>
      <c r="H255" s="398"/>
      <c r="I255" s="398"/>
      <c r="J255" s="398"/>
      <c r="K255" s="398"/>
      <c r="L255" s="398"/>
      <c r="M255" s="398"/>
      <c r="N255" s="336">
        <v>0</v>
      </c>
      <c r="O255" s="399">
        <f t="shared" si="8"/>
        <v>0</v>
      </c>
      <c r="P255" s="337">
        <v>0</v>
      </c>
      <c r="Q255" s="399">
        <f t="shared" si="7"/>
        <v>0</v>
      </c>
      <c r="R255" s="335"/>
      <c r="S255" s="338"/>
      <c r="T255" s="255"/>
    </row>
    <row r="256" spans="1:21" s="256" customFormat="1" ht="15.6" x14ac:dyDescent="0.3">
      <c r="A256" s="334"/>
      <c r="B256" s="336" t="s">
        <v>214</v>
      </c>
      <c r="C256" s="398"/>
      <c r="D256" s="398"/>
      <c r="E256" s="398"/>
      <c r="F256" s="335"/>
      <c r="G256" s="399"/>
      <c r="H256" s="398"/>
      <c r="I256" s="398"/>
      <c r="J256" s="398"/>
      <c r="K256" s="398"/>
      <c r="L256" s="398"/>
      <c r="M256" s="398"/>
      <c r="N256" s="336">
        <v>0</v>
      </c>
      <c r="O256" s="399">
        <f t="shared" si="8"/>
        <v>0</v>
      </c>
      <c r="P256" s="337">
        <v>0</v>
      </c>
      <c r="Q256" s="399">
        <f t="shared" si="7"/>
        <v>0</v>
      </c>
      <c r="R256" s="335"/>
      <c r="S256" s="338"/>
      <c r="T256" s="255"/>
    </row>
    <row r="257" spans="1:20" s="256" customFormat="1" ht="15.6" x14ac:dyDescent="0.3">
      <c r="A257" s="334"/>
      <c r="B257" s="335"/>
      <c r="C257" s="398"/>
      <c r="D257" s="398"/>
      <c r="E257" s="398"/>
      <c r="F257" s="335"/>
      <c r="G257" s="399"/>
      <c r="H257" s="398"/>
      <c r="I257" s="398"/>
      <c r="J257" s="398"/>
      <c r="K257" s="398"/>
      <c r="L257" s="398"/>
      <c r="M257" s="398"/>
      <c r="N257" s="336"/>
      <c r="O257" s="399"/>
      <c r="P257" s="337"/>
      <c r="Q257" s="399"/>
      <c r="R257" s="335"/>
      <c r="S257" s="338"/>
      <c r="T257" s="255"/>
    </row>
    <row r="258" spans="1:20" s="256" customFormat="1" ht="15.6" x14ac:dyDescent="0.3">
      <c r="A258" s="334"/>
      <c r="B258" s="335" t="s">
        <v>129</v>
      </c>
      <c r="C258" s="335"/>
      <c r="D258" s="335"/>
      <c r="E258" s="335"/>
      <c r="F258" s="335"/>
      <c r="G258" s="335"/>
      <c r="H258" s="400"/>
      <c r="I258" s="400"/>
      <c r="J258" s="400"/>
      <c r="K258" s="400"/>
      <c r="L258" s="400"/>
      <c r="M258" s="400"/>
      <c r="N258" s="336">
        <f>SUM(N249:N257)</f>
        <v>49</v>
      </c>
      <c r="O258" s="399">
        <f>SUM(O249:O257)</f>
        <v>1</v>
      </c>
      <c r="P258" s="337">
        <f>SUM(P249:P257)</f>
        <v>6833</v>
      </c>
      <c r="Q258" s="399">
        <f>SUM(Q249:Q257)</f>
        <v>1</v>
      </c>
      <c r="R258" s="335"/>
      <c r="S258" s="338"/>
      <c r="T258" s="255"/>
    </row>
    <row r="259" spans="1:20" ht="15.6" x14ac:dyDescent="0.3">
      <c r="A259" s="182"/>
      <c r="B259" s="213"/>
      <c r="C259" s="213"/>
      <c r="D259" s="213"/>
      <c r="E259" s="213"/>
      <c r="F259" s="213"/>
      <c r="G259" s="213"/>
      <c r="H259" s="214"/>
      <c r="I259" s="214"/>
      <c r="J259" s="214"/>
      <c r="K259" s="214"/>
      <c r="L259" s="214"/>
      <c r="M259" s="214"/>
      <c r="N259" s="332"/>
      <c r="O259" s="396"/>
      <c r="P259" s="397"/>
      <c r="Q259" s="396"/>
      <c r="R259" s="213"/>
      <c r="S259" s="213"/>
      <c r="T259" s="5"/>
    </row>
    <row r="260" spans="1:20" s="153" customFormat="1" ht="15.6" x14ac:dyDescent="0.3">
      <c r="A260" s="233"/>
      <c r="B260" s="564" t="s">
        <v>239</v>
      </c>
      <c r="C260" s="236"/>
      <c r="D260" s="236"/>
      <c r="E260" s="236"/>
      <c r="F260" s="236"/>
      <c r="G260" s="236"/>
      <c r="H260" s="237"/>
      <c r="I260" s="237"/>
      <c r="J260" s="237"/>
      <c r="K260" s="237"/>
      <c r="L260" s="237"/>
      <c r="M260" s="237"/>
      <c r="N260" s="571" t="s">
        <v>113</v>
      </c>
      <c r="O260" s="566" t="s">
        <v>114</v>
      </c>
      <c r="P260" s="571" t="s">
        <v>123</v>
      </c>
      <c r="Q260" s="566" t="s">
        <v>114</v>
      </c>
      <c r="R260" s="236"/>
      <c r="S260" s="236"/>
      <c r="T260" s="5"/>
    </row>
    <row r="261" spans="1:20" s="281" customFormat="1" ht="15.6" x14ac:dyDescent="0.3">
      <c r="A261" s="251"/>
      <c r="B261" s="259" t="s">
        <v>99</v>
      </c>
      <c r="C261" s="401"/>
      <c r="D261" s="401"/>
      <c r="E261" s="401"/>
      <c r="F261" s="401"/>
      <c r="G261" s="401"/>
      <c r="H261" s="402"/>
      <c r="I261" s="402"/>
      <c r="J261" s="402"/>
      <c r="K261" s="402"/>
      <c r="L261" s="402"/>
      <c r="M261" s="402"/>
      <c r="N261" s="259">
        <v>0</v>
      </c>
      <c r="O261" s="280">
        <v>0</v>
      </c>
      <c r="P261" s="269">
        <v>0</v>
      </c>
      <c r="Q261" s="280">
        <v>0</v>
      </c>
      <c r="R261" s="252"/>
      <c r="S261" s="403"/>
      <c r="T261" s="255"/>
    </row>
    <row r="262" spans="1:20" s="281" customFormat="1" ht="15.6" x14ac:dyDescent="0.3">
      <c r="A262" s="334"/>
      <c r="B262" s="336" t="s">
        <v>100</v>
      </c>
      <c r="C262" s="335"/>
      <c r="D262" s="335"/>
      <c r="E262" s="335"/>
      <c r="F262" s="335"/>
      <c r="G262" s="335"/>
      <c r="H262" s="400"/>
      <c r="I262" s="400"/>
      <c r="J262" s="400"/>
      <c r="K262" s="400"/>
      <c r="L262" s="400"/>
      <c r="M262" s="400"/>
      <c r="N262" s="336">
        <v>0</v>
      </c>
      <c r="O262" s="399">
        <v>0</v>
      </c>
      <c r="P262" s="337">
        <v>0</v>
      </c>
      <c r="Q262" s="399">
        <v>0</v>
      </c>
      <c r="R262" s="399"/>
      <c r="S262" s="338"/>
      <c r="T262" s="255"/>
    </row>
    <row r="263" spans="1:20" s="281" customFormat="1" ht="15.6" x14ac:dyDescent="0.3">
      <c r="A263" s="334"/>
      <c r="B263" s="336" t="s">
        <v>101</v>
      </c>
      <c r="C263" s="335"/>
      <c r="D263" s="335"/>
      <c r="E263" s="335"/>
      <c r="F263" s="335"/>
      <c r="G263" s="335"/>
      <c r="H263" s="400"/>
      <c r="I263" s="400"/>
      <c r="J263" s="400"/>
      <c r="K263" s="400"/>
      <c r="L263" s="400"/>
      <c r="M263" s="400"/>
      <c r="N263" s="336">
        <v>0</v>
      </c>
      <c r="O263" s="399">
        <v>0</v>
      </c>
      <c r="P263" s="337">
        <v>0</v>
      </c>
      <c r="Q263" s="399">
        <v>0</v>
      </c>
      <c r="R263" s="335"/>
      <c r="S263" s="338"/>
      <c r="T263" s="255"/>
    </row>
    <row r="264" spans="1:20" s="281" customFormat="1" ht="15.6" x14ac:dyDescent="0.3">
      <c r="A264" s="334"/>
      <c r="B264" s="336" t="s">
        <v>210</v>
      </c>
      <c r="C264" s="335"/>
      <c r="D264" s="335"/>
      <c r="E264" s="335"/>
      <c r="F264" s="335"/>
      <c r="G264" s="335"/>
      <c r="H264" s="400"/>
      <c r="I264" s="400"/>
      <c r="J264" s="400"/>
      <c r="K264" s="400"/>
      <c r="L264" s="400"/>
      <c r="M264" s="400"/>
      <c r="N264" s="336">
        <v>0</v>
      </c>
      <c r="O264" s="399">
        <v>0</v>
      </c>
      <c r="P264" s="337">
        <v>0</v>
      </c>
      <c r="Q264" s="399">
        <v>0</v>
      </c>
      <c r="R264" s="335"/>
      <c r="S264" s="338"/>
      <c r="T264" s="255"/>
    </row>
    <row r="265" spans="1:20" s="281" customFormat="1" ht="15.6" x14ac:dyDescent="0.3">
      <c r="A265" s="334"/>
      <c r="B265" s="336" t="s">
        <v>211</v>
      </c>
      <c r="C265" s="335"/>
      <c r="D265" s="335"/>
      <c r="E265" s="335"/>
      <c r="F265" s="335"/>
      <c r="G265" s="335"/>
      <c r="H265" s="400"/>
      <c r="I265" s="400"/>
      <c r="J265" s="400"/>
      <c r="K265" s="400"/>
      <c r="L265" s="400"/>
      <c r="M265" s="400"/>
      <c r="N265" s="336">
        <v>0</v>
      </c>
      <c r="O265" s="399">
        <v>0</v>
      </c>
      <c r="P265" s="337">
        <v>0</v>
      </c>
      <c r="Q265" s="399">
        <v>0</v>
      </c>
      <c r="R265" s="335"/>
      <c r="S265" s="338"/>
      <c r="T265" s="255"/>
    </row>
    <row r="266" spans="1:20" s="281" customFormat="1" ht="15.6" x14ac:dyDescent="0.3">
      <c r="A266" s="334"/>
      <c r="B266" s="336" t="s">
        <v>212</v>
      </c>
      <c r="C266" s="335"/>
      <c r="D266" s="335"/>
      <c r="E266" s="335"/>
      <c r="F266" s="335"/>
      <c r="G266" s="335"/>
      <c r="H266" s="400"/>
      <c r="I266" s="400"/>
      <c r="J266" s="400"/>
      <c r="K266" s="400"/>
      <c r="L266" s="400"/>
      <c r="M266" s="400"/>
      <c r="N266" s="336">
        <v>0</v>
      </c>
      <c r="O266" s="399">
        <v>0</v>
      </c>
      <c r="P266" s="337">
        <v>0</v>
      </c>
      <c r="Q266" s="399">
        <v>0</v>
      </c>
      <c r="R266" s="335"/>
      <c r="S266" s="338"/>
      <c r="T266" s="255"/>
    </row>
    <row r="267" spans="1:20" s="281" customFormat="1" ht="15.6" x14ac:dyDescent="0.3">
      <c r="A267" s="334"/>
      <c r="B267" s="336" t="s">
        <v>213</v>
      </c>
      <c r="C267" s="335"/>
      <c r="D267" s="335"/>
      <c r="E267" s="335"/>
      <c r="F267" s="335"/>
      <c r="G267" s="335"/>
      <c r="H267" s="400"/>
      <c r="I267" s="400"/>
      <c r="J267" s="400"/>
      <c r="K267" s="400"/>
      <c r="L267" s="400"/>
      <c r="M267" s="400"/>
      <c r="N267" s="336">
        <v>0</v>
      </c>
      <c r="O267" s="399">
        <v>0</v>
      </c>
      <c r="P267" s="337">
        <v>0</v>
      </c>
      <c r="Q267" s="399">
        <v>0</v>
      </c>
      <c r="R267" s="335"/>
      <c r="S267" s="338"/>
      <c r="T267" s="255"/>
    </row>
    <row r="268" spans="1:20" s="281" customFormat="1" ht="15.6" x14ac:dyDescent="0.3">
      <c r="A268" s="334"/>
      <c r="B268" s="336" t="s">
        <v>214</v>
      </c>
      <c r="C268" s="335"/>
      <c r="D268" s="335"/>
      <c r="E268" s="335"/>
      <c r="F268" s="335"/>
      <c r="G268" s="335"/>
      <c r="H268" s="400"/>
      <c r="I268" s="400"/>
      <c r="J268" s="400"/>
      <c r="K268" s="400"/>
      <c r="L268" s="400"/>
      <c r="M268" s="400"/>
      <c r="N268" s="336">
        <v>0</v>
      </c>
      <c r="O268" s="399">
        <v>0</v>
      </c>
      <c r="P268" s="337">
        <v>0</v>
      </c>
      <c r="Q268" s="399">
        <v>0</v>
      </c>
      <c r="R268" s="335"/>
      <c r="S268" s="338"/>
      <c r="T268" s="255"/>
    </row>
    <row r="269" spans="1:20" s="281" customFormat="1" ht="15.6" x14ac:dyDescent="0.3">
      <c r="A269" s="334"/>
      <c r="B269" s="336"/>
      <c r="C269" s="335"/>
      <c r="D269" s="335"/>
      <c r="E269" s="335"/>
      <c r="F269" s="335"/>
      <c r="G269" s="335"/>
      <c r="H269" s="400"/>
      <c r="I269" s="400"/>
      <c r="J269" s="400"/>
      <c r="K269" s="400"/>
      <c r="L269" s="400"/>
      <c r="M269" s="400"/>
      <c r="N269" s="336"/>
      <c r="O269" s="399"/>
      <c r="P269" s="337"/>
      <c r="Q269" s="399"/>
      <c r="R269" s="335"/>
      <c r="S269" s="338"/>
      <c r="T269" s="255"/>
    </row>
    <row r="270" spans="1:20" s="256" customFormat="1" ht="15.6" x14ac:dyDescent="0.3">
      <c r="A270" s="334"/>
      <c r="B270" s="335" t="s">
        <v>129</v>
      </c>
      <c r="C270" s="335"/>
      <c r="D270" s="335"/>
      <c r="E270" s="335"/>
      <c r="F270" s="335"/>
      <c r="G270" s="335"/>
      <c r="H270" s="400"/>
      <c r="I270" s="400"/>
      <c r="J270" s="400"/>
      <c r="K270" s="400"/>
      <c r="L270" s="400"/>
      <c r="M270" s="400"/>
      <c r="N270" s="336">
        <f>SUM(N261:N268)</f>
        <v>0</v>
      </c>
      <c r="O270" s="399">
        <f>SUM(O261:O268)</f>
        <v>0</v>
      </c>
      <c r="P270" s="337">
        <f>SUM(P261:P268)</f>
        <v>0</v>
      </c>
      <c r="Q270" s="399">
        <f>SUM(Q261:Q268)</f>
        <v>0</v>
      </c>
      <c r="R270" s="335"/>
      <c r="S270" s="338"/>
      <c r="T270" s="255"/>
    </row>
    <row r="271" spans="1:20" s="256" customFormat="1" ht="15.6" x14ac:dyDescent="0.3">
      <c r="A271" s="334"/>
      <c r="B271" s="335"/>
      <c r="C271" s="335"/>
      <c r="D271" s="335"/>
      <c r="E271" s="335"/>
      <c r="F271" s="335"/>
      <c r="G271" s="335"/>
      <c r="H271" s="400"/>
      <c r="I271" s="400"/>
      <c r="J271" s="400"/>
      <c r="K271" s="400"/>
      <c r="L271" s="400"/>
      <c r="M271" s="400"/>
      <c r="N271" s="336"/>
      <c r="O271" s="399"/>
      <c r="P271" s="337"/>
      <c r="Q271" s="399"/>
      <c r="R271" s="335"/>
      <c r="S271" s="338"/>
      <c r="T271" s="255"/>
    </row>
    <row r="272" spans="1:20" s="256" customFormat="1" ht="15.6" x14ac:dyDescent="0.3">
      <c r="A272" s="334"/>
      <c r="B272" s="572" t="s">
        <v>240</v>
      </c>
      <c r="C272" s="335"/>
      <c r="D272" s="335"/>
      <c r="E272" s="335"/>
      <c r="F272" s="335"/>
      <c r="G272" s="335"/>
      <c r="H272" s="400"/>
      <c r="I272" s="400"/>
      <c r="J272" s="400"/>
      <c r="K272" s="400"/>
      <c r="L272" s="400"/>
      <c r="M272" s="400"/>
      <c r="N272" s="573">
        <f>+N246+N258+N270</f>
        <v>2939</v>
      </c>
      <c r="O272" s="399"/>
      <c r="P272" s="407">
        <f>+P270+P258+P246</f>
        <v>349042</v>
      </c>
      <c r="Q272" s="399"/>
      <c r="R272" s="335"/>
      <c r="S272" s="338"/>
      <c r="T272" s="255"/>
    </row>
    <row r="273" spans="1:20" s="256" customFormat="1" ht="15.6" x14ac:dyDescent="0.3">
      <c r="A273" s="261"/>
      <c r="B273" s="574"/>
      <c r="C273" s="242"/>
      <c r="D273" s="242"/>
      <c r="E273" s="242"/>
      <c r="F273" s="242"/>
      <c r="G273" s="242"/>
      <c r="H273" s="283"/>
      <c r="I273" s="283"/>
      <c r="J273" s="283"/>
      <c r="K273" s="283"/>
      <c r="L273" s="283"/>
      <c r="M273" s="283"/>
      <c r="N273" s="283"/>
      <c r="O273" s="283"/>
      <c r="P273" s="284"/>
      <c r="Q273" s="283"/>
      <c r="R273" s="242"/>
      <c r="S273" s="242"/>
      <c r="T273" s="255"/>
    </row>
    <row r="274" spans="1:20" s="256" customFormat="1" ht="15.6" x14ac:dyDescent="0.3">
      <c r="A274" s="285"/>
      <c r="B274" s="241" t="s">
        <v>102</v>
      </c>
      <c r="C274" s="242"/>
      <c r="D274" s="242"/>
      <c r="E274" s="242"/>
      <c r="F274" s="247" t="s">
        <v>108</v>
      </c>
      <c r="G274" s="242"/>
      <c r="H274" s="241" t="s">
        <v>110</v>
      </c>
      <c r="I274" s="250"/>
      <c r="J274" s="250"/>
      <c r="K274" s="250"/>
      <c r="L274" s="250"/>
      <c r="M274" s="250"/>
      <c r="N274" s="250"/>
      <c r="O274" s="250"/>
      <c r="P274" s="250"/>
      <c r="Q274" s="250"/>
      <c r="R274" s="250"/>
      <c r="S274" s="250"/>
      <c r="T274" s="255"/>
    </row>
    <row r="275" spans="1:20" s="256" customFormat="1" ht="15.6" x14ac:dyDescent="0.3">
      <c r="A275" s="285"/>
      <c r="B275" s="250"/>
      <c r="C275" s="242"/>
      <c r="D275" s="242"/>
      <c r="E275" s="242"/>
      <c r="F275" s="242"/>
      <c r="G275" s="242"/>
      <c r="H275" s="242"/>
      <c r="I275" s="250"/>
      <c r="J275" s="250"/>
      <c r="K275" s="250"/>
      <c r="L275" s="250"/>
      <c r="M275" s="250"/>
      <c r="N275" s="250"/>
      <c r="O275" s="250"/>
      <c r="P275" s="250"/>
      <c r="Q275" s="250"/>
      <c r="R275" s="250"/>
      <c r="S275" s="250"/>
      <c r="T275" s="255"/>
    </row>
    <row r="276" spans="1:20" s="256" customFormat="1" ht="15.6" x14ac:dyDescent="0.3">
      <c r="A276" s="285"/>
      <c r="B276" s="241" t="s">
        <v>321</v>
      </c>
      <c r="C276" s="241"/>
      <c r="D276" s="241"/>
      <c r="E276" s="241"/>
      <c r="F276" s="286" t="s">
        <v>272</v>
      </c>
      <c r="G276" s="241"/>
      <c r="H276" s="241" t="s">
        <v>273</v>
      </c>
      <c r="I276" s="250"/>
      <c r="J276" s="250"/>
      <c r="K276" s="250"/>
      <c r="L276" s="250"/>
      <c r="M276" s="250"/>
      <c r="N276" s="250"/>
      <c r="O276" s="250"/>
      <c r="P276" s="250"/>
      <c r="Q276" s="250"/>
      <c r="R276" s="250"/>
      <c r="S276" s="250"/>
      <c r="T276" s="255"/>
    </row>
    <row r="277" spans="1:20" s="256" customFormat="1" ht="15.6" x14ac:dyDescent="0.3">
      <c r="A277" s="285"/>
      <c r="B277" s="241" t="s">
        <v>322</v>
      </c>
      <c r="C277" s="241"/>
      <c r="D277" s="241"/>
      <c r="E277" s="241"/>
      <c r="F277" s="286" t="s">
        <v>171</v>
      </c>
      <c r="G277" s="241"/>
      <c r="H277" s="241" t="s">
        <v>201</v>
      </c>
      <c r="I277" s="250"/>
      <c r="J277" s="250"/>
      <c r="K277" s="250"/>
      <c r="L277" s="250"/>
      <c r="M277" s="250"/>
      <c r="N277" s="250"/>
      <c r="O277" s="250"/>
      <c r="P277" s="250"/>
      <c r="Q277" s="250"/>
      <c r="R277" s="250"/>
      <c r="S277" s="250"/>
      <c r="T277" s="255"/>
    </row>
    <row r="278" spans="1:20" s="256" customFormat="1" ht="15.6" x14ac:dyDescent="0.3">
      <c r="A278" s="285"/>
      <c r="B278" s="241"/>
      <c r="C278" s="241"/>
      <c r="D278" s="241"/>
      <c r="E278" s="241"/>
      <c r="F278" s="241"/>
      <c r="G278" s="287"/>
      <c r="H278" s="250"/>
      <c r="I278" s="250"/>
      <c r="J278" s="250"/>
      <c r="K278" s="250"/>
      <c r="L278" s="250"/>
      <c r="M278" s="250"/>
      <c r="N278" s="250"/>
      <c r="O278" s="250"/>
      <c r="P278" s="250"/>
      <c r="Q278" s="250"/>
      <c r="R278" s="250"/>
      <c r="S278" s="250"/>
      <c r="T278" s="255"/>
    </row>
    <row r="279" spans="1:20" s="256" customFormat="1" ht="18" thickBot="1" x14ac:dyDescent="0.35">
      <c r="A279" s="285"/>
      <c r="B279" s="288" t="str">
        <f>B189</f>
        <v>PM8 INVESTOR REPORT QUARTER ENDING JUNE 2017</v>
      </c>
      <c r="C279" s="241"/>
      <c r="D279" s="241"/>
      <c r="E279" s="241"/>
      <c r="F279" s="241"/>
      <c r="G279" s="287"/>
      <c r="H279" s="250"/>
      <c r="I279" s="250"/>
      <c r="J279" s="250"/>
      <c r="K279" s="250"/>
      <c r="L279" s="250"/>
      <c r="M279" s="250"/>
      <c r="N279" s="250"/>
      <c r="O279" s="250"/>
      <c r="P279" s="250"/>
      <c r="Q279" s="250"/>
      <c r="R279" s="250"/>
      <c r="S279" s="250"/>
      <c r="T279" s="255"/>
    </row>
    <row r="280" spans="1:20" x14ac:dyDescent="0.25">
      <c r="A280" s="101"/>
      <c r="B280" s="101"/>
      <c r="C280" s="101"/>
      <c r="D280" s="101"/>
      <c r="E280" s="101"/>
      <c r="F280" s="101"/>
      <c r="G280" s="101"/>
      <c r="H280" s="101"/>
      <c r="I280" s="101"/>
      <c r="J280" s="101"/>
      <c r="K280" s="101"/>
      <c r="L280" s="101"/>
      <c r="M280" s="101"/>
      <c r="N280" s="101"/>
      <c r="O280" s="101"/>
      <c r="P280" s="101"/>
      <c r="Q280" s="101"/>
      <c r="R280" s="101"/>
      <c r="S280" s="101"/>
    </row>
  </sheetData>
  <hyperlinks>
    <hyperlink ref="J222" r:id="rId1"/>
    <hyperlink ref="J9"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80"/>
  <sheetViews>
    <sheetView showGridLines="0" showOutlineSymbols="0" zoomScale="70" zoomScaleNormal="70" workbookViewId="0"/>
  </sheetViews>
  <sheetFormatPr defaultColWidth="9.6328125" defaultRowHeight="15.6" x14ac:dyDescent="0.3"/>
  <cols>
    <col min="1" max="1" width="4" style="580" customWidth="1"/>
    <col min="2" max="2" width="71.08984375" style="580" customWidth="1"/>
    <col min="3" max="3" width="2.08984375" style="580" customWidth="1"/>
    <col min="4" max="4" width="18.08984375" style="580" customWidth="1"/>
    <col min="5" max="5" width="2.08984375" style="580" customWidth="1"/>
    <col min="6" max="6" width="17.54296875" style="580" customWidth="1"/>
    <col min="7" max="7" width="5.08984375" style="580" customWidth="1"/>
    <col min="8" max="8" width="18.90625" style="580" customWidth="1"/>
    <col min="9" max="9" width="2.08984375" style="580" customWidth="1"/>
    <col min="10" max="10" width="14.90625" style="580" customWidth="1"/>
    <col min="11" max="11" width="2.36328125" style="580" customWidth="1"/>
    <col min="12" max="12" width="15.54296875" style="580" customWidth="1"/>
    <col min="13" max="13" width="2.08984375" style="580" customWidth="1"/>
    <col min="14" max="14" width="15.54296875" style="580" customWidth="1"/>
    <col min="15" max="16" width="12.6328125" style="580" customWidth="1"/>
    <col min="17" max="17" width="7.90625" style="580" customWidth="1"/>
    <col min="18" max="18" width="14.6328125" style="580" customWidth="1"/>
    <col min="19" max="19" width="11.90625" style="580" customWidth="1"/>
    <col min="20" max="16384" width="9.6328125" style="580"/>
  </cols>
  <sheetData>
    <row r="1" spans="1:20" ht="21" x14ac:dyDescent="0.4">
      <c r="A1" s="575"/>
      <c r="B1" s="576" t="s">
        <v>179</v>
      </c>
      <c r="C1" s="577"/>
      <c r="D1" s="577"/>
      <c r="E1" s="577"/>
      <c r="F1" s="577"/>
      <c r="G1" s="577"/>
      <c r="H1" s="577"/>
      <c r="I1" s="577"/>
      <c r="J1" s="577"/>
      <c r="K1" s="577"/>
      <c r="L1" s="577"/>
      <c r="M1" s="577"/>
      <c r="N1" s="577"/>
      <c r="O1" s="577"/>
      <c r="P1" s="577"/>
      <c r="Q1" s="577"/>
      <c r="R1" s="577"/>
      <c r="S1" s="578"/>
      <c r="T1" s="579"/>
    </row>
    <row r="2" spans="1:20" x14ac:dyDescent="0.3">
      <c r="A2" s="581"/>
      <c r="B2" s="582"/>
      <c r="C2" s="583"/>
      <c r="D2" s="583"/>
      <c r="E2" s="583"/>
      <c r="F2" s="583"/>
      <c r="G2" s="583"/>
      <c r="H2" s="583"/>
      <c r="I2" s="583"/>
      <c r="J2" s="583"/>
      <c r="K2" s="583"/>
      <c r="L2" s="583"/>
      <c r="M2" s="583"/>
      <c r="N2" s="583"/>
      <c r="O2" s="583"/>
      <c r="P2" s="583"/>
      <c r="Q2" s="583"/>
      <c r="R2" s="583"/>
      <c r="S2" s="584"/>
      <c r="T2" s="579"/>
    </row>
    <row r="3" spans="1:20" x14ac:dyDescent="0.3">
      <c r="A3" s="585"/>
      <c r="B3" s="586" t="s">
        <v>180</v>
      </c>
      <c r="C3" s="583"/>
      <c r="D3" s="583"/>
      <c r="E3" s="583"/>
      <c r="F3" s="583"/>
      <c r="G3" s="583"/>
      <c r="H3" s="583"/>
      <c r="I3" s="583"/>
      <c r="J3" s="583"/>
      <c r="K3" s="583"/>
      <c r="L3" s="583"/>
      <c r="M3" s="583"/>
      <c r="N3" s="583"/>
      <c r="O3" s="583"/>
      <c r="P3" s="583"/>
      <c r="Q3" s="583"/>
      <c r="R3" s="583"/>
      <c r="S3" s="584"/>
      <c r="T3" s="579"/>
    </row>
    <row r="4" spans="1:20" x14ac:dyDescent="0.3">
      <c r="A4" s="581"/>
      <c r="B4" s="582"/>
      <c r="C4" s="583"/>
      <c r="D4" s="583"/>
      <c r="E4" s="583"/>
      <c r="F4" s="583"/>
      <c r="G4" s="583"/>
      <c r="H4" s="583"/>
      <c r="I4" s="583"/>
      <c r="J4" s="583"/>
      <c r="K4" s="583"/>
      <c r="L4" s="583"/>
      <c r="M4" s="583"/>
      <c r="N4" s="583"/>
      <c r="O4" s="583"/>
      <c r="P4" s="583"/>
      <c r="Q4" s="583"/>
      <c r="R4" s="583"/>
      <c r="S4" s="584"/>
      <c r="T4" s="579"/>
    </row>
    <row r="5" spans="1:20" x14ac:dyDescent="0.3">
      <c r="A5" s="581"/>
      <c r="B5" s="587" t="s">
        <v>156</v>
      </c>
      <c r="C5" s="583"/>
      <c r="D5" s="583"/>
      <c r="E5" s="583"/>
      <c r="F5" s="583"/>
      <c r="G5" s="583"/>
      <c r="H5" s="583"/>
      <c r="I5" s="583"/>
      <c r="J5" s="583"/>
      <c r="K5" s="583"/>
      <c r="L5" s="583"/>
      <c r="M5" s="583"/>
      <c r="N5" s="583"/>
      <c r="O5" s="583"/>
      <c r="P5" s="583"/>
      <c r="Q5" s="583"/>
      <c r="R5" s="583"/>
      <c r="S5" s="584"/>
      <c r="T5" s="579"/>
    </row>
    <row r="6" spans="1:20" x14ac:dyDescent="0.3">
      <c r="A6" s="581"/>
      <c r="B6" s="587" t="s">
        <v>344</v>
      </c>
      <c r="C6" s="583"/>
      <c r="D6" s="583"/>
      <c r="E6" s="583"/>
      <c r="F6" s="583"/>
      <c r="G6" s="583"/>
      <c r="H6" s="583"/>
      <c r="I6" s="583"/>
      <c r="J6" s="583"/>
      <c r="K6" s="583"/>
      <c r="L6" s="583"/>
      <c r="M6" s="583"/>
      <c r="N6" s="583"/>
      <c r="O6" s="583"/>
      <c r="P6" s="583"/>
      <c r="Q6" s="583"/>
      <c r="R6" s="583"/>
      <c r="S6" s="584"/>
      <c r="T6" s="579"/>
    </row>
    <row r="7" spans="1:20" x14ac:dyDescent="0.3">
      <c r="A7" s="581"/>
      <c r="B7" s="587" t="s">
        <v>157</v>
      </c>
      <c r="C7" s="583"/>
      <c r="D7" s="583"/>
      <c r="E7" s="583"/>
      <c r="F7" s="583"/>
      <c r="G7" s="583"/>
      <c r="H7" s="583"/>
      <c r="I7" s="583"/>
      <c r="J7" s="583"/>
      <c r="K7" s="583"/>
      <c r="L7" s="583"/>
      <c r="M7" s="583"/>
      <c r="N7" s="583"/>
      <c r="O7" s="583"/>
      <c r="P7" s="583"/>
      <c r="Q7" s="583"/>
      <c r="R7" s="583"/>
      <c r="S7" s="584"/>
      <c r="T7" s="579"/>
    </row>
    <row r="8" spans="1:20" x14ac:dyDescent="0.3">
      <c r="A8" s="581"/>
      <c r="B8" s="588"/>
      <c r="C8" s="583"/>
      <c r="D8" s="583"/>
      <c r="E8" s="583"/>
      <c r="F8" s="583"/>
      <c r="G8" s="583"/>
      <c r="H8" s="583"/>
      <c r="I8" s="583"/>
      <c r="J8" s="583"/>
      <c r="K8" s="583"/>
      <c r="L8" s="583"/>
      <c r="M8" s="583"/>
      <c r="N8" s="583"/>
      <c r="O8" s="583"/>
      <c r="P8" s="583"/>
      <c r="Q8" s="583"/>
      <c r="R8" s="583"/>
      <c r="S8" s="584"/>
      <c r="T8" s="579"/>
    </row>
    <row r="9" spans="1:20" x14ac:dyDescent="0.3">
      <c r="A9" s="581"/>
      <c r="B9" s="586" t="s">
        <v>245</v>
      </c>
      <c r="C9" s="583"/>
      <c r="D9" s="583"/>
      <c r="E9" s="583"/>
      <c r="F9" s="583"/>
      <c r="G9" s="583"/>
      <c r="H9" s="589"/>
      <c r="I9" s="583"/>
      <c r="J9" s="590" t="s">
        <v>341</v>
      </c>
      <c r="K9" s="583"/>
      <c r="L9" s="583"/>
      <c r="M9" s="583"/>
      <c r="N9" s="583"/>
      <c r="O9" s="583"/>
      <c r="P9" s="583"/>
      <c r="Q9" s="583"/>
      <c r="R9" s="583"/>
      <c r="S9" s="584"/>
      <c r="T9" s="579"/>
    </row>
    <row r="10" spans="1:20" x14ac:dyDescent="0.3">
      <c r="A10" s="581"/>
      <c r="B10" s="588"/>
      <c r="C10" s="591"/>
      <c r="D10" s="591"/>
      <c r="E10" s="591"/>
      <c r="F10" s="583"/>
      <c r="G10" s="583"/>
      <c r="H10" s="583"/>
      <c r="I10" s="583"/>
      <c r="J10" s="583"/>
      <c r="K10" s="583"/>
      <c r="L10" s="583"/>
      <c r="M10" s="583"/>
      <c r="N10" s="583"/>
      <c r="O10" s="583"/>
      <c r="P10" s="583"/>
      <c r="Q10" s="583"/>
      <c r="R10" s="583"/>
      <c r="S10" s="584"/>
      <c r="T10" s="579"/>
    </row>
    <row r="11" spans="1:20" x14ac:dyDescent="0.3">
      <c r="A11" s="581"/>
      <c r="B11" s="592" t="s">
        <v>0</v>
      </c>
      <c r="C11" s="583"/>
      <c r="D11" s="583"/>
      <c r="E11" s="583"/>
      <c r="F11" s="583"/>
      <c r="G11" s="583"/>
      <c r="H11" s="583"/>
      <c r="I11" s="583"/>
      <c r="J11" s="583"/>
      <c r="K11" s="583"/>
      <c r="L11" s="583"/>
      <c r="M11" s="583"/>
      <c r="N11" s="583"/>
      <c r="O11" s="583"/>
      <c r="P11" s="583"/>
      <c r="Q11" s="583"/>
      <c r="R11" s="583"/>
      <c r="S11" s="584"/>
      <c r="T11" s="579"/>
    </row>
    <row r="12" spans="1:20" ht="16.2" thickBot="1" x14ac:dyDescent="0.35">
      <c r="A12" s="581"/>
      <c r="B12" s="591"/>
      <c r="C12" s="583"/>
      <c r="D12" s="583"/>
      <c r="E12" s="583"/>
      <c r="F12" s="583"/>
      <c r="G12" s="583"/>
      <c r="H12" s="583"/>
      <c r="I12" s="583"/>
      <c r="J12" s="583"/>
      <c r="K12" s="583"/>
      <c r="L12" s="583"/>
      <c r="M12" s="583"/>
      <c r="N12" s="583"/>
      <c r="O12" s="583"/>
      <c r="P12" s="583"/>
      <c r="Q12" s="583"/>
      <c r="R12" s="583"/>
      <c r="S12" s="584"/>
      <c r="T12" s="579"/>
    </row>
    <row r="13" spans="1:20" x14ac:dyDescent="0.3">
      <c r="A13" s="575"/>
      <c r="B13" s="577"/>
      <c r="C13" s="577"/>
      <c r="D13" s="577"/>
      <c r="E13" s="577"/>
      <c r="F13" s="577"/>
      <c r="G13" s="577"/>
      <c r="H13" s="577"/>
      <c r="I13" s="577"/>
      <c r="J13" s="577"/>
      <c r="K13" s="577"/>
      <c r="L13" s="577"/>
      <c r="M13" s="577"/>
      <c r="N13" s="577"/>
      <c r="O13" s="577"/>
      <c r="P13" s="577"/>
      <c r="Q13" s="577"/>
      <c r="R13" s="577"/>
      <c r="S13" s="578"/>
      <c r="T13" s="579"/>
    </row>
    <row r="14" spans="1:20" x14ac:dyDescent="0.3">
      <c r="A14" s="581"/>
      <c r="B14" s="592" t="s">
        <v>1</v>
      </c>
      <c r="C14" s="593"/>
      <c r="D14" s="593"/>
      <c r="E14" s="593"/>
      <c r="F14" s="593"/>
      <c r="G14" s="593"/>
      <c r="H14" s="593"/>
      <c r="I14" s="593"/>
      <c r="J14" s="593"/>
      <c r="K14" s="593"/>
      <c r="L14" s="593"/>
      <c r="M14" s="593"/>
      <c r="N14" s="593"/>
      <c r="O14" s="593"/>
      <c r="P14" s="593"/>
      <c r="Q14" s="593"/>
      <c r="R14" s="594" t="s">
        <v>181</v>
      </c>
      <c r="S14" s="595"/>
      <c r="T14" s="579"/>
    </row>
    <row r="15" spans="1:20" x14ac:dyDescent="0.3">
      <c r="A15" s="581"/>
      <c r="B15" s="592" t="s">
        <v>2</v>
      </c>
      <c r="C15" s="593"/>
      <c r="D15" s="593"/>
      <c r="E15" s="593"/>
      <c r="F15" s="593"/>
      <c r="G15" s="593"/>
      <c r="H15" s="596"/>
      <c r="I15" s="596"/>
      <c r="J15" s="596"/>
      <c r="K15" s="596"/>
      <c r="L15" s="596"/>
      <c r="M15" s="596"/>
      <c r="N15" s="596" t="s">
        <v>115</v>
      </c>
      <c r="O15" s="597">
        <v>0.76429999999999998</v>
      </c>
      <c r="P15" s="598" t="s">
        <v>161</v>
      </c>
      <c r="Q15" s="597">
        <v>0.23569999999999999</v>
      </c>
      <c r="R15" s="594"/>
      <c r="S15" s="595"/>
      <c r="T15" s="579"/>
    </row>
    <row r="16" spans="1:20" x14ac:dyDescent="0.3">
      <c r="A16" s="581"/>
      <c r="B16" s="592" t="s">
        <v>3</v>
      </c>
      <c r="C16" s="593"/>
      <c r="D16" s="593"/>
      <c r="E16" s="593"/>
      <c r="F16" s="593"/>
      <c r="G16" s="593"/>
      <c r="H16" s="596"/>
      <c r="I16" s="596"/>
      <c r="J16" s="596"/>
      <c r="K16" s="596"/>
      <c r="L16" s="596"/>
      <c r="M16" s="596"/>
      <c r="N16" s="596" t="s">
        <v>115</v>
      </c>
      <c r="O16" s="597">
        <v>0.88339999999999996</v>
      </c>
      <c r="P16" s="598" t="s">
        <v>161</v>
      </c>
      <c r="Q16" s="597">
        <v>0.1166</v>
      </c>
      <c r="R16" s="594"/>
      <c r="S16" s="595"/>
      <c r="T16" s="579"/>
    </row>
    <row r="17" spans="1:20" x14ac:dyDescent="0.3">
      <c r="A17" s="581"/>
      <c r="B17" s="592" t="s">
        <v>4</v>
      </c>
      <c r="C17" s="593"/>
      <c r="D17" s="593"/>
      <c r="E17" s="593"/>
      <c r="F17" s="593"/>
      <c r="G17" s="593"/>
      <c r="H17" s="593"/>
      <c r="I17" s="593"/>
      <c r="J17" s="593"/>
      <c r="K17" s="593"/>
      <c r="L17" s="593"/>
      <c r="M17" s="593"/>
      <c r="N17" s="593"/>
      <c r="O17" s="593"/>
      <c r="P17" s="593"/>
      <c r="Q17" s="593"/>
      <c r="R17" s="599">
        <v>38287</v>
      </c>
      <c r="S17" s="595"/>
      <c r="T17" s="579"/>
    </row>
    <row r="18" spans="1:20" x14ac:dyDescent="0.3">
      <c r="A18" s="581"/>
      <c r="B18" s="592" t="s">
        <v>5</v>
      </c>
      <c r="C18" s="593"/>
      <c r="D18" s="593"/>
      <c r="E18" s="593"/>
      <c r="F18" s="593"/>
      <c r="G18" s="593"/>
      <c r="H18" s="593"/>
      <c r="I18" s="593"/>
      <c r="J18" s="593"/>
      <c r="K18" s="593"/>
      <c r="L18" s="593"/>
      <c r="M18" s="593"/>
      <c r="N18" s="593"/>
      <c r="O18" s="593"/>
      <c r="P18" s="593"/>
      <c r="Q18" s="593"/>
      <c r="R18" s="599">
        <v>43025</v>
      </c>
      <c r="S18" s="595"/>
      <c r="T18" s="579"/>
    </row>
    <row r="19" spans="1:20" x14ac:dyDescent="0.3">
      <c r="A19" s="581"/>
      <c r="B19" s="600"/>
      <c r="C19" s="583"/>
      <c r="D19" s="583"/>
      <c r="E19" s="583"/>
      <c r="F19" s="583"/>
      <c r="G19" s="583"/>
      <c r="H19" s="583"/>
      <c r="I19" s="583"/>
      <c r="J19" s="583"/>
      <c r="K19" s="583"/>
      <c r="L19" s="583"/>
      <c r="M19" s="583"/>
      <c r="N19" s="600"/>
      <c r="O19" s="600"/>
      <c r="P19" s="600"/>
      <c r="Q19" s="600"/>
      <c r="R19" s="601"/>
      <c r="S19" s="584"/>
      <c r="T19" s="579"/>
    </row>
    <row r="20" spans="1:20" x14ac:dyDescent="0.3">
      <c r="A20" s="581"/>
      <c r="B20" s="602" t="s">
        <v>6</v>
      </c>
      <c r="C20" s="583"/>
      <c r="D20" s="583"/>
      <c r="E20" s="583"/>
      <c r="F20" s="583"/>
      <c r="G20" s="583"/>
      <c r="H20" s="583"/>
      <c r="I20" s="583"/>
      <c r="J20" s="583"/>
      <c r="K20" s="583"/>
      <c r="L20" s="583"/>
      <c r="M20" s="583"/>
      <c r="N20" s="600"/>
      <c r="O20" s="600"/>
      <c r="P20" s="603" t="s">
        <v>116</v>
      </c>
      <c r="Q20" s="600"/>
      <c r="R20" s="600"/>
      <c r="S20" s="584"/>
      <c r="T20" s="579"/>
    </row>
    <row r="21" spans="1:20" x14ac:dyDescent="0.3">
      <c r="A21" s="581"/>
      <c r="B21" s="583"/>
      <c r="C21" s="583"/>
      <c r="D21" s="583"/>
      <c r="E21" s="583"/>
      <c r="F21" s="583"/>
      <c r="G21" s="583"/>
      <c r="H21" s="583"/>
      <c r="I21" s="583"/>
      <c r="J21" s="583"/>
      <c r="K21" s="583"/>
      <c r="L21" s="583"/>
      <c r="M21" s="583"/>
      <c r="N21" s="583"/>
      <c r="O21" s="583"/>
      <c r="P21" s="583"/>
      <c r="Q21" s="583"/>
      <c r="R21" s="604"/>
      <c r="S21" s="584"/>
      <c r="T21" s="579"/>
    </row>
    <row r="22" spans="1:20" x14ac:dyDescent="0.3">
      <c r="A22" s="605"/>
      <c r="B22" s="606"/>
      <c r="C22" s="607"/>
      <c r="D22" s="608" t="s">
        <v>159</v>
      </c>
      <c r="E22" s="608"/>
      <c r="F22" s="608" t="s">
        <v>160</v>
      </c>
      <c r="G22" s="608"/>
      <c r="H22" s="608" t="s">
        <v>182</v>
      </c>
      <c r="I22" s="608"/>
      <c r="J22" s="608" t="s">
        <v>183</v>
      </c>
      <c r="K22" s="608"/>
      <c r="L22" s="608" t="s">
        <v>133</v>
      </c>
      <c r="M22" s="608"/>
      <c r="N22" s="608" t="s">
        <v>134</v>
      </c>
      <c r="O22" s="609"/>
      <c r="P22" s="609"/>
      <c r="Q22" s="606"/>
      <c r="R22" s="606"/>
      <c r="S22" s="610"/>
      <c r="T22" s="579"/>
    </row>
    <row r="23" spans="1:20" s="616" customFormat="1" x14ac:dyDescent="0.3">
      <c r="A23" s="611"/>
      <c r="B23" s="612" t="s">
        <v>7</v>
      </c>
      <c r="C23" s="613"/>
      <c r="D23" s="613" t="s">
        <v>162</v>
      </c>
      <c r="E23" s="613"/>
      <c r="F23" s="613" t="s">
        <v>162</v>
      </c>
      <c r="G23" s="613"/>
      <c r="H23" s="613" t="s">
        <v>162</v>
      </c>
      <c r="I23" s="613"/>
      <c r="J23" s="613" t="s">
        <v>162</v>
      </c>
      <c r="K23" s="613"/>
      <c r="L23" s="613" t="s">
        <v>163</v>
      </c>
      <c r="M23" s="613"/>
      <c r="N23" s="613" t="s">
        <v>163</v>
      </c>
      <c r="O23" s="613"/>
      <c r="P23" s="613"/>
      <c r="Q23" s="612"/>
      <c r="R23" s="612"/>
      <c r="S23" s="614"/>
      <c r="T23" s="615"/>
    </row>
    <row r="24" spans="1:20" s="616" customFormat="1" x14ac:dyDescent="0.3">
      <c r="A24" s="617"/>
      <c r="B24" s="618" t="s">
        <v>8</v>
      </c>
      <c r="C24" s="619"/>
      <c r="D24" s="619" t="s">
        <v>164</v>
      </c>
      <c r="E24" s="619"/>
      <c r="F24" s="619" t="s">
        <v>164</v>
      </c>
      <c r="G24" s="619"/>
      <c r="H24" s="619" t="s">
        <v>164</v>
      </c>
      <c r="I24" s="619"/>
      <c r="J24" s="619" t="s">
        <v>164</v>
      </c>
      <c r="K24" s="619"/>
      <c r="L24" s="619" t="s">
        <v>165</v>
      </c>
      <c r="M24" s="619"/>
      <c r="N24" s="619" t="s">
        <v>165</v>
      </c>
      <c r="O24" s="619"/>
      <c r="P24" s="619"/>
      <c r="Q24" s="618"/>
      <c r="R24" s="618"/>
      <c r="S24" s="620"/>
      <c r="T24" s="615"/>
    </row>
    <row r="25" spans="1:20" s="616" customFormat="1" x14ac:dyDescent="0.3">
      <c r="A25" s="617"/>
      <c r="B25" s="618" t="s">
        <v>135</v>
      </c>
      <c r="C25" s="619"/>
      <c r="D25" s="619" t="s">
        <v>164</v>
      </c>
      <c r="E25" s="619"/>
      <c r="F25" s="619" t="s">
        <v>164</v>
      </c>
      <c r="G25" s="619"/>
      <c r="H25" s="619" t="s">
        <v>164</v>
      </c>
      <c r="I25" s="619"/>
      <c r="J25" s="619" t="s">
        <v>164</v>
      </c>
      <c r="K25" s="619"/>
      <c r="L25" s="619" t="s">
        <v>165</v>
      </c>
      <c r="M25" s="619"/>
      <c r="N25" s="619" t="s">
        <v>165</v>
      </c>
      <c r="O25" s="619"/>
      <c r="P25" s="619"/>
      <c r="Q25" s="618"/>
      <c r="R25" s="618"/>
      <c r="S25" s="620"/>
      <c r="T25" s="615"/>
    </row>
    <row r="26" spans="1:20" s="616" customFormat="1" x14ac:dyDescent="0.3">
      <c r="A26" s="621"/>
      <c r="B26" s="622" t="s">
        <v>9</v>
      </c>
      <c r="C26" s="623"/>
      <c r="D26" s="623" t="s">
        <v>162</v>
      </c>
      <c r="E26" s="623"/>
      <c r="F26" s="623" t="s">
        <v>162</v>
      </c>
      <c r="G26" s="623"/>
      <c r="H26" s="623" t="s">
        <v>162</v>
      </c>
      <c r="I26" s="623"/>
      <c r="J26" s="623" t="s">
        <v>162</v>
      </c>
      <c r="K26" s="623"/>
      <c r="L26" s="623" t="s">
        <v>163</v>
      </c>
      <c r="M26" s="623"/>
      <c r="N26" s="623" t="s">
        <v>163</v>
      </c>
      <c r="O26" s="623"/>
      <c r="P26" s="619"/>
      <c r="Q26" s="618"/>
      <c r="R26" s="618"/>
      <c r="S26" s="620"/>
      <c r="T26" s="615"/>
    </row>
    <row r="27" spans="1:20" s="616" customFormat="1" x14ac:dyDescent="0.3">
      <c r="A27" s="621"/>
      <c r="B27" s="622" t="s">
        <v>10</v>
      </c>
      <c r="C27" s="623"/>
      <c r="D27" s="623" t="s">
        <v>164</v>
      </c>
      <c r="E27" s="623"/>
      <c r="F27" s="623" t="s">
        <v>164</v>
      </c>
      <c r="G27" s="623"/>
      <c r="H27" s="623" t="s">
        <v>310</v>
      </c>
      <c r="I27" s="623"/>
      <c r="J27" s="623" t="s">
        <v>310</v>
      </c>
      <c r="K27" s="623"/>
      <c r="L27" s="623" t="s">
        <v>312</v>
      </c>
      <c r="M27" s="623"/>
      <c r="N27" s="623" t="s">
        <v>312</v>
      </c>
      <c r="O27" s="623"/>
      <c r="P27" s="619"/>
      <c r="Q27" s="618"/>
      <c r="R27" s="618"/>
      <c r="S27" s="620"/>
      <c r="T27" s="615"/>
    </row>
    <row r="28" spans="1:20" s="616" customFormat="1" x14ac:dyDescent="0.3">
      <c r="A28" s="621"/>
      <c r="B28" s="622" t="s">
        <v>136</v>
      </c>
      <c r="C28" s="623"/>
      <c r="D28" s="623" t="s">
        <v>164</v>
      </c>
      <c r="E28" s="623"/>
      <c r="F28" s="623" t="s">
        <v>164</v>
      </c>
      <c r="G28" s="623"/>
      <c r="H28" s="623" t="s">
        <v>164</v>
      </c>
      <c r="I28" s="623"/>
      <c r="J28" s="623" t="s">
        <v>164</v>
      </c>
      <c r="K28" s="623"/>
      <c r="L28" s="623" t="s">
        <v>165</v>
      </c>
      <c r="M28" s="623"/>
      <c r="N28" s="623" t="s">
        <v>165</v>
      </c>
      <c r="O28" s="623"/>
      <c r="P28" s="619"/>
      <c r="Q28" s="618"/>
      <c r="R28" s="618"/>
      <c r="S28" s="620"/>
      <c r="T28" s="615"/>
    </row>
    <row r="29" spans="1:20" s="616" customFormat="1" x14ac:dyDescent="0.3">
      <c r="A29" s="617"/>
      <c r="B29" s="618" t="s">
        <v>11</v>
      </c>
      <c r="C29" s="619"/>
      <c r="D29" s="619" t="s">
        <v>184</v>
      </c>
      <c r="E29" s="619"/>
      <c r="F29" s="624" t="s">
        <v>224</v>
      </c>
      <c r="G29" s="619"/>
      <c r="H29" s="619" t="s">
        <v>185</v>
      </c>
      <c r="I29" s="619"/>
      <c r="J29" s="619" t="s">
        <v>186</v>
      </c>
      <c r="K29" s="619"/>
      <c r="L29" s="619" t="s">
        <v>187</v>
      </c>
      <c r="M29" s="619"/>
      <c r="N29" s="619" t="s">
        <v>188</v>
      </c>
      <c r="O29" s="619"/>
      <c r="P29" s="624"/>
      <c r="Q29" s="618"/>
      <c r="R29" s="618"/>
      <c r="S29" s="620"/>
      <c r="T29" s="615"/>
    </row>
    <row r="30" spans="1:20" s="616" customFormat="1" x14ac:dyDescent="0.3">
      <c r="A30" s="617"/>
      <c r="B30" s="618" t="s">
        <v>152</v>
      </c>
      <c r="C30" s="625"/>
      <c r="D30" s="626">
        <v>50000</v>
      </c>
      <c r="E30" s="625"/>
      <c r="F30" s="627">
        <v>330000</v>
      </c>
      <c r="G30" s="626"/>
      <c r="H30" s="628">
        <v>305000</v>
      </c>
      <c r="I30" s="626"/>
      <c r="J30" s="627">
        <v>453000</v>
      </c>
      <c r="K30" s="626"/>
      <c r="L30" s="628">
        <v>65000</v>
      </c>
      <c r="M30" s="626"/>
      <c r="N30" s="627">
        <v>50000</v>
      </c>
      <c r="O30" s="626"/>
      <c r="P30" s="626"/>
      <c r="Q30" s="625"/>
      <c r="R30" s="626"/>
      <c r="S30" s="629"/>
      <c r="T30" s="615"/>
    </row>
    <row r="31" spans="1:20" s="616" customFormat="1" x14ac:dyDescent="0.3">
      <c r="A31" s="617"/>
      <c r="B31" s="618" t="s">
        <v>151</v>
      </c>
      <c r="C31" s="625"/>
      <c r="D31" s="626">
        <f>D37*D30</f>
        <v>0</v>
      </c>
      <c r="E31" s="625"/>
      <c r="F31" s="627">
        <f>F37*F30</f>
        <v>0</v>
      </c>
      <c r="G31" s="626"/>
      <c r="H31" s="628">
        <f>H30*H37</f>
        <v>137364.86300000001</v>
      </c>
      <c r="I31" s="626"/>
      <c r="J31" s="627">
        <f>J30*J37</f>
        <v>204020.5998</v>
      </c>
      <c r="K31" s="626"/>
      <c r="L31" s="628">
        <f>L30*L37</f>
        <v>45375.277999999998</v>
      </c>
      <c r="M31" s="626"/>
      <c r="N31" s="627">
        <f>N30*N37</f>
        <v>34904.06</v>
      </c>
      <c r="O31" s="626"/>
      <c r="P31" s="626"/>
      <c r="Q31" s="625"/>
      <c r="R31" s="626"/>
      <c r="S31" s="629"/>
      <c r="T31" s="615"/>
    </row>
    <row r="32" spans="1:20" s="616" customFormat="1" x14ac:dyDescent="0.3">
      <c r="A32" s="621"/>
      <c r="B32" s="622" t="s">
        <v>153</v>
      </c>
      <c r="C32" s="630"/>
      <c r="D32" s="631">
        <f>D36*D30</f>
        <v>0</v>
      </c>
      <c r="E32" s="630"/>
      <c r="F32" s="632">
        <f>F36*F30</f>
        <v>0</v>
      </c>
      <c r="G32" s="631"/>
      <c r="H32" s="631">
        <f>H36*H30</f>
        <v>135458.003</v>
      </c>
      <c r="I32" s="630"/>
      <c r="J32" s="632">
        <f>J36*J30</f>
        <v>201188.44379999998</v>
      </c>
      <c r="K32" s="631"/>
      <c r="L32" s="631">
        <f>L36*L30</f>
        <v>44745.375999999997</v>
      </c>
      <c r="M32" s="631"/>
      <c r="N32" s="632">
        <f>N36*N30</f>
        <v>34419.519999999997</v>
      </c>
      <c r="O32" s="631"/>
      <c r="P32" s="631"/>
      <c r="Q32" s="630"/>
      <c r="R32" s="631"/>
      <c r="S32" s="629"/>
      <c r="T32" s="615"/>
    </row>
    <row r="33" spans="1:20" s="616" customFormat="1" x14ac:dyDescent="0.3">
      <c r="A33" s="617"/>
      <c r="B33" s="618" t="s">
        <v>285</v>
      </c>
      <c r="C33" s="625"/>
      <c r="D33" s="626">
        <v>50000</v>
      </c>
      <c r="E33" s="625"/>
      <c r="F33" s="626">
        <v>230000</v>
      </c>
      <c r="G33" s="626"/>
      <c r="H33" s="626">
        <v>305000</v>
      </c>
      <c r="I33" s="626"/>
      <c r="J33" s="626">
        <v>315000</v>
      </c>
      <c r="K33" s="626"/>
      <c r="L33" s="626">
        <v>65000</v>
      </c>
      <c r="M33" s="626"/>
      <c r="N33" s="626">
        <v>35000</v>
      </c>
      <c r="O33" s="626"/>
      <c r="P33" s="626"/>
      <c r="Q33" s="625"/>
      <c r="R33" s="626">
        <f>SUM(C33:N33)</f>
        <v>1000000</v>
      </c>
      <c r="S33" s="629"/>
      <c r="T33" s="615"/>
    </row>
    <row r="34" spans="1:20" s="616" customFormat="1" x14ac:dyDescent="0.3">
      <c r="A34" s="617"/>
      <c r="B34" s="618" t="s">
        <v>286</v>
      </c>
      <c r="C34" s="625"/>
      <c r="D34" s="626">
        <f>+D31</f>
        <v>0</v>
      </c>
      <c r="E34" s="625"/>
      <c r="F34" s="626">
        <f>+F31*0.696969697</f>
        <v>0</v>
      </c>
      <c r="G34" s="626"/>
      <c r="H34" s="626">
        <f>H33*H37</f>
        <v>137364.86300000001</v>
      </c>
      <c r="I34" s="626"/>
      <c r="J34" s="626">
        <f>J33*J37</f>
        <v>141868.62900000002</v>
      </c>
      <c r="K34" s="626"/>
      <c r="L34" s="626">
        <f>L33*L37</f>
        <v>45375.277999999998</v>
      </c>
      <c r="M34" s="626"/>
      <c r="N34" s="626">
        <f>N33*N37</f>
        <v>24432.841999999997</v>
      </c>
      <c r="O34" s="626"/>
      <c r="P34" s="626"/>
      <c r="Q34" s="625"/>
      <c r="R34" s="626">
        <f>SUM(C34:N34)</f>
        <v>349041.61200000002</v>
      </c>
      <c r="S34" s="629"/>
      <c r="T34" s="615"/>
    </row>
    <row r="35" spans="1:20" s="616" customFormat="1" x14ac:dyDescent="0.3">
      <c r="A35" s="621"/>
      <c r="B35" s="622" t="s">
        <v>287</v>
      </c>
      <c r="C35" s="630"/>
      <c r="D35" s="631">
        <f>D36*D33</f>
        <v>0</v>
      </c>
      <c r="E35" s="630"/>
      <c r="F35" s="631">
        <f>F36*F33</f>
        <v>0</v>
      </c>
      <c r="G35" s="631"/>
      <c r="H35" s="631">
        <f>H36*H33</f>
        <v>135458.003</v>
      </c>
      <c r="I35" s="630"/>
      <c r="J35" s="631">
        <f>J36*J33</f>
        <v>139899.24899999998</v>
      </c>
      <c r="K35" s="631"/>
      <c r="L35" s="631">
        <f>L36*L33</f>
        <v>44745.375999999997</v>
      </c>
      <c r="M35" s="631"/>
      <c r="N35" s="631">
        <f>N36*N33</f>
        <v>24093.663999999997</v>
      </c>
      <c r="O35" s="631"/>
      <c r="P35" s="631"/>
      <c r="Q35" s="630"/>
      <c r="R35" s="631">
        <f>SUM(C35:N35)</f>
        <v>344196.29199999996</v>
      </c>
      <c r="S35" s="629"/>
      <c r="T35" s="615"/>
    </row>
    <row r="36" spans="1:20" x14ac:dyDescent="0.3">
      <c r="A36" s="633"/>
      <c r="B36" s="634" t="s">
        <v>149</v>
      </c>
      <c r="C36" s="635"/>
      <c r="D36" s="636">
        <v>0</v>
      </c>
      <c r="E36" s="637"/>
      <c r="F36" s="636">
        <v>0</v>
      </c>
      <c r="G36" s="638"/>
      <c r="H36" s="636">
        <v>0.44412459999999998</v>
      </c>
      <c r="I36" s="636"/>
      <c r="J36" s="636">
        <v>0.44412459999999998</v>
      </c>
      <c r="K36" s="638"/>
      <c r="L36" s="636">
        <v>0.68839039999999996</v>
      </c>
      <c r="M36" s="636"/>
      <c r="N36" s="636">
        <v>0.68839039999999996</v>
      </c>
      <c r="O36" s="639"/>
      <c r="P36" s="639"/>
      <c r="Q36" s="640"/>
      <c r="R36" s="639"/>
      <c r="S36" s="641"/>
      <c r="T36" s="579"/>
    </row>
    <row r="37" spans="1:20" x14ac:dyDescent="0.3">
      <c r="A37" s="633"/>
      <c r="B37" s="642" t="s">
        <v>150</v>
      </c>
      <c r="C37" s="640"/>
      <c r="D37" s="643">
        <v>0</v>
      </c>
      <c r="E37" s="644"/>
      <c r="F37" s="643">
        <v>0</v>
      </c>
      <c r="G37" s="645"/>
      <c r="H37" s="643">
        <v>0.45037660000000002</v>
      </c>
      <c r="I37" s="643"/>
      <c r="J37" s="643">
        <v>0.45037660000000002</v>
      </c>
      <c r="K37" s="645"/>
      <c r="L37" s="643">
        <v>0.69808119999999996</v>
      </c>
      <c r="M37" s="643"/>
      <c r="N37" s="643">
        <v>0.69808119999999996</v>
      </c>
      <c r="O37" s="646"/>
      <c r="P37" s="646"/>
      <c r="Q37" s="640"/>
      <c r="R37" s="639"/>
      <c r="S37" s="641"/>
      <c r="T37" s="579"/>
    </row>
    <row r="38" spans="1:20" s="616" customFormat="1" x14ac:dyDescent="0.3">
      <c r="A38" s="617"/>
      <c r="B38" s="618" t="s">
        <v>12</v>
      </c>
      <c r="C38" s="618"/>
      <c r="D38" s="624" t="s">
        <v>191</v>
      </c>
      <c r="E38" s="618"/>
      <c r="F38" s="624" t="s">
        <v>191</v>
      </c>
      <c r="G38" s="624"/>
      <c r="H38" s="624" t="s">
        <v>198</v>
      </c>
      <c r="I38" s="624"/>
      <c r="J38" s="624" t="s">
        <v>197</v>
      </c>
      <c r="K38" s="624"/>
      <c r="L38" s="624" t="s">
        <v>196</v>
      </c>
      <c r="M38" s="624"/>
      <c r="N38" s="624" t="s">
        <v>195</v>
      </c>
      <c r="O38" s="624"/>
      <c r="P38" s="624"/>
      <c r="Q38" s="618"/>
      <c r="R38" s="618"/>
      <c r="S38" s="647"/>
      <c r="T38" s="615"/>
    </row>
    <row r="39" spans="1:20" s="616" customFormat="1" x14ac:dyDescent="0.3">
      <c r="A39" s="617"/>
      <c r="B39" s="618" t="s">
        <v>13</v>
      </c>
      <c r="C39" s="618"/>
      <c r="D39" s="648">
        <v>0</v>
      </c>
      <c r="E39" s="618"/>
      <c r="F39" s="648">
        <v>0</v>
      </c>
      <c r="G39" s="649"/>
      <c r="H39" s="648">
        <v>6.7469000000000001E-3</v>
      </c>
      <c r="I39" s="649"/>
      <c r="J39" s="648">
        <v>2.9E-4</v>
      </c>
      <c r="K39" s="649"/>
      <c r="L39" s="648">
        <v>1.59469E-2</v>
      </c>
      <c r="M39" s="649"/>
      <c r="N39" s="648">
        <v>8.6899999999999998E-3</v>
      </c>
      <c r="O39" s="649"/>
      <c r="P39" s="648"/>
      <c r="Q39" s="618"/>
      <c r="R39" s="649"/>
      <c r="S39" s="647"/>
      <c r="T39" s="615"/>
    </row>
    <row r="40" spans="1:20" s="616" customFormat="1" x14ac:dyDescent="0.3">
      <c r="A40" s="617"/>
      <c r="B40" s="618" t="s">
        <v>14</v>
      </c>
      <c r="C40" s="618"/>
      <c r="D40" s="648">
        <v>0</v>
      </c>
      <c r="E40" s="618"/>
      <c r="F40" s="648">
        <v>0</v>
      </c>
      <c r="G40" s="649"/>
      <c r="H40" s="648">
        <v>7.1555999999999998E-3</v>
      </c>
      <c r="I40" s="649"/>
      <c r="J40" s="648">
        <v>2.7999999999999998E-4</v>
      </c>
      <c r="K40" s="649"/>
      <c r="L40" s="648">
        <v>1.6355600000000001E-2</v>
      </c>
      <c r="M40" s="649"/>
      <c r="N40" s="648">
        <v>8.6800000000000002E-3</v>
      </c>
      <c r="O40" s="649"/>
      <c r="P40" s="648"/>
      <c r="Q40" s="618"/>
      <c r="R40" s="618"/>
      <c r="S40" s="647"/>
      <c r="T40" s="615"/>
    </row>
    <row r="41" spans="1:20" s="616" customFormat="1" x14ac:dyDescent="0.3">
      <c r="A41" s="617"/>
      <c r="B41" s="618" t="s">
        <v>288</v>
      </c>
      <c r="C41" s="618"/>
      <c r="D41" s="624" t="s">
        <v>191</v>
      </c>
      <c r="E41" s="618"/>
      <c r="F41" s="624" t="s">
        <v>225</v>
      </c>
      <c r="G41" s="624"/>
      <c r="H41" s="624" t="s">
        <v>198</v>
      </c>
      <c r="I41" s="624"/>
      <c r="J41" s="624" t="s">
        <v>226</v>
      </c>
      <c r="K41" s="624"/>
      <c r="L41" s="624" t="s">
        <v>196</v>
      </c>
      <c r="M41" s="624"/>
      <c r="N41" s="624" t="s">
        <v>227</v>
      </c>
      <c r="O41" s="649"/>
      <c r="P41" s="648"/>
      <c r="Q41" s="618"/>
      <c r="R41" s="649"/>
      <c r="S41" s="647"/>
      <c r="T41" s="615"/>
    </row>
    <row r="42" spans="1:20" s="616" customFormat="1" x14ac:dyDescent="0.3">
      <c r="A42" s="617"/>
      <c r="B42" s="618" t="s">
        <v>289</v>
      </c>
      <c r="C42" s="618"/>
      <c r="D42" s="648">
        <f>+D39</f>
        <v>0</v>
      </c>
      <c r="E42" s="618"/>
      <c r="F42" s="648">
        <v>0</v>
      </c>
      <c r="G42" s="649"/>
      <c r="H42" s="648">
        <f>+H39</f>
        <v>6.7469000000000001E-3</v>
      </c>
      <c r="I42" s="649"/>
      <c r="J42" s="648">
        <v>7.5429E-3</v>
      </c>
      <c r="K42" s="649"/>
      <c r="L42" s="648">
        <f>+L39</f>
        <v>1.59469E-2</v>
      </c>
      <c r="M42" s="649"/>
      <c r="N42" s="648">
        <v>1.6700900000000001E-2</v>
      </c>
      <c r="O42" s="649"/>
      <c r="P42" s="648"/>
      <c r="Q42" s="618"/>
      <c r="R42" s="649">
        <f>SUMPRODUCT(D42:N42,D34:N34)/R34</f>
        <v>8.9632102305177291E-3</v>
      </c>
      <c r="S42" s="647"/>
      <c r="T42" s="615"/>
    </row>
    <row r="43" spans="1:20" s="616" customFormat="1" x14ac:dyDescent="0.3">
      <c r="A43" s="617"/>
      <c r="B43" s="618" t="s">
        <v>290</v>
      </c>
      <c r="C43" s="618"/>
      <c r="D43" s="648">
        <f>+D40</f>
        <v>0</v>
      </c>
      <c r="E43" s="618"/>
      <c r="F43" s="648">
        <v>0</v>
      </c>
      <c r="G43" s="649"/>
      <c r="H43" s="648">
        <f>+H40</f>
        <v>7.1555999999999998E-3</v>
      </c>
      <c r="I43" s="649"/>
      <c r="J43" s="648">
        <v>7.9515999999999996E-3</v>
      </c>
      <c r="K43" s="649"/>
      <c r="L43" s="648">
        <f>+L40</f>
        <v>1.6355600000000001E-2</v>
      </c>
      <c r="M43" s="649"/>
      <c r="N43" s="648">
        <v>1.7109599999999999E-2</v>
      </c>
      <c r="O43" s="649"/>
      <c r="P43" s="648"/>
      <c r="Q43" s="618"/>
      <c r="R43" s="618"/>
      <c r="S43" s="647"/>
      <c r="T43" s="615"/>
    </row>
    <row r="44" spans="1:20" s="616" customFormat="1" x14ac:dyDescent="0.3">
      <c r="A44" s="617"/>
      <c r="B44" s="618" t="s">
        <v>15</v>
      </c>
      <c r="C44" s="650"/>
      <c r="D44" s="650">
        <v>39736</v>
      </c>
      <c r="E44" s="650"/>
      <c r="F44" s="650">
        <v>39736</v>
      </c>
      <c r="G44" s="650"/>
      <c r="H44" s="650">
        <v>39736</v>
      </c>
      <c r="I44" s="650"/>
      <c r="J44" s="650">
        <v>39736</v>
      </c>
      <c r="K44" s="650"/>
      <c r="L44" s="650">
        <v>39736</v>
      </c>
      <c r="M44" s="650"/>
      <c r="N44" s="650">
        <v>39736</v>
      </c>
      <c r="O44" s="624"/>
      <c r="P44" s="624"/>
      <c r="Q44" s="618"/>
      <c r="R44" s="618"/>
      <c r="S44" s="647"/>
      <c r="T44" s="615"/>
    </row>
    <row r="45" spans="1:20" s="616" customFormat="1" x14ac:dyDescent="0.3">
      <c r="A45" s="617"/>
      <c r="B45" s="618" t="s">
        <v>16</v>
      </c>
      <c r="C45" s="650"/>
      <c r="D45" s="650">
        <v>40466</v>
      </c>
      <c r="E45" s="650"/>
      <c r="F45" s="650">
        <v>40466</v>
      </c>
      <c r="G45" s="650"/>
      <c r="H45" s="650">
        <v>40466</v>
      </c>
      <c r="I45" s="624"/>
      <c r="J45" s="650">
        <v>40466</v>
      </c>
      <c r="K45" s="624"/>
      <c r="L45" s="650">
        <v>40466</v>
      </c>
      <c r="M45" s="624"/>
      <c r="N45" s="650">
        <v>40466</v>
      </c>
      <c r="O45" s="624"/>
      <c r="P45" s="624"/>
      <c r="Q45" s="618"/>
      <c r="R45" s="618"/>
      <c r="S45" s="647"/>
      <c r="T45" s="615"/>
    </row>
    <row r="46" spans="1:20" s="616" customFormat="1" x14ac:dyDescent="0.3">
      <c r="A46" s="617"/>
      <c r="B46" s="618" t="s">
        <v>138</v>
      </c>
      <c r="C46" s="618"/>
      <c r="D46" s="624" t="s">
        <v>191</v>
      </c>
      <c r="E46" s="618"/>
      <c r="F46" s="624" t="s">
        <v>191</v>
      </c>
      <c r="G46" s="624"/>
      <c r="H46" s="624" t="s">
        <v>198</v>
      </c>
      <c r="I46" s="624"/>
      <c r="J46" s="624" t="s">
        <v>197</v>
      </c>
      <c r="K46" s="624"/>
      <c r="L46" s="624" t="s">
        <v>196</v>
      </c>
      <c r="M46" s="624"/>
      <c r="N46" s="624" t="s">
        <v>195</v>
      </c>
      <c r="O46" s="624"/>
      <c r="P46" s="624"/>
      <c r="Q46" s="618"/>
      <c r="R46" s="618"/>
      <c r="S46" s="647"/>
      <c r="T46" s="615"/>
    </row>
    <row r="47" spans="1:20" s="616" customFormat="1" x14ac:dyDescent="0.3">
      <c r="A47" s="617"/>
      <c r="B47" s="618" t="s">
        <v>291</v>
      </c>
      <c r="C47" s="618"/>
      <c r="D47" s="624" t="s">
        <v>191</v>
      </c>
      <c r="E47" s="618"/>
      <c r="F47" s="624" t="s">
        <v>225</v>
      </c>
      <c r="G47" s="624"/>
      <c r="H47" s="624" t="s">
        <v>198</v>
      </c>
      <c r="I47" s="624"/>
      <c r="J47" s="624" t="s">
        <v>226</v>
      </c>
      <c r="K47" s="624"/>
      <c r="L47" s="624" t="s">
        <v>196</v>
      </c>
      <c r="M47" s="624"/>
      <c r="N47" s="624" t="s">
        <v>227</v>
      </c>
      <c r="O47" s="624"/>
      <c r="P47" s="624"/>
      <c r="Q47" s="618"/>
      <c r="R47" s="618"/>
      <c r="S47" s="647"/>
      <c r="T47" s="615"/>
    </row>
    <row r="48" spans="1:20" s="616" customFormat="1" x14ac:dyDescent="0.3">
      <c r="A48" s="617"/>
      <c r="B48" s="618"/>
      <c r="C48" s="618"/>
      <c r="D48" s="618"/>
      <c r="E48" s="618"/>
      <c r="F48" s="624"/>
      <c r="G48" s="624"/>
      <c r="H48" s="651"/>
      <c r="I48" s="652"/>
      <c r="J48" s="651"/>
      <c r="K48" s="652"/>
      <c r="L48" s="651"/>
      <c r="M48" s="652"/>
      <c r="N48" s="651"/>
      <c r="O48" s="652"/>
      <c r="P48" s="652"/>
      <c r="Q48" s="652"/>
      <c r="R48" s="652"/>
      <c r="S48" s="647"/>
      <c r="T48" s="615"/>
    </row>
    <row r="49" spans="1:21" s="616" customFormat="1" x14ac:dyDescent="0.3">
      <c r="A49" s="617"/>
      <c r="B49" s="618" t="s">
        <v>17</v>
      </c>
      <c r="C49" s="618"/>
      <c r="D49" s="618"/>
      <c r="E49" s="618"/>
      <c r="F49" s="653"/>
      <c r="G49" s="618"/>
      <c r="H49" s="651"/>
      <c r="I49" s="652"/>
      <c r="J49" s="651"/>
      <c r="K49" s="652"/>
      <c r="L49" s="651"/>
      <c r="M49" s="652"/>
      <c r="N49" s="651"/>
      <c r="O49" s="618"/>
      <c r="P49" s="618"/>
      <c r="Q49" s="618"/>
      <c r="R49" s="649">
        <f>SUM(L33:N33)/SUM(D33:J33)</f>
        <v>0.1111111111111111</v>
      </c>
      <c r="S49" s="647"/>
      <c r="T49" s="615"/>
    </row>
    <row r="50" spans="1:21" s="616" customFormat="1" x14ac:dyDescent="0.3">
      <c r="A50" s="617"/>
      <c r="B50" s="618" t="s">
        <v>18</v>
      </c>
      <c r="C50" s="618"/>
      <c r="D50" s="618"/>
      <c r="E50" s="618"/>
      <c r="F50" s="653"/>
      <c r="G50" s="618"/>
      <c r="H50" s="618"/>
      <c r="I50" s="618"/>
      <c r="J50" s="618"/>
      <c r="K50" s="618"/>
      <c r="L50" s="618"/>
      <c r="M50" s="618"/>
      <c r="N50" s="618"/>
      <c r="O50" s="618"/>
      <c r="P50" s="618"/>
      <c r="Q50" s="618"/>
      <c r="R50" s="649">
        <f>SUM(L35:N35)/SUM(D35:J35)</f>
        <v>0.24999900856070426</v>
      </c>
      <c r="S50" s="647"/>
      <c r="T50" s="615"/>
    </row>
    <row r="51" spans="1:21" s="616" customFormat="1" x14ac:dyDescent="0.3">
      <c r="A51" s="617"/>
      <c r="B51" s="618" t="s">
        <v>19</v>
      </c>
      <c r="C51" s="618"/>
      <c r="D51" s="618"/>
      <c r="E51" s="618"/>
      <c r="F51" s="618"/>
      <c r="G51" s="618"/>
      <c r="H51" s="618"/>
      <c r="I51" s="618"/>
      <c r="J51" s="618"/>
      <c r="K51" s="618"/>
      <c r="L51" s="618"/>
      <c r="M51" s="618"/>
      <c r="N51" s="618"/>
      <c r="O51" s="618"/>
      <c r="P51" s="624" t="s">
        <v>117</v>
      </c>
      <c r="Q51" s="624" t="s">
        <v>124</v>
      </c>
      <c r="R51" s="626">
        <f>+R33/2-SUM(L33:N33)</f>
        <v>400000</v>
      </c>
      <c r="S51" s="647"/>
      <c r="T51" s="615"/>
    </row>
    <row r="52" spans="1:21" s="616" customFormat="1" x14ac:dyDescent="0.3">
      <c r="A52" s="617"/>
      <c r="B52" s="618"/>
      <c r="C52" s="618"/>
      <c r="D52" s="618"/>
      <c r="E52" s="618"/>
      <c r="F52" s="618"/>
      <c r="G52" s="618"/>
      <c r="H52" s="618"/>
      <c r="I52" s="618"/>
      <c r="J52" s="618"/>
      <c r="K52" s="618"/>
      <c r="L52" s="618"/>
      <c r="M52" s="618"/>
      <c r="N52" s="618"/>
      <c r="O52" s="618"/>
      <c r="P52" s="618" t="s">
        <v>282</v>
      </c>
      <c r="Q52" s="618"/>
      <c r="R52" s="654"/>
      <c r="S52" s="647"/>
      <c r="T52" s="615"/>
    </row>
    <row r="53" spans="1:21" s="616" customFormat="1" x14ac:dyDescent="0.3">
      <c r="A53" s="617"/>
      <c r="B53" s="618" t="s">
        <v>166</v>
      </c>
      <c r="C53" s="618"/>
      <c r="D53" s="618"/>
      <c r="E53" s="618"/>
      <c r="F53" s="618"/>
      <c r="G53" s="618"/>
      <c r="H53" s="618"/>
      <c r="I53" s="618"/>
      <c r="J53" s="618"/>
      <c r="K53" s="618"/>
      <c r="L53" s="618"/>
      <c r="M53" s="618"/>
      <c r="N53" s="618"/>
      <c r="O53" s="618"/>
      <c r="P53" s="624"/>
      <c r="Q53" s="624"/>
      <c r="R53" s="624" t="s">
        <v>126</v>
      </c>
      <c r="S53" s="647"/>
      <c r="T53" s="615"/>
    </row>
    <row r="54" spans="1:21" s="616" customFormat="1" x14ac:dyDescent="0.3">
      <c r="A54" s="617"/>
      <c r="B54" s="622" t="s">
        <v>167</v>
      </c>
      <c r="C54" s="622"/>
      <c r="D54" s="622"/>
      <c r="E54" s="622"/>
      <c r="F54" s="622"/>
      <c r="G54" s="622"/>
      <c r="H54" s="622"/>
      <c r="I54" s="622"/>
      <c r="J54" s="622"/>
      <c r="K54" s="622"/>
      <c r="L54" s="622"/>
      <c r="M54" s="622"/>
      <c r="N54" s="622"/>
      <c r="O54" s="622"/>
      <c r="P54" s="655"/>
      <c r="Q54" s="655"/>
      <c r="R54" s="656">
        <v>43024</v>
      </c>
      <c r="S54" s="647"/>
      <c r="T54" s="615"/>
    </row>
    <row r="55" spans="1:21" s="616" customFormat="1" x14ac:dyDescent="0.3">
      <c r="A55" s="617"/>
      <c r="B55" s="618" t="s">
        <v>140</v>
      </c>
      <c r="C55" s="618"/>
      <c r="D55" s="618"/>
      <c r="E55" s="618"/>
      <c r="F55" s="618"/>
      <c r="G55" s="618"/>
      <c r="H55" s="657"/>
      <c r="I55" s="657"/>
      <c r="J55" s="657"/>
      <c r="K55" s="657"/>
      <c r="L55" s="657"/>
      <c r="M55" s="657"/>
      <c r="N55" s="618">
        <f>+R55-P55+1</f>
        <v>90</v>
      </c>
      <c r="O55" s="657"/>
      <c r="P55" s="658">
        <v>42843</v>
      </c>
      <c r="Q55" s="659"/>
      <c r="R55" s="658">
        <v>42932</v>
      </c>
      <c r="S55" s="647"/>
      <c r="T55" s="615"/>
    </row>
    <row r="56" spans="1:21" s="616" customFormat="1" x14ac:dyDescent="0.3">
      <c r="A56" s="617"/>
      <c r="B56" s="618" t="s">
        <v>141</v>
      </c>
      <c r="C56" s="618"/>
      <c r="D56" s="618"/>
      <c r="E56" s="618"/>
      <c r="F56" s="618"/>
      <c r="G56" s="618"/>
      <c r="H56" s="618"/>
      <c r="I56" s="618"/>
      <c r="J56" s="618"/>
      <c r="K56" s="618"/>
      <c r="L56" s="618"/>
      <c r="M56" s="618"/>
      <c r="N56" s="618">
        <f>+R56-P56+1</f>
        <v>91</v>
      </c>
      <c r="O56" s="618"/>
      <c r="P56" s="658">
        <v>42933</v>
      </c>
      <c r="Q56" s="659"/>
      <c r="R56" s="658">
        <v>43023</v>
      </c>
      <c r="S56" s="647"/>
      <c r="T56" s="615"/>
    </row>
    <row r="57" spans="1:21" s="616" customFormat="1" x14ac:dyDescent="0.3">
      <c r="A57" s="617"/>
      <c r="B57" s="618" t="s">
        <v>229</v>
      </c>
      <c r="C57" s="618"/>
      <c r="D57" s="618"/>
      <c r="E57" s="618"/>
      <c r="F57" s="618"/>
      <c r="G57" s="618"/>
      <c r="H57" s="618"/>
      <c r="I57" s="618"/>
      <c r="J57" s="618"/>
      <c r="K57" s="618"/>
      <c r="L57" s="618"/>
      <c r="M57" s="618"/>
      <c r="N57" s="618"/>
      <c r="O57" s="618"/>
      <c r="P57" s="658"/>
      <c r="Q57" s="659"/>
      <c r="R57" s="658" t="s">
        <v>139</v>
      </c>
      <c r="S57" s="647"/>
      <c r="T57" s="615"/>
    </row>
    <row r="58" spans="1:21" s="616" customFormat="1" x14ac:dyDescent="0.3">
      <c r="A58" s="617"/>
      <c r="B58" s="618" t="s">
        <v>228</v>
      </c>
      <c r="C58" s="618"/>
      <c r="D58" s="618"/>
      <c r="E58" s="618"/>
      <c r="F58" s="618"/>
      <c r="G58" s="618"/>
      <c r="H58" s="618"/>
      <c r="I58" s="618"/>
      <c r="J58" s="618"/>
      <c r="K58" s="618"/>
      <c r="L58" s="618"/>
      <c r="M58" s="618"/>
      <c r="N58" s="618"/>
      <c r="O58" s="618"/>
      <c r="P58" s="658"/>
      <c r="Q58" s="659"/>
      <c r="R58" s="658" t="s">
        <v>204</v>
      </c>
      <c r="S58" s="647"/>
      <c r="T58" s="615"/>
      <c r="U58" s="660"/>
    </row>
    <row r="59" spans="1:21" s="616" customFormat="1" x14ac:dyDescent="0.3">
      <c r="A59" s="617"/>
      <c r="B59" s="618" t="s">
        <v>20</v>
      </c>
      <c r="C59" s="618"/>
      <c r="D59" s="618"/>
      <c r="E59" s="618"/>
      <c r="F59" s="618"/>
      <c r="G59" s="618"/>
      <c r="H59" s="618"/>
      <c r="I59" s="618"/>
      <c r="J59" s="618"/>
      <c r="K59" s="618"/>
      <c r="L59" s="618"/>
      <c r="M59" s="618"/>
      <c r="N59" s="618"/>
      <c r="O59" s="618"/>
      <c r="P59" s="658"/>
      <c r="Q59" s="659"/>
      <c r="R59" s="658">
        <v>43010</v>
      </c>
      <c r="S59" s="647"/>
      <c r="T59" s="615"/>
    </row>
    <row r="60" spans="1:21" s="616" customFormat="1" x14ac:dyDescent="0.3">
      <c r="A60" s="611"/>
      <c r="B60" s="661"/>
      <c r="C60" s="661"/>
      <c r="D60" s="661"/>
      <c r="E60" s="661"/>
      <c r="F60" s="661"/>
      <c r="G60" s="661"/>
      <c r="H60" s="661"/>
      <c r="I60" s="661"/>
      <c r="J60" s="661"/>
      <c r="K60" s="661"/>
      <c r="L60" s="661"/>
      <c r="M60" s="661"/>
      <c r="N60" s="661"/>
      <c r="O60" s="661"/>
      <c r="P60" s="662"/>
      <c r="Q60" s="663"/>
      <c r="R60" s="662"/>
      <c r="S60" s="664"/>
      <c r="T60" s="665"/>
    </row>
    <row r="61" spans="1:21" s="616" customFormat="1" x14ac:dyDescent="0.3">
      <c r="A61" s="611"/>
      <c r="B61" s="600"/>
      <c r="C61" s="600"/>
      <c r="D61" s="600"/>
      <c r="E61" s="600"/>
      <c r="F61" s="600"/>
      <c r="G61" s="600"/>
      <c r="H61" s="600"/>
      <c r="I61" s="600"/>
      <c r="J61" s="600"/>
      <c r="K61" s="600"/>
      <c r="L61" s="600"/>
      <c r="M61" s="600"/>
      <c r="N61" s="600"/>
      <c r="O61" s="600"/>
      <c r="P61" s="666"/>
      <c r="Q61" s="667"/>
      <c r="R61" s="666"/>
      <c r="S61" s="668"/>
      <c r="T61" s="665"/>
    </row>
    <row r="62" spans="1:21" s="616" customFormat="1" ht="18.600000000000001" thickBot="1" x14ac:dyDescent="0.4">
      <c r="A62" s="669"/>
      <c r="B62" s="670" t="s">
        <v>340</v>
      </c>
      <c r="C62" s="671"/>
      <c r="D62" s="671"/>
      <c r="E62" s="671"/>
      <c r="F62" s="671"/>
      <c r="G62" s="671"/>
      <c r="H62" s="671"/>
      <c r="I62" s="671"/>
      <c r="J62" s="671"/>
      <c r="K62" s="671"/>
      <c r="L62" s="671"/>
      <c r="M62" s="671"/>
      <c r="N62" s="671"/>
      <c r="O62" s="671"/>
      <c r="P62" s="671"/>
      <c r="Q62" s="671"/>
      <c r="R62" s="672"/>
      <c r="S62" s="673"/>
      <c r="T62" s="615"/>
    </row>
    <row r="63" spans="1:21" x14ac:dyDescent="0.3">
      <c r="A63" s="674"/>
      <c r="B63" s="675" t="s">
        <v>21</v>
      </c>
      <c r="C63" s="676"/>
      <c r="D63" s="676"/>
      <c r="E63" s="676"/>
      <c r="F63" s="676"/>
      <c r="G63" s="676"/>
      <c r="H63" s="676"/>
      <c r="I63" s="676"/>
      <c r="J63" s="676"/>
      <c r="K63" s="676"/>
      <c r="L63" s="676"/>
      <c r="M63" s="676"/>
      <c r="N63" s="676"/>
      <c r="O63" s="676"/>
      <c r="P63" s="676"/>
      <c r="Q63" s="676"/>
      <c r="R63" s="677"/>
      <c r="S63" s="678"/>
      <c r="T63" s="579"/>
    </row>
    <row r="64" spans="1:21" x14ac:dyDescent="0.3">
      <c r="A64" s="581"/>
      <c r="B64" s="591"/>
      <c r="C64" s="583"/>
      <c r="D64" s="583"/>
      <c r="E64" s="583"/>
      <c r="F64" s="583"/>
      <c r="G64" s="583"/>
      <c r="H64" s="583"/>
      <c r="I64" s="583"/>
      <c r="J64" s="583"/>
      <c r="K64" s="583"/>
      <c r="L64" s="583"/>
      <c r="M64" s="583"/>
      <c r="N64" s="583"/>
      <c r="O64" s="583"/>
      <c r="P64" s="583"/>
      <c r="Q64" s="583"/>
      <c r="R64" s="679"/>
      <c r="S64" s="584"/>
      <c r="T64" s="579"/>
    </row>
    <row r="65" spans="1:20" ht="46.8" x14ac:dyDescent="0.3">
      <c r="A65" s="581"/>
      <c r="B65" s="680" t="s">
        <v>22</v>
      </c>
      <c r="C65" s="681"/>
      <c r="D65" s="681"/>
      <c r="E65" s="681"/>
      <c r="F65" s="681"/>
      <c r="G65" s="681"/>
      <c r="H65" s="682" t="s">
        <v>105</v>
      </c>
      <c r="I65" s="682"/>
      <c r="J65" s="682" t="s">
        <v>107</v>
      </c>
      <c r="K65" s="682"/>
      <c r="L65" s="682" t="s">
        <v>109</v>
      </c>
      <c r="M65" s="682"/>
      <c r="N65" s="682" t="s">
        <v>111</v>
      </c>
      <c r="O65" s="682"/>
      <c r="P65" s="682" t="s">
        <v>118</v>
      </c>
      <c r="Q65" s="682"/>
      <c r="R65" s="683" t="s">
        <v>127</v>
      </c>
      <c r="S65" s="684"/>
      <c r="T65" s="579"/>
    </row>
    <row r="66" spans="1:20" s="616" customFormat="1" x14ac:dyDescent="0.3">
      <c r="A66" s="685"/>
      <c r="B66" s="686" t="s">
        <v>23</v>
      </c>
      <c r="C66" s="687"/>
      <c r="D66" s="687"/>
      <c r="E66" s="687"/>
      <c r="F66" s="687"/>
      <c r="G66" s="687"/>
      <c r="H66" s="687">
        <v>729883</v>
      </c>
      <c r="I66" s="687"/>
      <c r="J66" s="688">
        <v>349042</v>
      </c>
      <c r="K66" s="687"/>
      <c r="L66" s="687">
        <f>4845+80+1</f>
        <v>4926</v>
      </c>
      <c r="M66" s="687"/>
      <c r="N66" s="687">
        <v>80</v>
      </c>
      <c r="O66" s="687"/>
      <c r="P66" s="687">
        <v>0</v>
      </c>
      <c r="Q66" s="687"/>
      <c r="R66" s="688">
        <f>+J66-L66+N66-P66</f>
        <v>344196</v>
      </c>
      <c r="S66" s="689"/>
      <c r="T66" s="615"/>
    </row>
    <row r="67" spans="1:20" s="616" customFormat="1" x14ac:dyDescent="0.3">
      <c r="A67" s="685"/>
      <c r="B67" s="686" t="s">
        <v>24</v>
      </c>
      <c r="C67" s="687"/>
      <c r="D67" s="687"/>
      <c r="E67" s="687"/>
      <c r="F67" s="687"/>
      <c r="G67" s="687"/>
      <c r="H67" s="687">
        <v>184</v>
      </c>
      <c r="I67" s="687"/>
      <c r="J67" s="688">
        <v>0</v>
      </c>
      <c r="K67" s="687"/>
      <c r="L67" s="687">
        <v>0</v>
      </c>
      <c r="M67" s="687"/>
      <c r="N67" s="687">
        <v>0</v>
      </c>
      <c r="O67" s="687"/>
      <c r="P67" s="687">
        <v>0</v>
      </c>
      <c r="Q67" s="687"/>
      <c r="R67" s="688">
        <f>+J67-L67</f>
        <v>0</v>
      </c>
      <c r="S67" s="689"/>
      <c r="T67" s="615"/>
    </row>
    <row r="68" spans="1:20" s="616" customFormat="1" x14ac:dyDescent="0.3">
      <c r="A68" s="685"/>
      <c r="B68" s="686"/>
      <c r="C68" s="687"/>
      <c r="D68" s="687"/>
      <c r="E68" s="687"/>
      <c r="F68" s="687"/>
      <c r="G68" s="687"/>
      <c r="H68" s="687"/>
      <c r="I68" s="687"/>
      <c r="J68" s="688"/>
      <c r="K68" s="687"/>
      <c r="L68" s="687"/>
      <c r="M68" s="687"/>
      <c r="N68" s="687"/>
      <c r="O68" s="687"/>
      <c r="P68" s="687"/>
      <c r="Q68" s="687"/>
      <c r="R68" s="688"/>
      <c r="S68" s="689"/>
      <c r="T68" s="615"/>
    </row>
    <row r="69" spans="1:20" s="616" customFormat="1" x14ac:dyDescent="0.3">
      <c r="A69" s="685"/>
      <c r="B69" s="686" t="s">
        <v>25</v>
      </c>
      <c r="C69" s="687"/>
      <c r="D69" s="687"/>
      <c r="E69" s="687"/>
      <c r="F69" s="687"/>
      <c r="G69" s="687"/>
      <c r="H69" s="687">
        <f>SUM(H66:H68)</f>
        <v>730067</v>
      </c>
      <c r="I69" s="687"/>
      <c r="J69" s="687">
        <f>J66+J67</f>
        <v>349042</v>
      </c>
      <c r="K69" s="687"/>
      <c r="L69" s="687">
        <f>SUM(L66:L68)</f>
        <v>4926</v>
      </c>
      <c r="M69" s="687"/>
      <c r="N69" s="687">
        <f>SUM(N66:N68)</f>
        <v>80</v>
      </c>
      <c r="O69" s="687"/>
      <c r="P69" s="687">
        <f>SUM(P66:P68)</f>
        <v>0</v>
      </c>
      <c r="Q69" s="687"/>
      <c r="R69" s="687">
        <f>SUM(R66:R68)</f>
        <v>344196</v>
      </c>
      <c r="S69" s="689"/>
      <c r="T69" s="615"/>
    </row>
    <row r="70" spans="1:20" x14ac:dyDescent="0.3">
      <c r="A70" s="581"/>
      <c r="B70" s="690"/>
      <c r="C70" s="691"/>
      <c r="D70" s="691"/>
      <c r="E70" s="691"/>
      <c r="F70" s="691"/>
      <c r="G70" s="691"/>
      <c r="H70" s="691"/>
      <c r="I70" s="691"/>
      <c r="J70" s="691"/>
      <c r="K70" s="691"/>
      <c r="L70" s="691"/>
      <c r="M70" s="691"/>
      <c r="N70" s="691"/>
      <c r="O70" s="691"/>
      <c r="P70" s="691"/>
      <c r="Q70" s="691"/>
      <c r="R70" s="692"/>
      <c r="S70" s="693"/>
      <c r="T70" s="694"/>
    </row>
    <row r="71" spans="1:20" x14ac:dyDescent="0.3">
      <c r="A71" s="581"/>
      <c r="B71" s="586" t="s">
        <v>26</v>
      </c>
      <c r="C71" s="695"/>
      <c r="D71" s="695"/>
      <c r="E71" s="695"/>
      <c r="F71" s="695"/>
      <c r="G71" s="695"/>
      <c r="H71" s="695"/>
      <c r="I71" s="695"/>
      <c r="J71" s="695"/>
      <c r="K71" s="695"/>
      <c r="L71" s="695"/>
      <c r="M71" s="695"/>
      <c r="N71" s="695"/>
      <c r="O71" s="695"/>
      <c r="P71" s="695"/>
      <c r="Q71" s="695"/>
      <c r="R71" s="696"/>
      <c r="S71" s="697"/>
      <c r="T71" s="694"/>
    </row>
    <row r="72" spans="1:20" x14ac:dyDescent="0.3">
      <c r="A72" s="581"/>
      <c r="B72" s="583"/>
      <c r="C72" s="695"/>
      <c r="D72" s="695"/>
      <c r="E72" s="695"/>
      <c r="F72" s="695"/>
      <c r="G72" s="695"/>
      <c r="H72" s="695"/>
      <c r="I72" s="695"/>
      <c r="J72" s="695"/>
      <c r="K72" s="695"/>
      <c r="L72" s="695"/>
      <c r="M72" s="695"/>
      <c r="N72" s="695"/>
      <c r="O72" s="695"/>
      <c r="P72" s="695"/>
      <c r="Q72" s="695"/>
      <c r="R72" s="696"/>
      <c r="S72" s="698"/>
      <c r="T72" s="694"/>
    </row>
    <row r="73" spans="1:20" s="616" customFormat="1" x14ac:dyDescent="0.3">
      <c r="A73" s="685"/>
      <c r="B73" s="686" t="s">
        <v>23</v>
      </c>
      <c r="C73" s="699"/>
      <c r="D73" s="699"/>
      <c r="E73" s="699"/>
      <c r="F73" s="699"/>
      <c r="G73" s="699"/>
      <c r="H73" s="699"/>
      <c r="I73" s="699"/>
      <c r="J73" s="699"/>
      <c r="K73" s="699"/>
      <c r="L73" s="699"/>
      <c r="M73" s="699"/>
      <c r="N73" s="699"/>
      <c r="O73" s="699"/>
      <c r="P73" s="699"/>
      <c r="Q73" s="699"/>
      <c r="R73" s="699"/>
      <c r="S73" s="689"/>
      <c r="T73" s="615"/>
    </row>
    <row r="74" spans="1:20" s="616" customFormat="1" x14ac:dyDescent="0.3">
      <c r="A74" s="685"/>
      <c r="B74" s="686" t="s">
        <v>24</v>
      </c>
      <c r="C74" s="699"/>
      <c r="D74" s="699"/>
      <c r="E74" s="699"/>
      <c r="F74" s="699"/>
      <c r="G74" s="699"/>
      <c r="H74" s="699"/>
      <c r="I74" s="699"/>
      <c r="J74" s="699"/>
      <c r="K74" s="699"/>
      <c r="L74" s="699"/>
      <c r="M74" s="699"/>
      <c r="N74" s="699"/>
      <c r="O74" s="699"/>
      <c r="P74" s="699"/>
      <c r="Q74" s="699"/>
      <c r="R74" s="699"/>
      <c r="S74" s="689"/>
      <c r="T74" s="615"/>
    </row>
    <row r="75" spans="1:20" s="616" customFormat="1" x14ac:dyDescent="0.3">
      <c r="A75" s="685"/>
      <c r="B75" s="700"/>
      <c r="C75" s="699"/>
      <c r="D75" s="699"/>
      <c r="E75" s="699"/>
      <c r="F75" s="699"/>
      <c r="G75" s="699"/>
      <c r="H75" s="699"/>
      <c r="I75" s="699"/>
      <c r="J75" s="699"/>
      <c r="K75" s="699"/>
      <c r="L75" s="699"/>
      <c r="M75" s="699"/>
      <c r="N75" s="699"/>
      <c r="O75" s="699"/>
      <c r="P75" s="699"/>
      <c r="Q75" s="699"/>
      <c r="R75" s="699"/>
      <c r="S75" s="689"/>
      <c r="T75" s="615"/>
    </row>
    <row r="76" spans="1:20" s="616" customFormat="1" x14ac:dyDescent="0.3">
      <c r="A76" s="685"/>
      <c r="B76" s="686" t="s">
        <v>25</v>
      </c>
      <c r="C76" s="687"/>
      <c r="D76" s="687"/>
      <c r="E76" s="687"/>
      <c r="F76" s="687"/>
      <c r="G76" s="687"/>
      <c r="H76" s="687"/>
      <c r="I76" s="687"/>
      <c r="J76" s="687"/>
      <c r="K76" s="687"/>
      <c r="L76" s="687"/>
      <c r="M76" s="687"/>
      <c r="N76" s="687"/>
      <c r="O76" s="687"/>
      <c r="P76" s="687"/>
      <c r="Q76" s="687"/>
      <c r="R76" s="687"/>
      <c r="S76" s="689"/>
      <c r="T76" s="615"/>
    </row>
    <row r="77" spans="1:20" s="616" customFormat="1" x14ac:dyDescent="0.3">
      <c r="A77" s="685"/>
      <c r="B77" s="686"/>
      <c r="C77" s="687"/>
      <c r="D77" s="687"/>
      <c r="E77" s="687"/>
      <c r="F77" s="687"/>
      <c r="G77" s="687"/>
      <c r="H77" s="687"/>
      <c r="I77" s="687"/>
      <c r="J77" s="687"/>
      <c r="K77" s="687"/>
      <c r="L77" s="687"/>
      <c r="M77" s="687"/>
      <c r="N77" s="687"/>
      <c r="O77" s="687"/>
      <c r="P77" s="687"/>
      <c r="Q77" s="687"/>
      <c r="R77" s="687"/>
      <c r="S77" s="689"/>
      <c r="T77" s="615"/>
    </row>
    <row r="78" spans="1:20" s="616" customFormat="1" x14ac:dyDescent="0.3">
      <c r="A78" s="685"/>
      <c r="B78" s="686" t="s">
        <v>27</v>
      </c>
      <c r="C78" s="687"/>
      <c r="D78" s="687"/>
      <c r="E78" s="687"/>
      <c r="F78" s="687"/>
      <c r="G78" s="687"/>
      <c r="H78" s="687">
        <v>0</v>
      </c>
      <c r="I78" s="687"/>
      <c r="J78" s="687">
        <v>0</v>
      </c>
      <c r="K78" s="687"/>
      <c r="L78" s="687"/>
      <c r="M78" s="687"/>
      <c r="N78" s="687"/>
      <c r="O78" s="687"/>
      <c r="P78" s="687"/>
      <c r="Q78" s="687"/>
      <c r="R78" s="688">
        <v>0</v>
      </c>
      <c r="S78" s="689"/>
      <c r="T78" s="615"/>
    </row>
    <row r="79" spans="1:20" s="616" customFormat="1" x14ac:dyDescent="0.3">
      <c r="A79" s="685"/>
      <c r="B79" s="686" t="s">
        <v>132</v>
      </c>
      <c r="C79" s="687"/>
      <c r="D79" s="687"/>
      <c r="E79" s="687"/>
      <c r="F79" s="687"/>
      <c r="G79" s="687"/>
      <c r="H79" s="687">
        <v>269933</v>
      </c>
      <c r="I79" s="687"/>
      <c r="J79" s="687">
        <v>0</v>
      </c>
      <c r="K79" s="687"/>
      <c r="L79" s="687"/>
      <c r="M79" s="687"/>
      <c r="N79" s="687"/>
      <c r="O79" s="687"/>
      <c r="P79" s="687"/>
      <c r="Q79" s="687"/>
      <c r="R79" s="687">
        <f>SUM(J79:N79)</f>
        <v>0</v>
      </c>
      <c r="S79" s="689"/>
      <c r="T79" s="615"/>
    </row>
    <row r="80" spans="1:20" s="616" customFormat="1" x14ac:dyDescent="0.3">
      <c r="A80" s="685"/>
      <c r="B80" s="686" t="s">
        <v>170</v>
      </c>
      <c r="C80" s="687"/>
      <c r="D80" s="687"/>
      <c r="E80" s="687"/>
      <c r="F80" s="687"/>
      <c r="G80" s="687"/>
      <c r="H80" s="687">
        <v>0</v>
      </c>
      <c r="I80" s="687"/>
      <c r="J80" s="687">
        <v>0</v>
      </c>
      <c r="K80" s="687"/>
      <c r="L80" s="687"/>
      <c r="M80" s="687"/>
      <c r="N80" s="687"/>
      <c r="O80" s="687"/>
      <c r="P80" s="687"/>
      <c r="Q80" s="687"/>
      <c r="R80" s="687">
        <v>0</v>
      </c>
      <c r="S80" s="689"/>
      <c r="T80" s="615"/>
    </row>
    <row r="81" spans="1:20" s="616" customFormat="1" x14ac:dyDescent="0.3">
      <c r="A81" s="685"/>
      <c r="B81" s="686" t="s">
        <v>29</v>
      </c>
      <c r="C81" s="687"/>
      <c r="D81" s="687"/>
      <c r="E81" s="687"/>
      <c r="F81" s="687"/>
      <c r="G81" s="687"/>
      <c r="H81" s="687">
        <v>0</v>
      </c>
      <c r="I81" s="687"/>
      <c r="J81" s="687">
        <v>0</v>
      </c>
      <c r="K81" s="687"/>
      <c r="L81" s="687"/>
      <c r="M81" s="687"/>
      <c r="N81" s="687"/>
      <c r="O81" s="687"/>
      <c r="P81" s="687"/>
      <c r="Q81" s="687"/>
      <c r="R81" s="687">
        <v>0</v>
      </c>
      <c r="S81" s="689"/>
      <c r="T81" s="615"/>
    </row>
    <row r="82" spans="1:20" s="616" customFormat="1" x14ac:dyDescent="0.3">
      <c r="A82" s="685"/>
      <c r="B82" s="686" t="s">
        <v>30</v>
      </c>
      <c r="C82" s="687"/>
      <c r="D82" s="687"/>
      <c r="E82" s="687"/>
      <c r="F82" s="687"/>
      <c r="G82" s="687"/>
      <c r="H82" s="687">
        <f>SUM(H69:H81)</f>
        <v>1000000</v>
      </c>
      <c r="I82" s="687"/>
      <c r="J82" s="687">
        <f>SUM(J69:J81)</f>
        <v>349042</v>
      </c>
      <c r="K82" s="687"/>
      <c r="L82" s="687"/>
      <c r="M82" s="687"/>
      <c r="N82" s="687"/>
      <c r="O82" s="687"/>
      <c r="P82" s="687"/>
      <c r="Q82" s="687"/>
      <c r="R82" s="687">
        <f>SUM(R69:R81)</f>
        <v>344196</v>
      </c>
      <c r="S82" s="689"/>
      <c r="T82" s="615"/>
    </row>
    <row r="83" spans="1:20" x14ac:dyDescent="0.3">
      <c r="A83" s="581"/>
      <c r="B83" s="690"/>
      <c r="C83" s="691"/>
      <c r="D83" s="691"/>
      <c r="E83" s="691"/>
      <c r="F83" s="691"/>
      <c r="G83" s="691"/>
      <c r="H83" s="691"/>
      <c r="I83" s="691"/>
      <c r="J83" s="691"/>
      <c r="K83" s="691"/>
      <c r="L83" s="691"/>
      <c r="M83" s="691"/>
      <c r="N83" s="691"/>
      <c r="O83" s="691"/>
      <c r="P83" s="691"/>
      <c r="Q83" s="691"/>
      <c r="R83" s="692"/>
      <c r="S83" s="693"/>
      <c r="T83" s="694"/>
    </row>
    <row r="84" spans="1:20" x14ac:dyDescent="0.3">
      <c r="A84" s="581"/>
      <c r="B84" s="583"/>
      <c r="C84" s="583"/>
      <c r="D84" s="583"/>
      <c r="E84" s="583"/>
      <c r="F84" s="583"/>
      <c r="G84" s="583"/>
      <c r="H84" s="583"/>
      <c r="I84" s="583"/>
      <c r="J84" s="583"/>
      <c r="K84" s="583"/>
      <c r="L84" s="583"/>
      <c r="M84" s="583"/>
      <c r="N84" s="583"/>
      <c r="O84" s="583"/>
      <c r="P84" s="583"/>
      <c r="Q84" s="583"/>
      <c r="R84" s="583"/>
      <c r="S84" s="697"/>
      <c r="T84" s="694"/>
    </row>
    <row r="85" spans="1:20" x14ac:dyDescent="0.3">
      <c r="A85" s="674"/>
      <c r="B85" s="701" t="s">
        <v>31</v>
      </c>
      <c r="C85" s="701"/>
      <c r="D85" s="701"/>
      <c r="E85" s="701"/>
      <c r="F85" s="701"/>
      <c r="G85" s="701"/>
      <c r="H85" s="702" t="s">
        <v>106</v>
      </c>
      <c r="I85" s="703"/>
      <c r="J85" s="704">
        <f>+P190</f>
        <v>43007</v>
      </c>
      <c r="K85" s="703"/>
      <c r="L85" s="703"/>
      <c r="M85" s="703"/>
      <c r="N85" s="703"/>
      <c r="O85" s="703"/>
      <c r="P85" s="703" t="s">
        <v>119</v>
      </c>
      <c r="Q85" s="703"/>
      <c r="R85" s="703" t="s">
        <v>128</v>
      </c>
      <c r="S85" s="705"/>
      <c r="T85" s="579"/>
    </row>
    <row r="86" spans="1:20" s="616" customFormat="1" x14ac:dyDescent="0.3">
      <c r="A86" s="611"/>
      <c r="B86" s="612" t="s">
        <v>32</v>
      </c>
      <c r="C86" s="612"/>
      <c r="D86" s="612"/>
      <c r="E86" s="612"/>
      <c r="F86" s="612"/>
      <c r="G86" s="612"/>
      <c r="H86" s="612"/>
      <c r="I86" s="612"/>
      <c r="J86" s="612"/>
      <c r="K86" s="612"/>
      <c r="L86" s="612"/>
      <c r="M86" s="612"/>
      <c r="N86" s="612"/>
      <c r="O86" s="612"/>
      <c r="P86" s="706">
        <v>0</v>
      </c>
      <c r="Q86" s="612"/>
      <c r="R86" s="707">
        <v>0</v>
      </c>
      <c r="S86" s="661"/>
      <c r="T86" s="615"/>
    </row>
    <row r="87" spans="1:20" s="616" customFormat="1" x14ac:dyDescent="0.3">
      <c r="A87" s="685"/>
      <c r="B87" s="686" t="s">
        <v>33</v>
      </c>
      <c r="C87" s="686"/>
      <c r="D87" s="686"/>
      <c r="E87" s="686"/>
      <c r="F87" s="686"/>
      <c r="G87" s="686"/>
      <c r="H87" s="708" t="s">
        <v>255</v>
      </c>
      <c r="I87" s="709"/>
      <c r="J87" s="710" t="s">
        <v>255</v>
      </c>
      <c r="K87" s="686"/>
      <c r="L87" s="686"/>
      <c r="M87" s="686"/>
      <c r="N87" s="686"/>
      <c r="O87" s="686"/>
      <c r="P87" s="687">
        <f>4926-29</f>
        <v>4897</v>
      </c>
      <c r="Q87" s="686"/>
      <c r="R87" s="688"/>
      <c r="S87" s="689"/>
      <c r="T87" s="615"/>
    </row>
    <row r="88" spans="1:20" s="616" customFormat="1" x14ac:dyDescent="0.3">
      <c r="A88" s="685"/>
      <c r="B88" s="686" t="s">
        <v>254</v>
      </c>
      <c r="C88" s="686"/>
      <c r="D88" s="686"/>
      <c r="E88" s="686"/>
      <c r="F88" s="686"/>
      <c r="G88" s="686"/>
      <c r="H88" s="708"/>
      <c r="I88" s="709"/>
      <c r="J88" s="710"/>
      <c r="K88" s="686"/>
      <c r="L88" s="686"/>
      <c r="M88" s="686"/>
      <c r="N88" s="686"/>
      <c r="O88" s="686"/>
      <c r="P88" s="687"/>
      <c r="Q88" s="686"/>
      <c r="R88" s="688">
        <f>2188+280-598-55</f>
        <v>1815</v>
      </c>
      <c r="S88" s="689"/>
      <c r="T88" s="615"/>
    </row>
    <row r="89" spans="1:20" s="616" customFormat="1" x14ac:dyDescent="0.3">
      <c r="A89" s="685"/>
      <c r="B89" s="686" t="s">
        <v>252</v>
      </c>
      <c r="C89" s="686"/>
      <c r="D89" s="686"/>
      <c r="E89" s="686"/>
      <c r="F89" s="686"/>
      <c r="G89" s="686"/>
      <c r="H89" s="708"/>
      <c r="I89" s="709"/>
      <c r="J89" s="710"/>
      <c r="K89" s="686"/>
      <c r="L89" s="686"/>
      <c r="M89" s="686"/>
      <c r="N89" s="686"/>
      <c r="O89" s="686"/>
      <c r="P89" s="687"/>
      <c r="Q89" s="686"/>
      <c r="R89" s="688">
        <f>61+24</f>
        <v>85</v>
      </c>
      <c r="S89" s="689"/>
      <c r="T89" s="615"/>
    </row>
    <row r="90" spans="1:20" s="616" customFormat="1" x14ac:dyDescent="0.3">
      <c r="A90" s="685"/>
      <c r="B90" s="686" t="s">
        <v>253</v>
      </c>
      <c r="C90" s="686"/>
      <c r="D90" s="686"/>
      <c r="E90" s="686"/>
      <c r="F90" s="686"/>
      <c r="G90" s="686"/>
      <c r="H90" s="708"/>
      <c r="I90" s="709"/>
      <c r="J90" s="710"/>
      <c r="K90" s="686"/>
      <c r="L90" s="686"/>
      <c r="M90" s="686"/>
      <c r="N90" s="686"/>
      <c r="O90" s="686"/>
      <c r="P90" s="687"/>
      <c r="Q90" s="686"/>
      <c r="R90" s="688">
        <v>15</v>
      </c>
      <c r="S90" s="689"/>
      <c r="T90" s="615"/>
    </row>
    <row r="91" spans="1:20" s="616" customFormat="1" x14ac:dyDescent="0.3">
      <c r="A91" s="685"/>
      <c r="B91" s="686" t="s">
        <v>269</v>
      </c>
      <c r="C91" s="686"/>
      <c r="D91" s="686"/>
      <c r="E91" s="686"/>
      <c r="F91" s="686"/>
      <c r="G91" s="686"/>
      <c r="H91" s="708"/>
      <c r="I91" s="709"/>
      <c r="J91" s="710"/>
      <c r="K91" s="686"/>
      <c r="L91" s="686"/>
      <c r="M91" s="686"/>
      <c r="N91" s="686"/>
      <c r="O91" s="686"/>
      <c r="P91" s="687"/>
      <c r="Q91" s="686"/>
      <c r="R91" s="688">
        <v>0</v>
      </c>
      <c r="S91" s="689"/>
      <c r="T91" s="615"/>
    </row>
    <row r="92" spans="1:20" s="616" customFormat="1" x14ac:dyDescent="0.3">
      <c r="A92" s="685"/>
      <c r="B92" s="686" t="s">
        <v>154</v>
      </c>
      <c r="C92" s="686"/>
      <c r="D92" s="686"/>
      <c r="E92" s="686"/>
      <c r="F92" s="686"/>
      <c r="G92" s="686"/>
      <c r="H92" s="686"/>
      <c r="I92" s="686"/>
      <c r="J92" s="686"/>
      <c r="K92" s="686"/>
      <c r="L92" s="686"/>
      <c r="M92" s="686"/>
      <c r="N92" s="686"/>
      <c r="O92" s="686"/>
      <c r="P92" s="687"/>
      <c r="Q92" s="686"/>
      <c r="R92" s="688">
        <v>0</v>
      </c>
      <c r="S92" s="689"/>
      <c r="T92" s="615"/>
    </row>
    <row r="93" spans="1:20" s="616" customFormat="1" x14ac:dyDescent="0.3">
      <c r="A93" s="685"/>
      <c r="B93" s="686" t="s">
        <v>199</v>
      </c>
      <c r="C93" s="686"/>
      <c r="D93" s="686"/>
      <c r="E93" s="686"/>
      <c r="F93" s="686"/>
      <c r="G93" s="686"/>
      <c r="H93" s="686"/>
      <c r="I93" s="686"/>
      <c r="J93" s="686"/>
      <c r="K93" s="686"/>
      <c r="L93" s="686"/>
      <c r="M93" s="686"/>
      <c r="N93" s="686"/>
      <c r="O93" s="686"/>
      <c r="P93" s="687"/>
      <c r="Q93" s="686"/>
      <c r="R93" s="688">
        <v>119</v>
      </c>
      <c r="S93" s="689"/>
      <c r="T93" s="615"/>
    </row>
    <row r="94" spans="1:20" s="616" customFormat="1" x14ac:dyDescent="0.3">
      <c r="A94" s="685"/>
      <c r="B94" s="686" t="s">
        <v>35</v>
      </c>
      <c r="C94" s="686"/>
      <c r="D94" s="686"/>
      <c r="E94" s="686"/>
      <c r="F94" s="686"/>
      <c r="G94" s="686"/>
      <c r="H94" s="686"/>
      <c r="I94" s="686"/>
      <c r="J94" s="686"/>
      <c r="K94" s="686"/>
      <c r="L94" s="686"/>
      <c r="M94" s="686"/>
      <c r="N94" s="686"/>
      <c r="O94" s="686"/>
      <c r="P94" s="687">
        <f>SUM(P86:P93)</f>
        <v>4897</v>
      </c>
      <c r="Q94" s="686"/>
      <c r="R94" s="687">
        <f>SUM(R86:R93)</f>
        <v>2034</v>
      </c>
      <c r="S94" s="689"/>
      <c r="T94" s="615"/>
    </row>
    <row r="95" spans="1:20" s="616" customFormat="1" x14ac:dyDescent="0.3">
      <c r="A95" s="685"/>
      <c r="B95" s="686" t="s">
        <v>235</v>
      </c>
      <c r="C95" s="686"/>
      <c r="D95" s="686"/>
      <c r="E95" s="686"/>
      <c r="F95" s="686"/>
      <c r="G95" s="686"/>
      <c r="H95" s="686"/>
      <c r="I95" s="686"/>
      <c r="J95" s="686"/>
      <c r="K95" s="686"/>
      <c r="L95" s="686"/>
      <c r="M95" s="686"/>
      <c r="N95" s="686"/>
      <c r="O95" s="686"/>
      <c r="P95" s="687">
        <v>0</v>
      </c>
      <c r="Q95" s="686"/>
      <c r="R95" s="687">
        <f>-P95</f>
        <v>0</v>
      </c>
      <c r="S95" s="689"/>
      <c r="T95" s="615"/>
    </row>
    <row r="96" spans="1:20" s="616" customFormat="1" x14ac:dyDescent="0.3">
      <c r="A96" s="685"/>
      <c r="B96" s="686" t="s">
        <v>36</v>
      </c>
      <c r="C96" s="686"/>
      <c r="D96" s="686"/>
      <c r="E96" s="686"/>
      <c r="F96" s="686"/>
      <c r="G96" s="686"/>
      <c r="H96" s="686"/>
      <c r="I96" s="686"/>
      <c r="J96" s="686"/>
      <c r="K96" s="686"/>
      <c r="L96" s="686"/>
      <c r="M96" s="686"/>
      <c r="N96" s="686"/>
      <c r="O96" s="686"/>
      <c r="P96" s="687">
        <f>-R96</f>
        <v>0</v>
      </c>
      <c r="Q96" s="686"/>
      <c r="R96" s="688">
        <v>0</v>
      </c>
      <c r="S96" s="689"/>
      <c r="T96" s="615"/>
    </row>
    <row r="97" spans="1:21" s="616" customFormat="1" x14ac:dyDescent="0.3">
      <c r="A97" s="685"/>
      <c r="B97" s="686" t="s">
        <v>276</v>
      </c>
      <c r="C97" s="686"/>
      <c r="D97" s="686"/>
      <c r="E97" s="686"/>
      <c r="F97" s="686"/>
      <c r="G97" s="686"/>
      <c r="H97" s="686"/>
      <c r="I97" s="686"/>
      <c r="J97" s="686"/>
      <c r="K97" s="686"/>
      <c r="L97" s="686"/>
      <c r="M97" s="686"/>
      <c r="N97" s="686"/>
      <c r="O97" s="686"/>
      <c r="P97" s="687"/>
      <c r="Q97" s="686"/>
      <c r="R97" s="688">
        <v>55</v>
      </c>
      <c r="S97" s="689"/>
      <c r="T97" s="615"/>
    </row>
    <row r="98" spans="1:21" s="616" customFormat="1" x14ac:dyDescent="0.3">
      <c r="A98" s="685"/>
      <c r="B98" s="686" t="s">
        <v>37</v>
      </c>
      <c r="C98" s="686"/>
      <c r="D98" s="686"/>
      <c r="E98" s="686"/>
      <c r="F98" s="686"/>
      <c r="G98" s="686"/>
      <c r="H98" s="686"/>
      <c r="I98" s="686"/>
      <c r="J98" s="686"/>
      <c r="K98" s="686"/>
      <c r="L98" s="686"/>
      <c r="M98" s="686"/>
      <c r="N98" s="686"/>
      <c r="O98" s="686"/>
      <c r="P98" s="687">
        <f>P94+P96+P95</f>
        <v>4897</v>
      </c>
      <c r="Q98" s="686"/>
      <c r="R98" s="687">
        <f>R94+R96+R95+R97</f>
        <v>2089</v>
      </c>
      <c r="S98" s="689"/>
      <c r="T98" s="615"/>
    </row>
    <row r="99" spans="1:21" x14ac:dyDescent="0.3">
      <c r="A99" s="711"/>
      <c r="B99" s="712" t="s">
        <v>38</v>
      </c>
      <c r="C99" s="713"/>
      <c r="D99" s="713"/>
      <c r="E99" s="713"/>
      <c r="F99" s="713"/>
      <c r="G99" s="713"/>
      <c r="H99" s="713"/>
      <c r="I99" s="713"/>
      <c r="J99" s="713"/>
      <c r="K99" s="713"/>
      <c r="L99" s="713"/>
      <c r="M99" s="713"/>
      <c r="N99" s="713"/>
      <c r="O99" s="713"/>
      <c r="P99" s="714"/>
      <c r="Q99" s="713"/>
      <c r="R99" s="715"/>
      <c r="S99" s="716"/>
      <c r="T99" s="579"/>
    </row>
    <row r="100" spans="1:21" s="616" customFormat="1" x14ac:dyDescent="0.3">
      <c r="A100" s="717">
        <v>1</v>
      </c>
      <c r="B100" s="686" t="s">
        <v>39</v>
      </c>
      <c r="C100" s="686"/>
      <c r="D100" s="686"/>
      <c r="E100" s="686"/>
      <c r="F100" s="686"/>
      <c r="G100" s="686"/>
      <c r="H100" s="686"/>
      <c r="I100" s="686"/>
      <c r="J100" s="686"/>
      <c r="K100" s="686"/>
      <c r="L100" s="686"/>
      <c r="M100" s="686"/>
      <c r="N100" s="686"/>
      <c r="O100" s="686"/>
      <c r="P100" s="686"/>
      <c r="Q100" s="686"/>
      <c r="R100" s="688">
        <v>0</v>
      </c>
      <c r="S100" s="689"/>
      <c r="T100" s="615"/>
    </row>
    <row r="101" spans="1:21" s="616" customFormat="1" x14ac:dyDescent="0.3">
      <c r="A101" s="717">
        <f>+A100+1</f>
        <v>2</v>
      </c>
      <c r="B101" s="618" t="s">
        <v>316</v>
      </c>
      <c r="C101" s="686"/>
      <c r="D101" s="686"/>
      <c r="E101" s="686"/>
      <c r="F101" s="686"/>
      <c r="G101" s="686"/>
      <c r="H101" s="686"/>
      <c r="I101" s="686"/>
      <c r="J101" s="686"/>
      <c r="K101" s="686"/>
      <c r="L101" s="686"/>
      <c r="M101" s="686"/>
      <c r="N101" s="686"/>
      <c r="O101" s="686"/>
      <c r="P101" s="686"/>
      <c r="Q101" s="686"/>
      <c r="R101" s="688">
        <v>-2</v>
      </c>
      <c r="S101" s="689"/>
      <c r="T101" s="615"/>
    </row>
    <row r="102" spans="1:21" s="616" customFormat="1" x14ac:dyDescent="0.3">
      <c r="A102" s="717">
        <f>+A101+1</f>
        <v>3</v>
      </c>
      <c r="B102" s="618" t="s">
        <v>318</v>
      </c>
      <c r="C102" s="686"/>
      <c r="D102" s="686"/>
      <c r="E102" s="686"/>
      <c r="F102" s="686"/>
      <c r="G102" s="686"/>
      <c r="H102" s="686"/>
      <c r="I102" s="686"/>
      <c r="J102" s="686"/>
      <c r="K102" s="686"/>
      <c r="L102" s="686"/>
      <c r="M102" s="686"/>
      <c r="N102" s="686"/>
      <c r="O102" s="686"/>
      <c r="P102" s="686"/>
      <c r="Q102" s="686"/>
      <c r="R102" s="688">
        <f>-89-96-5</f>
        <v>-190</v>
      </c>
      <c r="S102" s="689"/>
      <c r="T102" s="615"/>
    </row>
    <row r="103" spans="1:21" s="616" customFormat="1" x14ac:dyDescent="0.3">
      <c r="A103" s="717" t="s">
        <v>146</v>
      </c>
      <c r="B103" s="686" t="s">
        <v>131</v>
      </c>
      <c r="C103" s="686"/>
      <c r="D103" s="686"/>
      <c r="E103" s="686"/>
      <c r="F103" s="686"/>
      <c r="G103" s="686"/>
      <c r="H103" s="686"/>
      <c r="I103" s="686"/>
      <c r="J103" s="686"/>
      <c r="K103" s="686"/>
      <c r="L103" s="686"/>
      <c r="M103" s="686"/>
      <c r="N103" s="686"/>
      <c r="O103" s="686"/>
      <c r="P103" s="686"/>
      <c r="Q103" s="686"/>
      <c r="R103" s="688">
        <v>0</v>
      </c>
      <c r="S103" s="689"/>
      <c r="T103" s="615"/>
    </row>
    <row r="104" spans="1:21" s="616" customFormat="1" x14ac:dyDescent="0.3">
      <c r="A104" s="717" t="s">
        <v>147</v>
      </c>
      <c r="B104" s="686" t="s">
        <v>218</v>
      </c>
      <c r="C104" s="686"/>
      <c r="D104" s="686"/>
      <c r="E104" s="686"/>
      <c r="F104" s="686"/>
      <c r="G104" s="686"/>
      <c r="H104" s="686"/>
      <c r="I104" s="686"/>
      <c r="J104" s="686"/>
      <c r="K104" s="686"/>
      <c r="L104" s="686"/>
      <c r="M104" s="686"/>
      <c r="N104" s="686"/>
      <c r="O104" s="686"/>
      <c r="P104" s="686"/>
      <c r="Q104" s="686"/>
      <c r="R104" s="688">
        <v>0</v>
      </c>
      <c r="S104" s="689"/>
      <c r="T104" s="615"/>
    </row>
    <row r="105" spans="1:21" s="616" customFormat="1" x14ac:dyDescent="0.3">
      <c r="A105" s="717" t="s">
        <v>176</v>
      </c>
      <c r="B105" s="686" t="s">
        <v>230</v>
      </c>
      <c r="C105" s="686"/>
      <c r="D105" s="686"/>
      <c r="E105" s="686"/>
      <c r="F105" s="686"/>
      <c r="G105" s="686"/>
      <c r="H105" s="686"/>
      <c r="I105" s="686"/>
      <c r="J105" s="686"/>
      <c r="K105" s="686"/>
      <c r="L105" s="686"/>
      <c r="M105" s="686"/>
      <c r="N105" s="686"/>
      <c r="O105" s="686"/>
      <c r="P105" s="686"/>
      <c r="Q105" s="686"/>
      <c r="R105" s="688">
        <v>0</v>
      </c>
      <c r="S105" s="689"/>
      <c r="T105" s="615"/>
      <c r="U105" s="718"/>
    </row>
    <row r="106" spans="1:21" s="616" customFormat="1" x14ac:dyDescent="0.3">
      <c r="A106" s="717" t="s">
        <v>177</v>
      </c>
      <c r="B106" s="686" t="s">
        <v>231</v>
      </c>
      <c r="C106" s="686"/>
      <c r="D106" s="686"/>
      <c r="E106" s="686"/>
      <c r="F106" s="686"/>
      <c r="G106" s="686"/>
      <c r="H106" s="686"/>
      <c r="I106" s="686"/>
      <c r="J106" s="686"/>
      <c r="K106" s="686"/>
      <c r="L106" s="686"/>
      <c r="M106" s="686"/>
      <c r="N106" s="686"/>
      <c r="O106" s="686"/>
      <c r="P106" s="686"/>
      <c r="Q106" s="686"/>
      <c r="R106" s="688">
        <v>0</v>
      </c>
      <c r="S106" s="689"/>
      <c r="T106" s="615"/>
      <c r="U106" s="718"/>
    </row>
    <row r="107" spans="1:21" s="616" customFormat="1" x14ac:dyDescent="0.3">
      <c r="A107" s="717" t="s">
        <v>248</v>
      </c>
      <c r="B107" s="686" t="s">
        <v>232</v>
      </c>
      <c r="C107" s="686"/>
      <c r="D107" s="686"/>
      <c r="E107" s="686"/>
      <c r="F107" s="686"/>
      <c r="G107" s="686"/>
      <c r="H107" s="686"/>
      <c r="I107" s="686"/>
      <c r="J107" s="686"/>
      <c r="K107" s="686"/>
      <c r="L107" s="686"/>
      <c r="M107" s="686"/>
      <c r="N107" s="686"/>
      <c r="O107" s="686"/>
      <c r="P107" s="686"/>
      <c r="Q107" s="686"/>
      <c r="R107" s="688">
        <v>-231</v>
      </c>
      <c r="S107" s="689"/>
      <c r="T107" s="615"/>
    </row>
    <row r="108" spans="1:21" s="616" customFormat="1" x14ac:dyDescent="0.3">
      <c r="A108" s="717" t="s">
        <v>205</v>
      </c>
      <c r="B108" s="686" t="s">
        <v>233</v>
      </c>
      <c r="C108" s="686"/>
      <c r="D108" s="686"/>
      <c r="E108" s="686"/>
      <c r="F108" s="686"/>
      <c r="G108" s="686"/>
      <c r="H108" s="686"/>
      <c r="I108" s="686"/>
      <c r="J108" s="686"/>
      <c r="K108" s="686"/>
      <c r="L108" s="686"/>
      <c r="M108" s="686"/>
      <c r="N108" s="686"/>
      <c r="O108" s="686"/>
      <c r="P108" s="686"/>
      <c r="Q108" s="686"/>
      <c r="R108" s="688">
        <v>-267</v>
      </c>
      <c r="S108" s="689"/>
      <c r="T108" s="615"/>
      <c r="U108" s="718"/>
    </row>
    <row r="109" spans="1:21" s="616" customFormat="1" x14ac:dyDescent="0.3">
      <c r="A109" s="717" t="s">
        <v>249</v>
      </c>
      <c r="B109" s="686" t="s">
        <v>234</v>
      </c>
      <c r="C109" s="686"/>
      <c r="D109" s="686"/>
      <c r="E109" s="686"/>
      <c r="F109" s="686"/>
      <c r="G109" s="686"/>
      <c r="H109" s="686"/>
      <c r="I109" s="686"/>
      <c r="J109" s="686"/>
      <c r="K109" s="686"/>
      <c r="L109" s="686"/>
      <c r="M109" s="686"/>
      <c r="N109" s="686"/>
      <c r="O109" s="686"/>
      <c r="P109" s="686"/>
      <c r="Q109" s="686"/>
      <c r="R109" s="688">
        <v>-180</v>
      </c>
      <c r="S109" s="689"/>
      <c r="T109" s="615"/>
      <c r="U109" s="718"/>
    </row>
    <row r="110" spans="1:21" s="616" customFormat="1" x14ac:dyDescent="0.3">
      <c r="A110" s="717" t="s">
        <v>250</v>
      </c>
      <c r="B110" s="686" t="s">
        <v>168</v>
      </c>
      <c r="C110" s="686"/>
      <c r="D110" s="686"/>
      <c r="E110" s="686"/>
      <c r="F110" s="686"/>
      <c r="G110" s="686"/>
      <c r="H110" s="686"/>
      <c r="I110" s="686"/>
      <c r="J110" s="686"/>
      <c r="K110" s="686"/>
      <c r="L110" s="686"/>
      <c r="M110" s="686"/>
      <c r="N110" s="686"/>
      <c r="O110" s="686"/>
      <c r="P110" s="686"/>
      <c r="Q110" s="686"/>
      <c r="R110" s="688">
        <v>-102</v>
      </c>
      <c r="S110" s="689"/>
      <c r="T110" s="615"/>
      <c r="U110" s="718"/>
    </row>
    <row r="111" spans="1:21" s="616" customFormat="1" x14ac:dyDescent="0.3">
      <c r="A111" s="719">
        <v>6</v>
      </c>
      <c r="B111" s="618" t="s">
        <v>317</v>
      </c>
      <c r="C111" s="618"/>
      <c r="D111" s="618"/>
      <c r="E111" s="618"/>
      <c r="F111" s="618"/>
      <c r="G111" s="686"/>
      <c r="H111" s="686"/>
      <c r="I111" s="686"/>
      <c r="J111" s="686"/>
      <c r="K111" s="686"/>
      <c r="L111" s="686"/>
      <c r="M111" s="686"/>
      <c r="N111" s="686"/>
      <c r="O111" s="686"/>
      <c r="P111" s="686"/>
      <c r="Q111" s="686"/>
      <c r="R111" s="688">
        <v>0</v>
      </c>
      <c r="S111" s="689"/>
      <c r="T111" s="615"/>
      <c r="U111" s="718"/>
    </row>
    <row r="112" spans="1:21" s="616" customFormat="1" x14ac:dyDescent="0.3">
      <c r="A112" s="717">
        <f t="shared" ref="A112:A118" si="0">+A111+1</f>
        <v>7</v>
      </c>
      <c r="B112" s="686" t="s">
        <v>41</v>
      </c>
      <c r="C112" s="686"/>
      <c r="D112" s="686"/>
      <c r="E112" s="686"/>
      <c r="F112" s="686"/>
      <c r="G112" s="686"/>
      <c r="H112" s="686"/>
      <c r="I112" s="686"/>
      <c r="J112" s="686"/>
      <c r="K112" s="686"/>
      <c r="L112" s="686"/>
      <c r="M112" s="686"/>
      <c r="N112" s="686"/>
      <c r="O112" s="686"/>
      <c r="P112" s="686"/>
      <c r="Q112" s="686"/>
      <c r="R112" s="688">
        <v>-8</v>
      </c>
      <c r="S112" s="689"/>
      <c r="T112" s="615"/>
    </row>
    <row r="113" spans="1:20" s="616" customFormat="1" x14ac:dyDescent="0.3">
      <c r="A113" s="717">
        <f t="shared" si="0"/>
        <v>8</v>
      </c>
      <c r="B113" s="686" t="s">
        <v>53</v>
      </c>
      <c r="C113" s="686"/>
      <c r="D113" s="686"/>
      <c r="E113" s="686"/>
      <c r="F113" s="686"/>
      <c r="G113" s="686"/>
      <c r="H113" s="686"/>
      <c r="I113" s="686"/>
      <c r="J113" s="686"/>
      <c r="K113" s="686"/>
      <c r="L113" s="686"/>
      <c r="M113" s="686"/>
      <c r="N113" s="686"/>
      <c r="O113" s="686"/>
      <c r="P113" s="687">
        <f>-R113</f>
        <v>29</v>
      </c>
      <c r="Q113" s="686"/>
      <c r="R113" s="688">
        <v>-29</v>
      </c>
      <c r="S113" s="689"/>
      <c r="T113" s="615"/>
    </row>
    <row r="114" spans="1:20" s="616" customFormat="1" x14ac:dyDescent="0.3">
      <c r="A114" s="717">
        <f t="shared" si="0"/>
        <v>9</v>
      </c>
      <c r="B114" s="686" t="s">
        <v>144</v>
      </c>
      <c r="C114" s="686"/>
      <c r="D114" s="686"/>
      <c r="E114" s="686"/>
      <c r="F114" s="686"/>
      <c r="G114" s="686"/>
      <c r="H114" s="686"/>
      <c r="I114" s="686"/>
      <c r="J114" s="686"/>
      <c r="K114" s="686"/>
      <c r="L114" s="686"/>
      <c r="M114" s="686"/>
      <c r="N114" s="686"/>
      <c r="O114" s="686"/>
      <c r="P114" s="687"/>
      <c r="Q114" s="686"/>
      <c r="R114" s="688">
        <v>0</v>
      </c>
      <c r="S114" s="689"/>
      <c r="T114" s="615"/>
    </row>
    <row r="115" spans="1:20" s="616" customFormat="1" x14ac:dyDescent="0.3">
      <c r="A115" s="717">
        <f t="shared" si="0"/>
        <v>10</v>
      </c>
      <c r="B115" s="686" t="s">
        <v>42</v>
      </c>
      <c r="C115" s="686"/>
      <c r="D115" s="686"/>
      <c r="E115" s="686"/>
      <c r="F115" s="686"/>
      <c r="G115" s="686"/>
      <c r="H115" s="686"/>
      <c r="I115" s="686"/>
      <c r="J115" s="686"/>
      <c r="K115" s="686"/>
      <c r="L115" s="686"/>
      <c r="M115" s="686"/>
      <c r="N115" s="686"/>
      <c r="O115" s="686"/>
      <c r="P115" s="686"/>
      <c r="Q115" s="686"/>
      <c r="R115" s="688">
        <v>0</v>
      </c>
      <c r="S115" s="689"/>
      <c r="T115" s="615"/>
    </row>
    <row r="116" spans="1:20" s="616" customFormat="1" x14ac:dyDescent="0.3">
      <c r="A116" s="717">
        <f t="shared" si="0"/>
        <v>11</v>
      </c>
      <c r="B116" s="686" t="s">
        <v>43</v>
      </c>
      <c r="C116" s="686"/>
      <c r="D116" s="686"/>
      <c r="E116" s="686"/>
      <c r="F116" s="686"/>
      <c r="G116" s="686"/>
      <c r="H116" s="686"/>
      <c r="I116" s="686"/>
      <c r="J116" s="686"/>
      <c r="K116" s="686"/>
      <c r="L116" s="686"/>
      <c r="M116" s="686"/>
      <c r="N116" s="686"/>
      <c r="O116" s="686"/>
      <c r="P116" s="686"/>
      <c r="Q116" s="686"/>
      <c r="R116" s="688">
        <v>0</v>
      </c>
      <c r="S116" s="689"/>
      <c r="T116" s="615"/>
    </row>
    <row r="117" spans="1:20" s="616" customFormat="1" x14ac:dyDescent="0.3">
      <c r="A117" s="717">
        <f t="shared" si="0"/>
        <v>12</v>
      </c>
      <c r="B117" s="686" t="s">
        <v>175</v>
      </c>
      <c r="C117" s="686"/>
      <c r="D117" s="686"/>
      <c r="E117" s="686"/>
      <c r="F117" s="686"/>
      <c r="G117" s="686"/>
      <c r="H117" s="686"/>
      <c r="I117" s="686"/>
      <c r="J117" s="686"/>
      <c r="K117" s="686"/>
      <c r="L117" s="686"/>
      <c r="M117" s="686"/>
      <c r="N117" s="686"/>
      <c r="O117" s="686"/>
      <c r="P117" s="686"/>
      <c r="Q117" s="686"/>
      <c r="R117" s="688">
        <v>-180</v>
      </c>
      <c r="S117" s="689"/>
      <c r="T117" s="615"/>
    </row>
    <row r="118" spans="1:20" s="616" customFormat="1" x14ac:dyDescent="0.3">
      <c r="A118" s="717">
        <f t="shared" si="0"/>
        <v>13</v>
      </c>
      <c r="B118" s="686" t="s">
        <v>145</v>
      </c>
      <c r="C118" s="686"/>
      <c r="D118" s="686"/>
      <c r="E118" s="686"/>
      <c r="F118" s="686"/>
      <c r="G118" s="686"/>
      <c r="H118" s="686"/>
      <c r="I118" s="686"/>
      <c r="J118" s="686"/>
      <c r="K118" s="686"/>
      <c r="L118" s="686"/>
      <c r="M118" s="686"/>
      <c r="N118" s="686"/>
      <c r="O118" s="686"/>
      <c r="P118" s="686"/>
      <c r="Q118" s="686"/>
      <c r="R118" s="688">
        <f>-R98-SUM(R100:R117)</f>
        <v>-900</v>
      </c>
      <c r="S118" s="689"/>
      <c r="T118" s="615"/>
    </row>
    <row r="119" spans="1:20" x14ac:dyDescent="0.3">
      <c r="A119" s="711"/>
      <c r="B119" s="712" t="s">
        <v>44</v>
      </c>
      <c r="C119" s="713"/>
      <c r="D119" s="713"/>
      <c r="E119" s="713"/>
      <c r="F119" s="713"/>
      <c r="G119" s="713"/>
      <c r="H119" s="713"/>
      <c r="I119" s="713"/>
      <c r="J119" s="713"/>
      <c r="K119" s="713"/>
      <c r="L119" s="713"/>
      <c r="M119" s="713"/>
      <c r="N119" s="713"/>
      <c r="O119" s="713"/>
      <c r="P119" s="713"/>
      <c r="Q119" s="713"/>
      <c r="R119" s="720"/>
      <c r="S119" s="716"/>
      <c r="T119" s="579"/>
    </row>
    <row r="120" spans="1:20" s="616" customFormat="1" x14ac:dyDescent="0.3">
      <c r="A120" s="685"/>
      <c r="B120" s="686" t="s">
        <v>45</v>
      </c>
      <c r="C120" s="686"/>
      <c r="D120" s="686"/>
      <c r="E120" s="686"/>
      <c r="F120" s="686"/>
      <c r="G120" s="686"/>
      <c r="H120" s="686"/>
      <c r="I120" s="686"/>
      <c r="J120" s="686"/>
      <c r="K120" s="686"/>
      <c r="L120" s="686"/>
      <c r="M120" s="686"/>
      <c r="N120" s="686"/>
      <c r="O120" s="686"/>
      <c r="P120" s="687">
        <v>0</v>
      </c>
      <c r="Q120" s="687"/>
      <c r="R120" s="688"/>
      <c r="S120" s="689"/>
      <c r="T120" s="615"/>
    </row>
    <row r="121" spans="1:20" s="616" customFormat="1" x14ac:dyDescent="0.3">
      <c r="A121" s="685"/>
      <c r="B121" s="686" t="s">
        <v>46</v>
      </c>
      <c r="C121" s="686"/>
      <c r="D121" s="686"/>
      <c r="E121" s="686"/>
      <c r="F121" s="686"/>
      <c r="G121" s="686"/>
      <c r="H121" s="686"/>
      <c r="I121" s="686"/>
      <c r="J121" s="686"/>
      <c r="K121" s="686"/>
      <c r="L121" s="686"/>
      <c r="M121" s="686"/>
      <c r="N121" s="686"/>
      <c r="O121" s="686"/>
      <c r="P121" s="687">
        <f>-O176</f>
        <v>-80</v>
      </c>
      <c r="Q121" s="687"/>
      <c r="R121" s="688"/>
      <c r="S121" s="689"/>
      <c r="T121" s="615"/>
    </row>
    <row r="122" spans="1:20" s="616" customFormat="1" x14ac:dyDescent="0.3">
      <c r="A122" s="685"/>
      <c r="B122" s="686" t="s">
        <v>219</v>
      </c>
      <c r="C122" s="686"/>
      <c r="D122" s="686"/>
      <c r="E122" s="686"/>
      <c r="F122" s="686"/>
      <c r="G122" s="686"/>
      <c r="H122" s="686"/>
      <c r="I122" s="686"/>
      <c r="J122" s="686"/>
      <c r="K122" s="686"/>
      <c r="L122" s="686"/>
      <c r="M122" s="686"/>
      <c r="N122" s="686"/>
      <c r="O122" s="686"/>
      <c r="P122" s="687">
        <v>0</v>
      </c>
      <c r="Q122" s="687"/>
      <c r="R122" s="688"/>
      <c r="S122" s="689"/>
      <c r="T122" s="615"/>
    </row>
    <row r="123" spans="1:20" s="616" customFormat="1" x14ac:dyDescent="0.3">
      <c r="A123" s="685"/>
      <c r="B123" s="686" t="s">
        <v>220</v>
      </c>
      <c r="C123" s="686"/>
      <c r="D123" s="686"/>
      <c r="E123" s="686"/>
      <c r="F123" s="686"/>
      <c r="G123" s="686"/>
      <c r="H123" s="686"/>
      <c r="I123" s="686"/>
      <c r="J123" s="686"/>
      <c r="K123" s="686"/>
      <c r="L123" s="686"/>
      <c r="M123" s="686"/>
      <c r="N123" s="686"/>
      <c r="O123" s="686"/>
      <c r="P123" s="687">
        <v>0</v>
      </c>
      <c r="Q123" s="687"/>
      <c r="R123" s="688"/>
      <c r="S123" s="689"/>
      <c r="T123" s="615"/>
    </row>
    <row r="124" spans="1:20" s="616" customFormat="1" x14ac:dyDescent="0.3">
      <c r="A124" s="685"/>
      <c r="B124" s="686" t="s">
        <v>221</v>
      </c>
      <c r="C124" s="686"/>
      <c r="D124" s="686"/>
      <c r="E124" s="686"/>
      <c r="F124" s="686"/>
      <c r="G124" s="686"/>
      <c r="H124" s="686"/>
      <c r="I124" s="686"/>
      <c r="J124" s="686"/>
      <c r="K124" s="686"/>
      <c r="L124" s="686"/>
      <c r="M124" s="686"/>
      <c r="N124" s="686"/>
      <c r="O124" s="686"/>
      <c r="P124" s="687">
        <v>-1907</v>
      </c>
      <c r="Q124" s="687"/>
      <c r="R124" s="688"/>
      <c r="S124" s="689"/>
      <c r="T124" s="615"/>
    </row>
    <row r="125" spans="1:20" s="616" customFormat="1" x14ac:dyDescent="0.3">
      <c r="A125" s="685"/>
      <c r="B125" s="686" t="s">
        <v>222</v>
      </c>
      <c r="C125" s="686"/>
      <c r="D125" s="686"/>
      <c r="E125" s="686"/>
      <c r="F125" s="686"/>
      <c r="G125" s="686"/>
      <c r="H125" s="686"/>
      <c r="I125" s="686"/>
      <c r="J125" s="686"/>
      <c r="K125" s="686"/>
      <c r="L125" s="686"/>
      <c r="M125" s="686"/>
      <c r="N125" s="686"/>
      <c r="O125" s="686"/>
      <c r="P125" s="687">
        <v>-1970</v>
      </c>
      <c r="Q125" s="687"/>
      <c r="R125" s="688"/>
      <c r="S125" s="689"/>
      <c r="T125" s="615"/>
    </row>
    <row r="126" spans="1:20" s="616" customFormat="1" x14ac:dyDescent="0.3">
      <c r="A126" s="685"/>
      <c r="B126" s="686" t="s">
        <v>223</v>
      </c>
      <c r="C126" s="686"/>
      <c r="D126" s="686"/>
      <c r="E126" s="686"/>
      <c r="F126" s="686"/>
      <c r="G126" s="686"/>
      <c r="H126" s="686"/>
      <c r="I126" s="686"/>
      <c r="J126" s="686"/>
      <c r="K126" s="686"/>
      <c r="L126" s="686"/>
      <c r="M126" s="686"/>
      <c r="N126" s="686"/>
      <c r="O126" s="686"/>
      <c r="P126" s="687">
        <v>-630</v>
      </c>
      <c r="Q126" s="687"/>
      <c r="R126" s="688"/>
      <c r="S126" s="689"/>
      <c r="T126" s="615"/>
    </row>
    <row r="127" spans="1:20" s="616" customFormat="1" x14ac:dyDescent="0.3">
      <c r="A127" s="685"/>
      <c r="B127" s="686" t="s">
        <v>173</v>
      </c>
      <c r="C127" s="686"/>
      <c r="D127" s="686"/>
      <c r="E127" s="686"/>
      <c r="F127" s="686"/>
      <c r="G127" s="686"/>
      <c r="H127" s="686"/>
      <c r="I127" s="686"/>
      <c r="J127" s="686"/>
      <c r="K127" s="686"/>
      <c r="L127" s="686"/>
      <c r="M127" s="686"/>
      <c r="N127" s="686"/>
      <c r="O127" s="686"/>
      <c r="P127" s="687">
        <v>-339</v>
      </c>
      <c r="Q127" s="687"/>
      <c r="R127" s="688"/>
      <c r="S127" s="689"/>
      <c r="T127" s="615"/>
    </row>
    <row r="128" spans="1:20" s="616" customFormat="1" x14ac:dyDescent="0.3">
      <c r="A128" s="685"/>
      <c r="B128" s="686" t="s">
        <v>47</v>
      </c>
      <c r="C128" s="686"/>
      <c r="D128" s="686"/>
      <c r="E128" s="686"/>
      <c r="F128" s="686"/>
      <c r="G128" s="686"/>
      <c r="H128" s="686"/>
      <c r="I128" s="686"/>
      <c r="J128" s="686"/>
      <c r="K128" s="686"/>
      <c r="L128" s="686"/>
      <c r="M128" s="686"/>
      <c r="N128" s="686"/>
      <c r="O128" s="686"/>
      <c r="P128" s="687">
        <f>SUM(P120:P127)</f>
        <v>-4926</v>
      </c>
      <c r="Q128" s="687"/>
      <c r="R128" s="687">
        <f>SUM(R99:R127)</f>
        <v>-2089</v>
      </c>
      <c r="S128" s="689"/>
      <c r="T128" s="615"/>
    </row>
    <row r="129" spans="1:21" s="616" customFormat="1" x14ac:dyDescent="0.3">
      <c r="A129" s="685"/>
      <c r="B129" s="686" t="s">
        <v>48</v>
      </c>
      <c r="C129" s="686"/>
      <c r="D129" s="686"/>
      <c r="E129" s="686"/>
      <c r="F129" s="686"/>
      <c r="G129" s="686"/>
      <c r="H129" s="686"/>
      <c r="I129" s="686"/>
      <c r="J129" s="686"/>
      <c r="K129" s="686"/>
      <c r="L129" s="686"/>
      <c r="M129" s="686"/>
      <c r="N129" s="686"/>
      <c r="O129" s="686"/>
      <c r="P129" s="687">
        <f>P98+P128+P113</f>
        <v>0</v>
      </c>
      <c r="Q129" s="687"/>
      <c r="R129" s="687">
        <f>R98+R128</f>
        <v>0</v>
      </c>
      <c r="S129" s="689"/>
      <c r="T129" s="615"/>
    </row>
    <row r="130" spans="1:21" s="616" customFormat="1" x14ac:dyDescent="0.3">
      <c r="A130" s="611"/>
      <c r="B130" s="661"/>
      <c r="C130" s="661"/>
      <c r="D130" s="661"/>
      <c r="E130" s="661"/>
      <c r="F130" s="661"/>
      <c r="G130" s="661"/>
      <c r="H130" s="661"/>
      <c r="I130" s="661"/>
      <c r="J130" s="661"/>
      <c r="K130" s="661"/>
      <c r="L130" s="661"/>
      <c r="M130" s="661"/>
      <c r="N130" s="661"/>
      <c r="O130" s="661"/>
      <c r="P130" s="721"/>
      <c r="Q130" s="721"/>
      <c r="R130" s="721"/>
      <c r="S130" s="722"/>
      <c r="T130" s="665"/>
    </row>
    <row r="131" spans="1:21" s="616" customFormat="1" x14ac:dyDescent="0.3">
      <c r="A131" s="611"/>
      <c r="B131" s="600"/>
      <c r="C131" s="600"/>
      <c r="D131" s="600"/>
      <c r="E131" s="600"/>
      <c r="F131" s="600"/>
      <c r="G131" s="600"/>
      <c r="H131" s="600"/>
      <c r="I131" s="600"/>
      <c r="J131" s="600"/>
      <c r="K131" s="600"/>
      <c r="L131" s="600"/>
      <c r="M131" s="600"/>
      <c r="N131" s="600"/>
      <c r="O131" s="600"/>
      <c r="P131" s="600"/>
      <c r="Q131" s="600"/>
      <c r="R131" s="723"/>
      <c r="S131" s="724"/>
      <c r="T131" s="665"/>
    </row>
    <row r="132" spans="1:21" s="616" customFormat="1" ht="18.600000000000001" thickBot="1" x14ac:dyDescent="0.4">
      <c r="A132" s="669"/>
      <c r="B132" s="670" t="str">
        <f>B62</f>
        <v>PM8 INVESTOR REPORT QUARTER ENDING SEPTEMBER 2017</v>
      </c>
      <c r="C132" s="671"/>
      <c r="D132" s="671"/>
      <c r="E132" s="671"/>
      <c r="F132" s="671"/>
      <c r="G132" s="671"/>
      <c r="H132" s="671"/>
      <c r="I132" s="671"/>
      <c r="J132" s="671"/>
      <c r="K132" s="671"/>
      <c r="L132" s="671"/>
      <c r="M132" s="671"/>
      <c r="N132" s="671"/>
      <c r="O132" s="671"/>
      <c r="P132" s="671"/>
      <c r="Q132" s="671"/>
      <c r="R132" s="725"/>
      <c r="S132" s="673"/>
      <c r="T132" s="615"/>
    </row>
    <row r="133" spans="1:21" x14ac:dyDescent="0.3">
      <c r="A133" s="726"/>
      <c r="B133" s="727" t="s">
        <v>49</v>
      </c>
      <c r="C133" s="728"/>
      <c r="D133" s="728"/>
      <c r="E133" s="728"/>
      <c r="F133" s="728"/>
      <c r="G133" s="728"/>
      <c r="H133" s="728"/>
      <c r="I133" s="728"/>
      <c r="J133" s="728"/>
      <c r="K133" s="728"/>
      <c r="L133" s="728"/>
      <c r="M133" s="728"/>
      <c r="N133" s="728"/>
      <c r="O133" s="728"/>
      <c r="P133" s="728"/>
      <c r="Q133" s="728"/>
      <c r="R133" s="729"/>
      <c r="S133" s="728"/>
      <c r="T133" s="579"/>
    </row>
    <row r="134" spans="1:21" x14ac:dyDescent="0.3">
      <c r="A134" s="581"/>
      <c r="B134" s="730"/>
      <c r="C134" s="583"/>
      <c r="D134" s="583"/>
      <c r="E134" s="583"/>
      <c r="F134" s="583"/>
      <c r="G134" s="583"/>
      <c r="H134" s="583"/>
      <c r="I134" s="583"/>
      <c r="J134" s="583"/>
      <c r="K134" s="583"/>
      <c r="L134" s="583"/>
      <c r="M134" s="583"/>
      <c r="N134" s="583"/>
      <c r="O134" s="583"/>
      <c r="P134" s="583"/>
      <c r="Q134" s="583"/>
      <c r="R134" s="679"/>
      <c r="S134" s="584"/>
      <c r="T134" s="579"/>
    </row>
    <row r="135" spans="1:21" x14ac:dyDescent="0.3">
      <c r="A135" s="581"/>
      <c r="B135" s="731" t="s">
        <v>50</v>
      </c>
      <c r="C135" s="583"/>
      <c r="D135" s="583"/>
      <c r="E135" s="583"/>
      <c r="F135" s="583"/>
      <c r="G135" s="583"/>
      <c r="H135" s="583"/>
      <c r="I135" s="583"/>
      <c r="J135" s="583"/>
      <c r="K135" s="583"/>
      <c r="L135" s="583"/>
      <c r="M135" s="583"/>
      <c r="N135" s="583"/>
      <c r="O135" s="583"/>
      <c r="P135" s="583"/>
      <c r="Q135" s="583"/>
      <c r="R135" s="679"/>
      <c r="S135" s="584"/>
      <c r="T135" s="579"/>
    </row>
    <row r="136" spans="1:21" s="616" customFormat="1" x14ac:dyDescent="0.3">
      <c r="A136" s="685"/>
      <c r="B136" s="686" t="s">
        <v>51</v>
      </c>
      <c r="C136" s="686"/>
      <c r="D136" s="686"/>
      <c r="E136" s="686"/>
      <c r="F136" s="686"/>
      <c r="G136" s="686"/>
      <c r="H136" s="686"/>
      <c r="I136" s="686"/>
      <c r="J136" s="686"/>
      <c r="K136" s="686"/>
      <c r="L136" s="686"/>
      <c r="M136" s="686"/>
      <c r="N136" s="686"/>
      <c r="O136" s="686"/>
      <c r="P136" s="686"/>
      <c r="Q136" s="686"/>
      <c r="R136" s="688">
        <f>+R33*0.019</f>
        <v>19000</v>
      </c>
      <c r="S136" s="689"/>
      <c r="T136" s="615"/>
    </row>
    <row r="137" spans="1:21" s="616" customFormat="1" x14ac:dyDescent="0.3">
      <c r="A137" s="685"/>
      <c r="B137" s="686" t="s">
        <v>52</v>
      </c>
      <c r="C137" s="686"/>
      <c r="D137" s="686"/>
      <c r="E137" s="686"/>
      <c r="F137" s="686"/>
      <c r="G137" s="686"/>
      <c r="H137" s="686"/>
      <c r="I137" s="686"/>
      <c r="J137" s="686"/>
      <c r="K137" s="686"/>
      <c r="L137" s="686"/>
      <c r="M137" s="686"/>
      <c r="N137" s="686"/>
      <c r="O137" s="686"/>
      <c r="P137" s="686"/>
      <c r="Q137" s="686"/>
      <c r="R137" s="688">
        <v>19000</v>
      </c>
      <c r="S137" s="689"/>
      <c r="T137" s="615"/>
    </row>
    <row r="138" spans="1:21" s="616" customFormat="1" x14ac:dyDescent="0.3">
      <c r="A138" s="685"/>
      <c r="B138" s="686" t="s">
        <v>155</v>
      </c>
      <c r="C138" s="686"/>
      <c r="D138" s="686"/>
      <c r="E138" s="686"/>
      <c r="F138" s="686"/>
      <c r="G138" s="686"/>
      <c r="H138" s="686"/>
      <c r="I138" s="686"/>
      <c r="J138" s="686"/>
      <c r="K138" s="686"/>
      <c r="L138" s="686"/>
      <c r="M138" s="686"/>
      <c r="N138" s="686"/>
      <c r="O138" s="686"/>
      <c r="P138" s="686"/>
      <c r="Q138" s="686"/>
      <c r="R138" s="688">
        <v>0</v>
      </c>
      <c r="S138" s="689"/>
      <c r="T138" s="615"/>
    </row>
    <row r="139" spans="1:21" s="616" customFormat="1" x14ac:dyDescent="0.3">
      <c r="A139" s="685"/>
      <c r="B139" s="686" t="s">
        <v>142</v>
      </c>
      <c r="C139" s="686"/>
      <c r="D139" s="686"/>
      <c r="E139" s="686"/>
      <c r="F139" s="686"/>
      <c r="G139" s="686"/>
      <c r="H139" s="686"/>
      <c r="I139" s="686"/>
      <c r="J139" s="686"/>
      <c r="K139" s="686"/>
      <c r="L139" s="686"/>
      <c r="M139" s="686"/>
      <c r="N139" s="686"/>
      <c r="O139" s="686"/>
      <c r="P139" s="686"/>
      <c r="Q139" s="686"/>
      <c r="R139" s="688">
        <v>0</v>
      </c>
      <c r="S139" s="689"/>
      <c r="T139" s="615"/>
    </row>
    <row r="140" spans="1:21" s="616" customFormat="1" x14ac:dyDescent="0.3">
      <c r="A140" s="685"/>
      <c r="B140" s="686" t="s">
        <v>143</v>
      </c>
      <c r="C140" s="686"/>
      <c r="D140" s="686"/>
      <c r="E140" s="686"/>
      <c r="F140" s="686"/>
      <c r="G140" s="686"/>
      <c r="H140" s="686"/>
      <c r="I140" s="686"/>
      <c r="J140" s="686"/>
      <c r="K140" s="686"/>
      <c r="L140" s="686"/>
      <c r="M140" s="686"/>
      <c r="N140" s="686"/>
      <c r="O140" s="686"/>
      <c r="P140" s="686"/>
      <c r="Q140" s="686"/>
      <c r="R140" s="688">
        <v>0</v>
      </c>
      <c r="S140" s="689"/>
      <c r="T140" s="615"/>
    </row>
    <row r="141" spans="1:21" s="616" customFormat="1" x14ac:dyDescent="0.3">
      <c r="A141" s="685"/>
      <c r="B141" s="686" t="s">
        <v>53</v>
      </c>
      <c r="C141" s="686"/>
      <c r="D141" s="686"/>
      <c r="E141" s="686"/>
      <c r="F141" s="686"/>
      <c r="G141" s="686"/>
      <c r="H141" s="686"/>
      <c r="I141" s="686"/>
      <c r="J141" s="686"/>
      <c r="K141" s="686"/>
      <c r="L141" s="686"/>
      <c r="M141" s="686"/>
      <c r="N141" s="686"/>
      <c r="O141" s="686"/>
      <c r="P141" s="686"/>
      <c r="Q141" s="686"/>
      <c r="R141" s="688">
        <v>0</v>
      </c>
      <c r="S141" s="689"/>
      <c r="T141" s="615"/>
    </row>
    <row r="142" spans="1:21" s="616" customFormat="1" x14ac:dyDescent="0.3">
      <c r="A142" s="685"/>
      <c r="B142" s="686" t="s">
        <v>148</v>
      </c>
      <c r="C142" s="686"/>
      <c r="D142" s="686"/>
      <c r="E142" s="686"/>
      <c r="F142" s="686"/>
      <c r="G142" s="686"/>
      <c r="H142" s="686"/>
      <c r="I142" s="686"/>
      <c r="J142" s="686"/>
      <c r="K142" s="686"/>
      <c r="L142" s="686"/>
      <c r="M142" s="686"/>
      <c r="N142" s="686"/>
      <c r="O142" s="686"/>
      <c r="P142" s="686"/>
      <c r="Q142" s="686"/>
      <c r="R142" s="688">
        <v>0</v>
      </c>
      <c r="S142" s="689"/>
      <c r="T142" s="615"/>
    </row>
    <row r="143" spans="1:21" s="616" customFormat="1" x14ac:dyDescent="0.3">
      <c r="A143" s="685"/>
      <c r="B143" s="686" t="s">
        <v>203</v>
      </c>
      <c r="C143" s="686"/>
      <c r="D143" s="686"/>
      <c r="E143" s="686"/>
      <c r="F143" s="686"/>
      <c r="G143" s="686"/>
      <c r="H143" s="686"/>
      <c r="I143" s="686"/>
      <c r="J143" s="686"/>
      <c r="K143" s="686"/>
      <c r="L143" s="686"/>
      <c r="M143" s="686"/>
      <c r="N143" s="686"/>
      <c r="O143" s="686"/>
      <c r="P143" s="686"/>
      <c r="Q143" s="686"/>
      <c r="R143" s="688">
        <v>0</v>
      </c>
      <c r="S143" s="689"/>
      <c r="T143" s="615"/>
      <c r="U143" s="718"/>
    </row>
    <row r="144" spans="1:21" s="616" customFormat="1" x14ac:dyDescent="0.3">
      <c r="A144" s="685"/>
      <c r="B144" s="686" t="s">
        <v>54</v>
      </c>
      <c r="C144" s="686"/>
      <c r="D144" s="686"/>
      <c r="E144" s="686"/>
      <c r="F144" s="686"/>
      <c r="G144" s="686"/>
      <c r="H144" s="686"/>
      <c r="I144" s="686"/>
      <c r="J144" s="686"/>
      <c r="K144" s="686"/>
      <c r="L144" s="686"/>
      <c r="M144" s="686"/>
      <c r="N144" s="686"/>
      <c r="O144" s="686"/>
      <c r="P144" s="686"/>
      <c r="Q144" s="686"/>
      <c r="R144" s="688">
        <f>SUM(R137:R143)</f>
        <v>19000</v>
      </c>
      <c r="S144" s="689"/>
      <c r="T144" s="615"/>
    </row>
    <row r="145" spans="1:20" s="616" customFormat="1" x14ac:dyDescent="0.3">
      <c r="A145" s="685"/>
      <c r="B145" s="700"/>
      <c r="C145" s="700"/>
      <c r="D145" s="700"/>
      <c r="E145" s="700"/>
      <c r="F145" s="700"/>
      <c r="G145" s="700"/>
      <c r="H145" s="700"/>
      <c r="I145" s="700"/>
      <c r="J145" s="700"/>
      <c r="K145" s="700"/>
      <c r="L145" s="700"/>
      <c r="M145" s="700"/>
      <c r="N145" s="700"/>
      <c r="O145" s="700"/>
      <c r="P145" s="700"/>
      <c r="Q145" s="700"/>
      <c r="R145" s="732"/>
      <c r="S145" s="689"/>
      <c r="T145" s="615"/>
    </row>
    <row r="146" spans="1:20" x14ac:dyDescent="0.3">
      <c r="A146" s="711"/>
      <c r="B146" s="712" t="s">
        <v>264</v>
      </c>
      <c r="C146" s="713"/>
      <c r="D146" s="713"/>
      <c r="E146" s="713"/>
      <c r="F146" s="713"/>
      <c r="G146" s="713"/>
      <c r="H146" s="713"/>
      <c r="I146" s="713"/>
      <c r="J146" s="713"/>
      <c r="K146" s="713"/>
      <c r="L146" s="713"/>
      <c r="M146" s="713"/>
      <c r="N146" s="713"/>
      <c r="O146" s="713"/>
      <c r="P146" s="713"/>
      <c r="Q146" s="713"/>
      <c r="R146" s="715"/>
      <c r="S146" s="716"/>
      <c r="T146" s="579"/>
    </row>
    <row r="147" spans="1:20" s="616" customFormat="1" x14ac:dyDescent="0.3">
      <c r="A147" s="685"/>
      <c r="B147" s="686" t="s">
        <v>206</v>
      </c>
      <c r="C147" s="686"/>
      <c r="D147" s="686"/>
      <c r="E147" s="686"/>
      <c r="F147" s="686"/>
      <c r="G147" s="686"/>
      <c r="H147" s="686"/>
      <c r="I147" s="686"/>
      <c r="J147" s="686"/>
      <c r="K147" s="686"/>
      <c r="L147" s="686"/>
      <c r="M147" s="686"/>
      <c r="N147" s="686"/>
      <c r="O147" s="686"/>
      <c r="P147" s="686"/>
      <c r="Q147" s="686"/>
      <c r="R147" s="688">
        <f>+R33*0.005</f>
        <v>5000</v>
      </c>
      <c r="S147" s="689"/>
      <c r="T147" s="615"/>
    </row>
    <row r="148" spans="1:20" s="616" customFormat="1" x14ac:dyDescent="0.3">
      <c r="A148" s="685"/>
      <c r="B148" s="686" t="s">
        <v>260</v>
      </c>
      <c r="C148" s="686"/>
      <c r="D148" s="686"/>
      <c r="E148" s="686"/>
      <c r="F148" s="686"/>
      <c r="G148" s="686"/>
      <c r="H148" s="686"/>
      <c r="I148" s="686"/>
      <c r="J148" s="686"/>
      <c r="K148" s="686"/>
      <c r="L148" s="686"/>
      <c r="M148" s="686"/>
      <c r="N148" s="686"/>
      <c r="O148" s="686"/>
      <c r="P148" s="686"/>
      <c r="Q148" s="686"/>
      <c r="R148" s="688">
        <v>0</v>
      </c>
      <c r="S148" s="689"/>
      <c r="T148" s="615"/>
    </row>
    <row r="149" spans="1:20" s="616" customFormat="1" x14ac:dyDescent="0.3">
      <c r="A149" s="685"/>
      <c r="B149" s="686" t="s">
        <v>326</v>
      </c>
      <c r="C149" s="686"/>
      <c r="D149" s="686"/>
      <c r="E149" s="686"/>
      <c r="F149" s="686"/>
      <c r="G149" s="686"/>
      <c r="H149" s="686"/>
      <c r="I149" s="686"/>
      <c r="J149" s="686"/>
      <c r="K149" s="686"/>
      <c r="L149" s="686"/>
      <c r="M149" s="686"/>
      <c r="N149" s="686"/>
      <c r="O149" s="686"/>
      <c r="P149" s="686"/>
      <c r="Q149" s="686"/>
      <c r="R149" s="688">
        <v>0</v>
      </c>
      <c r="S149" s="689"/>
      <c r="T149" s="615"/>
    </row>
    <row r="150" spans="1:20" s="616" customFormat="1" x14ac:dyDescent="0.3">
      <c r="A150" s="685"/>
      <c r="B150" s="700"/>
      <c r="C150" s="700"/>
      <c r="D150" s="700"/>
      <c r="E150" s="700"/>
      <c r="F150" s="700"/>
      <c r="G150" s="700"/>
      <c r="H150" s="700"/>
      <c r="I150" s="700"/>
      <c r="J150" s="700"/>
      <c r="K150" s="700"/>
      <c r="L150" s="700"/>
      <c r="M150" s="700"/>
      <c r="N150" s="700"/>
      <c r="O150" s="700"/>
      <c r="P150" s="700"/>
      <c r="Q150" s="700"/>
      <c r="R150" s="732"/>
      <c r="S150" s="689"/>
      <c r="T150" s="615"/>
    </row>
    <row r="151" spans="1:20" s="616" customFormat="1" x14ac:dyDescent="0.3">
      <c r="A151" s="611"/>
      <c r="B151" s="661"/>
      <c r="C151" s="661"/>
      <c r="D151" s="661"/>
      <c r="E151" s="661"/>
      <c r="F151" s="661"/>
      <c r="G151" s="661"/>
      <c r="H151" s="661"/>
      <c r="I151" s="661"/>
      <c r="J151" s="661"/>
      <c r="K151" s="661"/>
      <c r="L151" s="661"/>
      <c r="M151" s="661"/>
      <c r="N151" s="661"/>
      <c r="O151" s="661"/>
      <c r="P151" s="661"/>
      <c r="Q151" s="661"/>
      <c r="R151" s="733"/>
      <c r="S151" s="734"/>
      <c r="T151" s="615"/>
    </row>
    <row r="152" spans="1:20" x14ac:dyDescent="0.3">
      <c r="A152" s="581"/>
      <c r="B152" s="731" t="s">
        <v>28</v>
      </c>
      <c r="C152" s="583"/>
      <c r="D152" s="583"/>
      <c r="E152" s="583"/>
      <c r="F152" s="583"/>
      <c r="G152" s="583"/>
      <c r="H152" s="583"/>
      <c r="I152" s="583"/>
      <c r="J152" s="583"/>
      <c r="K152" s="583"/>
      <c r="L152" s="583"/>
      <c r="M152" s="583"/>
      <c r="N152" s="583"/>
      <c r="O152" s="583"/>
      <c r="P152" s="583"/>
      <c r="Q152" s="583"/>
      <c r="R152" s="679"/>
      <c r="S152" s="584"/>
      <c r="T152" s="579"/>
    </row>
    <row r="153" spans="1:20" s="616" customFormat="1" x14ac:dyDescent="0.3">
      <c r="A153" s="685"/>
      <c r="B153" s="686" t="s">
        <v>55</v>
      </c>
      <c r="C153" s="686"/>
      <c r="D153" s="686"/>
      <c r="E153" s="686"/>
      <c r="F153" s="686"/>
      <c r="G153" s="686"/>
      <c r="H153" s="686"/>
      <c r="I153" s="686"/>
      <c r="J153" s="686"/>
      <c r="K153" s="686"/>
      <c r="L153" s="686"/>
      <c r="M153" s="686"/>
      <c r="N153" s="686"/>
      <c r="O153" s="686"/>
      <c r="P153" s="686"/>
      <c r="Q153" s="686"/>
      <c r="R153" s="735" t="s">
        <v>137</v>
      </c>
      <c r="S153" s="689"/>
      <c r="T153" s="615"/>
    </row>
    <row r="154" spans="1:20" s="616" customFormat="1" x14ac:dyDescent="0.3">
      <c r="A154" s="685"/>
      <c r="B154" s="686" t="s">
        <v>56</v>
      </c>
      <c r="C154" s="686"/>
      <c r="D154" s="686"/>
      <c r="E154" s="686"/>
      <c r="F154" s="686"/>
      <c r="G154" s="686"/>
      <c r="H154" s="686"/>
      <c r="I154" s="686"/>
      <c r="J154" s="686"/>
      <c r="K154" s="686"/>
      <c r="L154" s="686"/>
      <c r="M154" s="686"/>
      <c r="N154" s="686"/>
      <c r="O154" s="686"/>
      <c r="P154" s="686"/>
      <c r="Q154" s="686"/>
      <c r="R154" s="735" t="s">
        <v>137</v>
      </c>
      <c r="S154" s="689"/>
      <c r="T154" s="615"/>
    </row>
    <row r="155" spans="1:20" s="616" customFormat="1" x14ac:dyDescent="0.3">
      <c r="A155" s="685"/>
      <c r="B155" s="686" t="s">
        <v>57</v>
      </c>
      <c r="C155" s="686"/>
      <c r="D155" s="686"/>
      <c r="E155" s="686"/>
      <c r="F155" s="686"/>
      <c r="G155" s="686"/>
      <c r="H155" s="686"/>
      <c r="I155" s="686"/>
      <c r="J155" s="686"/>
      <c r="K155" s="686"/>
      <c r="L155" s="686"/>
      <c r="M155" s="686"/>
      <c r="N155" s="686"/>
      <c r="O155" s="686"/>
      <c r="P155" s="686"/>
      <c r="Q155" s="686"/>
      <c r="R155" s="735" t="s">
        <v>137</v>
      </c>
      <c r="S155" s="689"/>
      <c r="T155" s="615"/>
    </row>
    <row r="156" spans="1:20" s="616" customFormat="1" x14ac:dyDescent="0.3">
      <c r="A156" s="685"/>
      <c r="B156" s="686" t="s">
        <v>58</v>
      </c>
      <c r="C156" s="686"/>
      <c r="D156" s="686"/>
      <c r="E156" s="686"/>
      <c r="F156" s="686"/>
      <c r="G156" s="686"/>
      <c r="H156" s="686"/>
      <c r="I156" s="686"/>
      <c r="J156" s="686"/>
      <c r="K156" s="686"/>
      <c r="L156" s="686"/>
      <c r="M156" s="686"/>
      <c r="N156" s="686"/>
      <c r="O156" s="686"/>
      <c r="P156" s="686"/>
      <c r="Q156" s="686"/>
      <c r="R156" s="735" t="s">
        <v>137</v>
      </c>
      <c r="S156" s="689"/>
      <c r="T156" s="615"/>
    </row>
    <row r="157" spans="1:20" x14ac:dyDescent="0.3">
      <c r="A157" s="581"/>
      <c r="B157" s="690"/>
      <c r="C157" s="690"/>
      <c r="D157" s="690"/>
      <c r="E157" s="690"/>
      <c r="F157" s="690"/>
      <c r="G157" s="690"/>
      <c r="H157" s="690"/>
      <c r="I157" s="690"/>
      <c r="J157" s="690"/>
      <c r="K157" s="690"/>
      <c r="L157" s="690"/>
      <c r="M157" s="690"/>
      <c r="N157" s="690"/>
      <c r="O157" s="690"/>
      <c r="P157" s="690"/>
      <c r="Q157" s="690"/>
      <c r="R157" s="736"/>
      <c r="S157" s="584"/>
      <c r="T157" s="579"/>
    </row>
    <row r="158" spans="1:20" x14ac:dyDescent="0.3">
      <c r="A158" s="581"/>
      <c r="B158" s="731" t="s">
        <v>59</v>
      </c>
      <c r="C158" s="583"/>
      <c r="D158" s="583"/>
      <c r="E158" s="583"/>
      <c r="F158" s="583"/>
      <c r="G158" s="583"/>
      <c r="H158" s="583"/>
      <c r="I158" s="583"/>
      <c r="J158" s="583"/>
      <c r="K158" s="583"/>
      <c r="L158" s="583"/>
      <c r="M158" s="583"/>
      <c r="N158" s="583"/>
      <c r="O158" s="583"/>
      <c r="P158" s="583"/>
      <c r="Q158" s="583"/>
      <c r="R158" s="737"/>
      <c r="S158" s="584"/>
      <c r="T158" s="579"/>
    </row>
    <row r="159" spans="1:20" s="616" customFormat="1" x14ac:dyDescent="0.3">
      <c r="A159" s="685"/>
      <c r="B159" s="686" t="s">
        <v>60</v>
      </c>
      <c r="C159" s="686"/>
      <c r="D159" s="686"/>
      <c r="E159" s="686"/>
      <c r="F159" s="686"/>
      <c r="G159" s="686"/>
      <c r="H159" s="686"/>
      <c r="I159" s="686"/>
      <c r="J159" s="686"/>
      <c r="K159" s="686"/>
      <c r="L159" s="686"/>
      <c r="M159" s="686"/>
      <c r="N159" s="686"/>
      <c r="O159" s="686"/>
      <c r="P159" s="686"/>
      <c r="Q159" s="686"/>
      <c r="R159" s="688">
        <v>0</v>
      </c>
      <c r="S159" s="689"/>
      <c r="T159" s="615"/>
    </row>
    <row r="160" spans="1:20" s="616" customFormat="1" x14ac:dyDescent="0.3">
      <c r="A160" s="685"/>
      <c r="B160" s="686" t="s">
        <v>61</v>
      </c>
      <c r="C160" s="686"/>
      <c r="D160" s="686"/>
      <c r="E160" s="686"/>
      <c r="F160" s="686"/>
      <c r="G160" s="686"/>
      <c r="H160" s="686"/>
      <c r="I160" s="686"/>
      <c r="J160" s="686"/>
      <c r="K160" s="686"/>
      <c r="L160" s="686"/>
      <c r="M160" s="686"/>
      <c r="N160" s="686"/>
      <c r="O160" s="686"/>
      <c r="P160" s="686"/>
      <c r="Q160" s="686"/>
      <c r="R160" s="688">
        <f>P113</f>
        <v>29</v>
      </c>
      <c r="S160" s="689"/>
      <c r="T160" s="615"/>
    </row>
    <row r="161" spans="1:20" s="616" customFormat="1" x14ac:dyDescent="0.3">
      <c r="A161" s="685"/>
      <c r="B161" s="686" t="s">
        <v>62</v>
      </c>
      <c r="C161" s="686"/>
      <c r="D161" s="686"/>
      <c r="E161" s="686"/>
      <c r="F161" s="686"/>
      <c r="G161" s="686"/>
      <c r="H161" s="686"/>
      <c r="I161" s="686"/>
      <c r="J161" s="686"/>
      <c r="K161" s="686"/>
      <c r="L161" s="686"/>
      <c r="M161" s="686"/>
      <c r="N161" s="686"/>
      <c r="O161" s="686"/>
      <c r="P161" s="686"/>
      <c r="Q161" s="686"/>
      <c r="R161" s="688">
        <f>R160+R159</f>
        <v>29</v>
      </c>
      <c r="S161" s="689"/>
      <c r="T161" s="615"/>
    </row>
    <row r="162" spans="1:20" s="616" customFormat="1" x14ac:dyDescent="0.3">
      <c r="A162" s="685"/>
      <c r="B162" s="686" t="s">
        <v>308</v>
      </c>
      <c r="C162" s="686"/>
      <c r="D162" s="686"/>
      <c r="E162" s="686"/>
      <c r="F162" s="686"/>
      <c r="G162" s="686"/>
      <c r="H162" s="686"/>
      <c r="I162" s="686"/>
      <c r="J162" s="686"/>
      <c r="K162" s="686"/>
      <c r="L162" s="686"/>
      <c r="M162" s="686"/>
      <c r="N162" s="686"/>
      <c r="O162" s="686"/>
      <c r="P162" s="686"/>
      <c r="Q162" s="686"/>
      <c r="R162" s="688">
        <f>R113</f>
        <v>-29</v>
      </c>
      <c r="S162" s="689"/>
      <c r="T162" s="615"/>
    </row>
    <row r="163" spans="1:20" s="616" customFormat="1" x14ac:dyDescent="0.3">
      <c r="A163" s="685"/>
      <c r="B163" s="686" t="s">
        <v>63</v>
      </c>
      <c r="C163" s="686"/>
      <c r="D163" s="686"/>
      <c r="E163" s="686"/>
      <c r="F163" s="686"/>
      <c r="G163" s="686"/>
      <c r="H163" s="686"/>
      <c r="I163" s="686"/>
      <c r="J163" s="686"/>
      <c r="K163" s="686"/>
      <c r="L163" s="686"/>
      <c r="M163" s="686"/>
      <c r="N163" s="686"/>
      <c r="O163" s="686"/>
      <c r="P163" s="686"/>
      <c r="Q163" s="686"/>
      <c r="R163" s="688">
        <f>R161+R162</f>
        <v>0</v>
      </c>
      <c r="S163" s="689"/>
      <c r="T163" s="615"/>
    </row>
    <row r="164" spans="1:20" s="616" customFormat="1" x14ac:dyDescent="0.3">
      <c r="A164" s="685"/>
      <c r="B164" s="686" t="s">
        <v>276</v>
      </c>
      <c r="C164" s="686"/>
      <c r="D164" s="686"/>
      <c r="E164" s="686"/>
      <c r="F164" s="686"/>
      <c r="G164" s="686"/>
      <c r="H164" s="686"/>
      <c r="I164" s="686"/>
      <c r="J164" s="686"/>
      <c r="K164" s="686"/>
      <c r="L164" s="686"/>
      <c r="M164" s="686"/>
      <c r="N164" s="686"/>
      <c r="O164" s="686"/>
      <c r="P164" s="686"/>
      <c r="Q164" s="686"/>
      <c r="R164" s="688">
        <v>0</v>
      </c>
      <c r="S164" s="689"/>
      <c r="T164" s="615"/>
    </row>
    <row r="165" spans="1:20" s="616" customFormat="1" ht="16.2" thickBot="1" x14ac:dyDescent="0.35">
      <c r="A165" s="611"/>
      <c r="B165" s="661"/>
      <c r="C165" s="661"/>
      <c r="D165" s="661"/>
      <c r="E165" s="661"/>
      <c r="F165" s="661"/>
      <c r="G165" s="661"/>
      <c r="H165" s="661"/>
      <c r="I165" s="661"/>
      <c r="J165" s="661"/>
      <c r="K165" s="661"/>
      <c r="L165" s="661"/>
      <c r="M165" s="661"/>
      <c r="N165" s="661"/>
      <c r="O165" s="661"/>
      <c r="P165" s="661"/>
      <c r="Q165" s="661"/>
      <c r="R165" s="733"/>
      <c r="S165" s="734"/>
      <c r="T165" s="615"/>
    </row>
    <row r="166" spans="1:20" x14ac:dyDescent="0.3">
      <c r="A166" s="575"/>
      <c r="B166" s="577"/>
      <c r="C166" s="577"/>
      <c r="D166" s="577"/>
      <c r="E166" s="577"/>
      <c r="F166" s="577"/>
      <c r="G166" s="577"/>
      <c r="H166" s="577"/>
      <c r="I166" s="577"/>
      <c r="J166" s="577"/>
      <c r="K166" s="577"/>
      <c r="L166" s="577"/>
      <c r="M166" s="577"/>
      <c r="N166" s="577"/>
      <c r="O166" s="577"/>
      <c r="P166" s="577"/>
      <c r="Q166" s="577"/>
      <c r="R166" s="738"/>
      <c r="S166" s="578"/>
      <c r="T166" s="579"/>
    </row>
    <row r="167" spans="1:20" x14ac:dyDescent="0.3">
      <c r="A167" s="581"/>
      <c r="B167" s="731" t="s">
        <v>64</v>
      </c>
      <c r="C167" s="583"/>
      <c r="D167" s="583"/>
      <c r="E167" s="583"/>
      <c r="F167" s="583"/>
      <c r="G167" s="583"/>
      <c r="H167" s="583"/>
      <c r="I167" s="583"/>
      <c r="J167" s="583"/>
      <c r="K167" s="583"/>
      <c r="L167" s="583"/>
      <c r="M167" s="583"/>
      <c r="N167" s="583"/>
      <c r="O167" s="583"/>
      <c r="P167" s="583"/>
      <c r="Q167" s="583"/>
      <c r="R167" s="679"/>
      <c r="S167" s="584"/>
      <c r="T167" s="579"/>
    </row>
    <row r="168" spans="1:20" x14ac:dyDescent="0.3">
      <c r="A168" s="581"/>
      <c r="B168" s="730"/>
      <c r="C168" s="583"/>
      <c r="D168" s="583"/>
      <c r="E168" s="583"/>
      <c r="F168" s="583"/>
      <c r="G168" s="583"/>
      <c r="H168" s="583"/>
      <c r="I168" s="583"/>
      <c r="J168" s="583"/>
      <c r="K168" s="583"/>
      <c r="L168" s="583"/>
      <c r="M168" s="583"/>
      <c r="N168" s="583"/>
      <c r="O168" s="583"/>
      <c r="P168" s="583"/>
      <c r="Q168" s="583"/>
      <c r="R168" s="679"/>
      <c r="S168" s="584"/>
      <c r="T168" s="579"/>
    </row>
    <row r="169" spans="1:20" s="616" customFormat="1" x14ac:dyDescent="0.3">
      <c r="A169" s="685"/>
      <c r="B169" s="686" t="s">
        <v>65</v>
      </c>
      <c r="C169" s="686"/>
      <c r="D169" s="686"/>
      <c r="E169" s="686"/>
      <c r="F169" s="686"/>
      <c r="G169" s="686"/>
      <c r="H169" s="686"/>
      <c r="I169" s="686"/>
      <c r="J169" s="686"/>
      <c r="K169" s="686"/>
      <c r="L169" s="686"/>
      <c r="M169" s="686"/>
      <c r="N169" s="686"/>
      <c r="O169" s="686"/>
      <c r="P169" s="686"/>
      <c r="Q169" s="686"/>
      <c r="R169" s="688">
        <f>R69</f>
        <v>344196</v>
      </c>
      <c r="S169" s="689"/>
      <c r="T169" s="615"/>
    </row>
    <row r="170" spans="1:20" s="616" customFormat="1" x14ac:dyDescent="0.3">
      <c r="A170" s="685"/>
      <c r="B170" s="686" t="s">
        <v>66</v>
      </c>
      <c r="C170" s="686"/>
      <c r="D170" s="686"/>
      <c r="E170" s="686"/>
      <c r="F170" s="686"/>
      <c r="G170" s="686"/>
      <c r="H170" s="686"/>
      <c r="I170" s="686"/>
      <c r="J170" s="686"/>
      <c r="K170" s="686"/>
      <c r="L170" s="686"/>
      <c r="M170" s="686"/>
      <c r="N170" s="686"/>
      <c r="O170" s="686"/>
      <c r="P170" s="686"/>
      <c r="Q170" s="686"/>
      <c r="R170" s="688">
        <f>R82</f>
        <v>344196</v>
      </c>
      <c r="S170" s="689"/>
      <c r="T170" s="615"/>
    </row>
    <row r="171" spans="1:20" ht="16.2" thickBot="1" x14ac:dyDescent="0.35">
      <c r="A171" s="581"/>
      <c r="B171" s="690"/>
      <c r="C171" s="690"/>
      <c r="D171" s="690"/>
      <c r="E171" s="690"/>
      <c r="F171" s="690"/>
      <c r="G171" s="690"/>
      <c r="H171" s="690"/>
      <c r="I171" s="690"/>
      <c r="J171" s="690"/>
      <c r="K171" s="690"/>
      <c r="L171" s="690"/>
      <c r="M171" s="690"/>
      <c r="N171" s="690"/>
      <c r="O171" s="690"/>
      <c r="P171" s="690"/>
      <c r="Q171" s="690"/>
      <c r="R171" s="736"/>
      <c r="S171" s="584"/>
      <c r="T171" s="579"/>
    </row>
    <row r="172" spans="1:20" x14ac:dyDescent="0.3">
      <c r="A172" s="575"/>
      <c r="B172" s="577"/>
      <c r="C172" s="577"/>
      <c r="D172" s="577"/>
      <c r="E172" s="577"/>
      <c r="F172" s="577"/>
      <c r="G172" s="577"/>
      <c r="H172" s="577"/>
      <c r="I172" s="577"/>
      <c r="J172" s="577"/>
      <c r="K172" s="577"/>
      <c r="L172" s="577"/>
      <c r="M172" s="577"/>
      <c r="N172" s="577"/>
      <c r="O172" s="577"/>
      <c r="P172" s="577"/>
      <c r="Q172" s="577"/>
      <c r="R172" s="738"/>
      <c r="S172" s="578"/>
      <c r="T172" s="579"/>
    </row>
    <row r="173" spans="1:20" x14ac:dyDescent="0.3">
      <c r="A173" s="581"/>
      <c r="B173" s="731" t="s">
        <v>67</v>
      </c>
      <c r="C173" s="739"/>
      <c r="D173" s="739"/>
      <c r="E173" s="739"/>
      <c r="F173" s="739"/>
      <c r="G173" s="739"/>
      <c r="H173" s="740"/>
      <c r="I173" s="740"/>
      <c r="J173" s="740"/>
      <c r="K173" s="740"/>
      <c r="L173" s="740"/>
      <c r="M173" s="740"/>
      <c r="N173" s="740"/>
      <c r="O173" s="741" t="s">
        <v>112</v>
      </c>
      <c r="P173" s="741" t="s">
        <v>120</v>
      </c>
      <c r="Q173" s="586"/>
      <c r="R173" s="742" t="s">
        <v>129</v>
      </c>
      <c r="S173" s="743"/>
      <c r="T173" s="579"/>
    </row>
    <row r="174" spans="1:20" s="616" customFormat="1" x14ac:dyDescent="0.3">
      <c r="A174" s="685"/>
      <c r="B174" s="686" t="s">
        <v>68</v>
      </c>
      <c r="C174" s="686"/>
      <c r="D174" s="686"/>
      <c r="E174" s="686"/>
      <c r="F174" s="686"/>
      <c r="G174" s="686"/>
      <c r="H174" s="686"/>
      <c r="I174" s="686"/>
      <c r="J174" s="686"/>
      <c r="K174" s="686"/>
      <c r="L174" s="686"/>
      <c r="M174" s="686"/>
      <c r="N174" s="686"/>
      <c r="O174" s="688">
        <v>160000</v>
      </c>
      <c r="P174" s="708"/>
      <c r="Q174" s="686"/>
      <c r="R174" s="688"/>
      <c r="S174" s="689"/>
      <c r="T174" s="615"/>
    </row>
    <row r="175" spans="1:20" s="616" customFormat="1" x14ac:dyDescent="0.3">
      <c r="A175" s="685"/>
      <c r="B175" s="686" t="s">
        <v>69</v>
      </c>
      <c r="C175" s="686"/>
      <c r="D175" s="686"/>
      <c r="E175" s="686"/>
      <c r="F175" s="686"/>
      <c r="G175" s="686"/>
      <c r="H175" s="686"/>
      <c r="I175" s="686"/>
      <c r="J175" s="686"/>
      <c r="K175" s="686"/>
      <c r="L175" s="686"/>
      <c r="M175" s="686"/>
      <c r="N175" s="686"/>
      <c r="O175" s="688">
        <f>+'June 17'!O177</f>
        <v>92006</v>
      </c>
      <c r="P175" s="688">
        <f>+'June 17'!P177</f>
        <v>8496</v>
      </c>
      <c r="Q175" s="686"/>
      <c r="R175" s="688">
        <f>O175+P175</f>
        <v>100502</v>
      </c>
      <c r="S175" s="689"/>
      <c r="T175" s="615"/>
    </row>
    <row r="176" spans="1:20" s="616" customFormat="1" x14ac:dyDescent="0.3">
      <c r="A176" s="685"/>
      <c r="B176" s="686" t="s">
        <v>70</v>
      </c>
      <c r="C176" s="686"/>
      <c r="D176" s="686"/>
      <c r="E176" s="686"/>
      <c r="F176" s="686"/>
      <c r="G176" s="686"/>
      <c r="H176" s="686"/>
      <c r="I176" s="686"/>
      <c r="J176" s="686"/>
      <c r="K176" s="686"/>
      <c r="L176" s="686"/>
      <c r="M176" s="686"/>
      <c r="N176" s="686"/>
      <c r="O176" s="687">
        <v>80</v>
      </c>
      <c r="P176" s="687">
        <f>-P95-P120</f>
        <v>0</v>
      </c>
      <c r="Q176" s="686"/>
      <c r="R176" s="688">
        <f>O176+P176</f>
        <v>80</v>
      </c>
      <c r="S176" s="689"/>
      <c r="T176" s="615"/>
    </row>
    <row r="177" spans="1:20" s="616" customFormat="1" x14ac:dyDescent="0.3">
      <c r="A177" s="685"/>
      <c r="B177" s="686" t="s">
        <v>71</v>
      </c>
      <c r="C177" s="686"/>
      <c r="D177" s="686"/>
      <c r="E177" s="686"/>
      <c r="F177" s="686"/>
      <c r="G177" s="686"/>
      <c r="H177" s="686"/>
      <c r="I177" s="686"/>
      <c r="J177" s="686"/>
      <c r="K177" s="686"/>
      <c r="L177" s="686"/>
      <c r="M177" s="686"/>
      <c r="N177" s="686"/>
      <c r="O177" s="688">
        <f>O175+O176</f>
        <v>92086</v>
      </c>
      <c r="P177" s="688">
        <f>P176+P175</f>
        <v>8496</v>
      </c>
      <c r="Q177" s="686"/>
      <c r="R177" s="688">
        <f>O177+P177</f>
        <v>100582</v>
      </c>
      <c r="S177" s="689"/>
      <c r="T177" s="615"/>
    </row>
    <row r="178" spans="1:20" s="616" customFormat="1" x14ac:dyDescent="0.3">
      <c r="A178" s="685"/>
      <c r="B178" s="686" t="s">
        <v>72</v>
      </c>
      <c r="C178" s="686"/>
      <c r="D178" s="686"/>
      <c r="E178" s="686"/>
      <c r="F178" s="686"/>
      <c r="G178" s="686"/>
      <c r="H178" s="686"/>
      <c r="I178" s="686"/>
      <c r="J178" s="686"/>
      <c r="K178" s="686"/>
      <c r="L178" s="686"/>
      <c r="M178" s="686"/>
      <c r="N178" s="686"/>
      <c r="O178" s="688">
        <f>O174-O177-P177</f>
        <v>59418</v>
      </c>
      <c r="P178" s="708"/>
      <c r="Q178" s="686"/>
      <c r="R178" s="688"/>
      <c r="S178" s="689"/>
      <c r="T178" s="615"/>
    </row>
    <row r="179" spans="1:20" ht="16.2" thickBot="1" x14ac:dyDescent="0.35">
      <c r="A179" s="581"/>
      <c r="B179" s="690"/>
      <c r="C179" s="690"/>
      <c r="D179" s="690"/>
      <c r="E179" s="690"/>
      <c r="F179" s="690"/>
      <c r="G179" s="690"/>
      <c r="H179" s="690"/>
      <c r="I179" s="690"/>
      <c r="J179" s="690"/>
      <c r="K179" s="690"/>
      <c r="L179" s="690"/>
      <c r="M179" s="690"/>
      <c r="N179" s="690"/>
      <c r="O179" s="690"/>
      <c r="P179" s="690"/>
      <c r="Q179" s="690"/>
      <c r="R179" s="736"/>
      <c r="S179" s="584"/>
      <c r="T179" s="579"/>
    </row>
    <row r="180" spans="1:20" x14ac:dyDescent="0.3">
      <c r="A180" s="575"/>
      <c r="B180" s="577"/>
      <c r="C180" s="577"/>
      <c r="D180" s="577"/>
      <c r="E180" s="577"/>
      <c r="F180" s="577"/>
      <c r="G180" s="577"/>
      <c r="H180" s="577"/>
      <c r="I180" s="577"/>
      <c r="J180" s="577"/>
      <c r="K180" s="577"/>
      <c r="L180" s="577"/>
      <c r="M180" s="577"/>
      <c r="N180" s="577"/>
      <c r="O180" s="577"/>
      <c r="P180" s="577"/>
      <c r="Q180" s="577"/>
      <c r="R180" s="738"/>
      <c r="S180" s="578"/>
      <c r="T180" s="579"/>
    </row>
    <row r="181" spans="1:20" x14ac:dyDescent="0.3">
      <c r="A181" s="581"/>
      <c r="B181" s="731" t="s">
        <v>73</v>
      </c>
      <c r="C181" s="583"/>
      <c r="D181" s="583"/>
      <c r="E181" s="583"/>
      <c r="F181" s="583"/>
      <c r="G181" s="583"/>
      <c r="H181" s="583"/>
      <c r="I181" s="583"/>
      <c r="J181" s="583"/>
      <c r="K181" s="583"/>
      <c r="L181" s="583"/>
      <c r="M181" s="583"/>
      <c r="N181" s="583"/>
      <c r="O181" s="583"/>
      <c r="P181" s="583"/>
      <c r="Q181" s="583"/>
      <c r="R181" s="744"/>
      <c r="S181" s="584"/>
      <c r="T181" s="579"/>
    </row>
    <row r="182" spans="1:20" s="616" customFormat="1" x14ac:dyDescent="0.3">
      <c r="A182" s="685"/>
      <c r="B182" s="686" t="s">
        <v>74</v>
      </c>
      <c r="C182" s="686"/>
      <c r="D182" s="686"/>
      <c r="E182" s="686"/>
      <c r="F182" s="686"/>
      <c r="G182" s="686"/>
      <c r="H182" s="686"/>
      <c r="I182" s="686"/>
      <c r="J182" s="686"/>
      <c r="K182" s="686"/>
      <c r="L182" s="686"/>
      <c r="M182" s="686"/>
      <c r="N182" s="686"/>
      <c r="O182" s="686"/>
      <c r="P182" s="686"/>
      <c r="Q182" s="686"/>
      <c r="R182" s="735">
        <f>(R98+R100+R101+R102+R103+R104)/-(R105+R106+R107+R108)</f>
        <v>3.8092369477911645</v>
      </c>
      <c r="S182" s="689" t="s">
        <v>130</v>
      </c>
      <c r="T182" s="615"/>
    </row>
    <row r="183" spans="1:20" s="616" customFormat="1" x14ac:dyDescent="0.3">
      <c r="A183" s="685"/>
      <c r="B183" s="686" t="s">
        <v>75</v>
      </c>
      <c r="C183" s="686"/>
      <c r="D183" s="686"/>
      <c r="E183" s="686"/>
      <c r="F183" s="686"/>
      <c r="G183" s="686"/>
      <c r="H183" s="686"/>
      <c r="I183" s="686"/>
      <c r="J183" s="686"/>
      <c r="K183" s="686"/>
      <c r="L183" s="686"/>
      <c r="M183" s="686"/>
      <c r="N183" s="686"/>
      <c r="O183" s="686"/>
      <c r="P183" s="686"/>
      <c r="Q183" s="686"/>
      <c r="R183" s="735">
        <v>1.66</v>
      </c>
      <c r="S183" s="689" t="s">
        <v>130</v>
      </c>
      <c r="T183" s="615"/>
    </row>
    <row r="184" spans="1:20" s="616" customFormat="1" x14ac:dyDescent="0.3">
      <c r="A184" s="685"/>
      <c r="B184" s="686" t="s">
        <v>76</v>
      </c>
      <c r="C184" s="686"/>
      <c r="D184" s="686"/>
      <c r="E184" s="686"/>
      <c r="F184" s="686"/>
      <c r="G184" s="686"/>
      <c r="H184" s="686"/>
      <c r="I184" s="686"/>
      <c r="J184" s="686"/>
      <c r="K184" s="686"/>
      <c r="L184" s="686"/>
      <c r="M184" s="686"/>
      <c r="N184" s="686"/>
      <c r="O184" s="686"/>
      <c r="P184" s="686"/>
      <c r="Q184" s="686"/>
      <c r="R184" s="735">
        <f>(R98+R100+R101+R102+R103+R104+R105+R106+R107+R108)/-(R109+R110)</f>
        <v>4.9609929078014181</v>
      </c>
      <c r="S184" s="689" t="s">
        <v>130</v>
      </c>
      <c r="T184" s="615"/>
    </row>
    <row r="185" spans="1:20" s="616" customFormat="1" x14ac:dyDescent="0.3">
      <c r="A185" s="685"/>
      <c r="B185" s="686" t="s">
        <v>77</v>
      </c>
      <c r="C185" s="686"/>
      <c r="D185" s="686"/>
      <c r="E185" s="686"/>
      <c r="F185" s="686"/>
      <c r="G185" s="686"/>
      <c r="H185" s="686"/>
      <c r="I185" s="686"/>
      <c r="J185" s="686"/>
      <c r="K185" s="686"/>
      <c r="L185" s="686"/>
      <c r="M185" s="686"/>
      <c r="N185" s="686"/>
      <c r="O185" s="686"/>
      <c r="P185" s="686"/>
      <c r="Q185" s="686"/>
      <c r="R185" s="745">
        <v>3.15</v>
      </c>
      <c r="S185" s="689" t="s">
        <v>130</v>
      </c>
      <c r="T185" s="615"/>
    </row>
    <row r="186" spans="1:20" s="616" customFormat="1" x14ac:dyDescent="0.3">
      <c r="A186" s="685"/>
      <c r="B186" s="700"/>
      <c r="C186" s="700"/>
      <c r="D186" s="700"/>
      <c r="E186" s="700"/>
      <c r="F186" s="700"/>
      <c r="G186" s="700"/>
      <c r="H186" s="700"/>
      <c r="I186" s="700"/>
      <c r="J186" s="700"/>
      <c r="K186" s="700"/>
      <c r="L186" s="700"/>
      <c r="M186" s="700"/>
      <c r="N186" s="700"/>
      <c r="O186" s="700"/>
      <c r="P186" s="700"/>
      <c r="Q186" s="700"/>
      <c r="R186" s="700"/>
      <c r="S186" s="689"/>
      <c r="T186" s="615"/>
    </row>
    <row r="187" spans="1:20" s="616" customFormat="1" x14ac:dyDescent="0.3">
      <c r="A187" s="611"/>
      <c r="B187" s="661"/>
      <c r="C187" s="661"/>
      <c r="D187" s="661"/>
      <c r="E187" s="661"/>
      <c r="F187" s="661"/>
      <c r="G187" s="661"/>
      <c r="H187" s="661"/>
      <c r="I187" s="661"/>
      <c r="J187" s="661"/>
      <c r="K187" s="661"/>
      <c r="L187" s="661"/>
      <c r="M187" s="661"/>
      <c r="N187" s="661"/>
      <c r="O187" s="661"/>
      <c r="P187" s="661"/>
      <c r="Q187" s="661"/>
      <c r="R187" s="661"/>
      <c r="S187" s="734"/>
      <c r="T187" s="615"/>
    </row>
    <row r="188" spans="1:20" s="616" customFormat="1" x14ac:dyDescent="0.3">
      <c r="A188" s="611"/>
      <c r="B188" s="600"/>
      <c r="C188" s="600"/>
      <c r="D188" s="600"/>
      <c r="E188" s="600"/>
      <c r="F188" s="600"/>
      <c r="G188" s="600"/>
      <c r="H188" s="600"/>
      <c r="I188" s="600"/>
      <c r="J188" s="600"/>
      <c r="K188" s="600"/>
      <c r="L188" s="600"/>
      <c r="M188" s="600"/>
      <c r="N188" s="600"/>
      <c r="O188" s="600"/>
      <c r="P188" s="600"/>
      <c r="Q188" s="600"/>
      <c r="R188" s="600"/>
      <c r="S188" s="734"/>
      <c r="T188" s="615"/>
    </row>
    <row r="189" spans="1:20" s="616" customFormat="1" ht="18.600000000000001" thickBot="1" x14ac:dyDescent="0.4">
      <c r="A189" s="669"/>
      <c r="B189" s="670" t="str">
        <f>B132</f>
        <v>PM8 INVESTOR REPORT QUARTER ENDING SEPTEMBER 2017</v>
      </c>
      <c r="C189" s="671"/>
      <c r="D189" s="671"/>
      <c r="E189" s="671"/>
      <c r="F189" s="671"/>
      <c r="G189" s="671"/>
      <c r="H189" s="671"/>
      <c r="I189" s="671"/>
      <c r="J189" s="671"/>
      <c r="K189" s="671"/>
      <c r="L189" s="671"/>
      <c r="M189" s="671"/>
      <c r="N189" s="671"/>
      <c r="O189" s="671"/>
      <c r="P189" s="671"/>
      <c r="Q189" s="671"/>
      <c r="R189" s="671"/>
      <c r="S189" s="673"/>
      <c r="T189" s="615"/>
    </row>
    <row r="190" spans="1:20" x14ac:dyDescent="0.3">
      <c r="A190" s="726"/>
      <c r="B190" s="727" t="s">
        <v>78</v>
      </c>
      <c r="C190" s="746"/>
      <c r="D190" s="746"/>
      <c r="E190" s="746"/>
      <c r="F190" s="746"/>
      <c r="G190" s="747"/>
      <c r="H190" s="747"/>
      <c r="I190" s="747"/>
      <c r="J190" s="747"/>
      <c r="K190" s="747"/>
      <c r="L190" s="747"/>
      <c r="M190" s="747"/>
      <c r="N190" s="747"/>
      <c r="O190" s="747"/>
      <c r="P190" s="747">
        <v>43007</v>
      </c>
      <c r="Q190" s="728"/>
      <c r="R190" s="728"/>
      <c r="S190" s="728"/>
      <c r="T190" s="579"/>
    </row>
    <row r="191" spans="1:20" x14ac:dyDescent="0.3">
      <c r="A191" s="748"/>
      <c r="B191" s="749"/>
      <c r="C191" s="750"/>
      <c r="D191" s="750"/>
      <c r="E191" s="750"/>
      <c r="F191" s="750"/>
      <c r="G191" s="751"/>
      <c r="H191" s="751"/>
      <c r="I191" s="751"/>
      <c r="J191" s="751"/>
      <c r="K191" s="751"/>
      <c r="L191" s="751"/>
      <c r="M191" s="751"/>
      <c r="N191" s="751"/>
      <c r="O191" s="751"/>
      <c r="P191" s="751"/>
      <c r="Q191" s="583"/>
      <c r="R191" s="583"/>
      <c r="S191" s="584"/>
      <c r="T191" s="579"/>
    </row>
    <row r="192" spans="1:20" s="616" customFormat="1" x14ac:dyDescent="0.3">
      <c r="A192" s="685"/>
      <c r="B192" s="686" t="s">
        <v>79</v>
      </c>
      <c r="C192" s="752"/>
      <c r="D192" s="752"/>
      <c r="E192" s="752"/>
      <c r="F192" s="752"/>
      <c r="G192" s="753"/>
      <c r="H192" s="753"/>
      <c r="I192" s="753"/>
      <c r="J192" s="753"/>
      <c r="K192" s="753"/>
      <c r="L192" s="753"/>
      <c r="M192" s="753"/>
      <c r="N192" s="753"/>
      <c r="O192" s="753"/>
      <c r="P192" s="754">
        <v>6.2039999999999998E-2</v>
      </c>
      <c r="Q192" s="686"/>
      <c r="R192" s="700"/>
      <c r="S192" s="689"/>
      <c r="T192" s="615"/>
    </row>
    <row r="193" spans="1:20" s="616" customFormat="1" x14ac:dyDescent="0.3">
      <c r="A193" s="685"/>
      <c r="B193" s="686" t="s">
        <v>178</v>
      </c>
      <c r="C193" s="752"/>
      <c r="D193" s="752"/>
      <c r="E193" s="752"/>
      <c r="F193" s="752"/>
      <c r="G193" s="753"/>
      <c r="H193" s="753"/>
      <c r="I193" s="753"/>
      <c r="J193" s="753"/>
      <c r="K193" s="753"/>
      <c r="L193" s="753"/>
      <c r="M193" s="753"/>
      <c r="N193" s="753"/>
      <c r="O193" s="753"/>
      <c r="P193" s="754">
        <v>5.1733455000000005E-2</v>
      </c>
      <c r="Q193" s="686"/>
      <c r="R193" s="700"/>
      <c r="S193" s="689"/>
      <c r="T193" s="615"/>
    </row>
    <row r="194" spans="1:20" s="616" customFormat="1" x14ac:dyDescent="0.3">
      <c r="A194" s="685"/>
      <c r="B194" s="686" t="s">
        <v>80</v>
      </c>
      <c r="C194" s="752"/>
      <c r="D194" s="752"/>
      <c r="E194" s="752"/>
      <c r="F194" s="752"/>
      <c r="G194" s="753"/>
      <c r="H194" s="753"/>
      <c r="I194" s="753"/>
      <c r="J194" s="753"/>
      <c r="K194" s="753"/>
      <c r="L194" s="753"/>
      <c r="M194" s="753"/>
      <c r="N194" s="753"/>
      <c r="O194" s="753"/>
      <c r="P194" s="754">
        <f>P192-P193</f>
        <v>1.0306544999999993E-2</v>
      </c>
      <c r="Q194" s="686"/>
      <c r="R194" s="700"/>
      <c r="S194" s="689"/>
      <c r="T194" s="615"/>
    </row>
    <row r="195" spans="1:20" s="616" customFormat="1" x14ac:dyDescent="0.3">
      <c r="A195" s="685"/>
      <c r="B195" s="686" t="s">
        <v>81</v>
      </c>
      <c r="C195" s="752"/>
      <c r="D195" s="752"/>
      <c r="E195" s="752"/>
      <c r="F195" s="752"/>
      <c r="G195" s="753"/>
      <c r="H195" s="753"/>
      <c r="I195" s="753"/>
      <c r="J195" s="753"/>
      <c r="K195" s="753"/>
      <c r="L195" s="753"/>
      <c r="M195" s="753"/>
      <c r="N195" s="753"/>
      <c r="O195" s="753"/>
      <c r="P195" s="754">
        <v>2.1409999999999998E-2</v>
      </c>
      <c r="Q195" s="686"/>
      <c r="R195" s="700"/>
      <c r="S195" s="689"/>
      <c r="T195" s="615"/>
    </row>
    <row r="196" spans="1:20" s="616" customFormat="1" x14ac:dyDescent="0.3">
      <c r="A196" s="685"/>
      <c r="B196" s="686" t="s">
        <v>261</v>
      </c>
      <c r="C196" s="752"/>
      <c r="D196" s="752"/>
      <c r="E196" s="752"/>
      <c r="F196" s="752"/>
      <c r="G196" s="753"/>
      <c r="H196" s="753"/>
      <c r="I196" s="753"/>
      <c r="J196" s="753"/>
      <c r="K196" s="753"/>
      <c r="L196" s="753"/>
      <c r="M196" s="753"/>
      <c r="N196" s="753"/>
      <c r="O196" s="753"/>
      <c r="P196" s="754">
        <f>+R42</f>
        <v>8.9632102305177291E-3</v>
      </c>
      <c r="Q196" s="686"/>
      <c r="R196" s="700"/>
      <c r="S196" s="689"/>
      <c r="T196" s="615"/>
    </row>
    <row r="197" spans="1:20" s="616" customFormat="1" x14ac:dyDescent="0.3">
      <c r="A197" s="685"/>
      <c r="B197" s="686" t="s">
        <v>82</v>
      </c>
      <c r="C197" s="752"/>
      <c r="D197" s="752"/>
      <c r="E197" s="752"/>
      <c r="F197" s="752"/>
      <c r="G197" s="753"/>
      <c r="H197" s="753"/>
      <c r="I197" s="753"/>
      <c r="J197" s="753"/>
      <c r="K197" s="753"/>
      <c r="L197" s="753"/>
      <c r="M197" s="753"/>
      <c r="N197" s="753"/>
      <c r="O197" s="753"/>
      <c r="P197" s="754">
        <f>P195-P196</f>
        <v>1.2446789769482269E-2</v>
      </c>
      <c r="Q197" s="686"/>
      <c r="R197" s="700"/>
      <c r="S197" s="689"/>
      <c r="T197" s="615"/>
    </row>
    <row r="198" spans="1:20" s="616" customFormat="1" x14ac:dyDescent="0.3">
      <c r="A198" s="685"/>
      <c r="B198" s="686" t="s">
        <v>267</v>
      </c>
      <c r="C198" s="752"/>
      <c r="D198" s="752"/>
      <c r="E198" s="752"/>
      <c r="F198" s="752"/>
      <c r="G198" s="753"/>
      <c r="H198" s="753"/>
      <c r="I198" s="753"/>
      <c r="J198" s="753"/>
      <c r="K198" s="753"/>
      <c r="L198" s="753"/>
      <c r="M198" s="753"/>
      <c r="N198" s="753"/>
      <c r="O198" s="753"/>
      <c r="P198" s="754">
        <f>+R98/J69</f>
        <v>5.9849531001999762E-3</v>
      </c>
      <c r="Q198" s="686"/>
      <c r="R198" s="700"/>
      <c r="S198" s="689"/>
      <c r="T198" s="615"/>
    </row>
    <row r="199" spans="1:20" s="616" customFormat="1" x14ac:dyDescent="0.3">
      <c r="A199" s="685"/>
      <c r="B199" s="686" t="s">
        <v>208</v>
      </c>
      <c r="C199" s="752"/>
      <c r="D199" s="752"/>
      <c r="E199" s="752"/>
      <c r="F199" s="752"/>
      <c r="G199" s="753"/>
      <c r="H199" s="753"/>
      <c r="I199" s="753"/>
      <c r="J199" s="753"/>
      <c r="K199" s="753"/>
      <c r="L199" s="753"/>
      <c r="M199" s="753"/>
      <c r="N199" s="753"/>
      <c r="O199" s="753"/>
      <c r="P199" s="755">
        <v>12875</v>
      </c>
      <c r="Q199" s="686"/>
      <c r="R199" s="700"/>
      <c r="S199" s="689"/>
      <c r="T199" s="615"/>
    </row>
    <row r="200" spans="1:20" s="616" customFormat="1" x14ac:dyDescent="0.3">
      <c r="A200" s="685"/>
      <c r="B200" s="686" t="s">
        <v>209</v>
      </c>
      <c r="C200" s="752"/>
      <c r="D200" s="752"/>
      <c r="E200" s="752"/>
      <c r="F200" s="752"/>
      <c r="G200" s="753"/>
      <c r="H200" s="753"/>
      <c r="I200" s="753"/>
      <c r="J200" s="753"/>
      <c r="K200" s="753"/>
      <c r="L200" s="753"/>
      <c r="M200" s="753"/>
      <c r="N200" s="753"/>
      <c r="O200" s="753"/>
      <c r="P200" s="755">
        <v>16163</v>
      </c>
      <c r="Q200" s="686"/>
      <c r="R200" s="700"/>
      <c r="S200" s="689"/>
      <c r="T200" s="615"/>
    </row>
    <row r="201" spans="1:20" s="616" customFormat="1" x14ac:dyDescent="0.3">
      <c r="A201" s="685"/>
      <c r="B201" s="686" t="s">
        <v>83</v>
      </c>
      <c r="C201" s="752"/>
      <c r="D201" s="752"/>
      <c r="E201" s="752"/>
      <c r="F201" s="752"/>
      <c r="G201" s="753"/>
      <c r="H201" s="753"/>
      <c r="I201" s="753"/>
      <c r="J201" s="753"/>
      <c r="K201" s="753"/>
      <c r="L201" s="753"/>
      <c r="M201" s="753"/>
      <c r="N201" s="753"/>
      <c r="O201" s="753"/>
      <c r="P201" s="756">
        <v>19.739999999999998</v>
      </c>
      <c r="Q201" s="686" t="s">
        <v>125</v>
      </c>
      <c r="R201" s="700"/>
      <c r="S201" s="689"/>
      <c r="T201" s="615"/>
    </row>
    <row r="202" spans="1:20" s="616" customFormat="1" x14ac:dyDescent="0.3">
      <c r="A202" s="685"/>
      <c r="B202" s="686" t="s">
        <v>84</v>
      </c>
      <c r="C202" s="752"/>
      <c r="D202" s="752"/>
      <c r="E202" s="752"/>
      <c r="F202" s="752"/>
      <c r="G202" s="753"/>
      <c r="H202" s="753"/>
      <c r="I202" s="753"/>
      <c r="J202" s="753"/>
      <c r="K202" s="753"/>
      <c r="L202" s="753"/>
      <c r="M202" s="753"/>
      <c r="N202" s="753"/>
      <c r="O202" s="753"/>
      <c r="P202" s="756">
        <v>9.2799999999999994</v>
      </c>
      <c r="Q202" s="686" t="s">
        <v>125</v>
      </c>
      <c r="R202" s="700"/>
      <c r="S202" s="689"/>
      <c r="T202" s="615"/>
    </row>
    <row r="203" spans="1:20" s="616" customFormat="1" x14ac:dyDescent="0.3">
      <c r="A203" s="685"/>
      <c r="B203" s="686" t="s">
        <v>85</v>
      </c>
      <c r="C203" s="752"/>
      <c r="D203" s="752"/>
      <c r="E203" s="752"/>
      <c r="F203" s="752"/>
      <c r="G203" s="753"/>
      <c r="H203" s="753"/>
      <c r="I203" s="753"/>
      <c r="J203" s="753"/>
      <c r="K203" s="753"/>
      <c r="L203" s="753"/>
      <c r="M203" s="753"/>
      <c r="N203" s="753"/>
      <c r="O203" s="753"/>
      <c r="P203" s="754">
        <f>L66/J66</f>
        <v>1.4112914778164232E-2</v>
      </c>
      <c r="Q203" s="686"/>
      <c r="R203" s="700"/>
      <c r="S203" s="689"/>
      <c r="T203" s="615"/>
    </row>
    <row r="204" spans="1:20" s="616" customFormat="1" x14ac:dyDescent="0.3">
      <c r="A204" s="685"/>
      <c r="B204" s="686" t="s">
        <v>86</v>
      </c>
      <c r="C204" s="752"/>
      <c r="D204" s="752"/>
      <c r="E204" s="752"/>
      <c r="F204" s="752"/>
      <c r="G204" s="753"/>
      <c r="H204" s="753"/>
      <c r="I204" s="753"/>
      <c r="J204" s="753"/>
      <c r="K204" s="753"/>
      <c r="L204" s="753"/>
      <c r="M204" s="753"/>
      <c r="N204" s="753"/>
      <c r="O204" s="753"/>
      <c r="P204" s="754">
        <v>8.9800000000000005E-2</v>
      </c>
      <c r="Q204" s="686"/>
      <c r="R204" s="700"/>
      <c r="S204" s="689"/>
      <c r="T204" s="615"/>
    </row>
    <row r="205" spans="1:20" s="616" customFormat="1" x14ac:dyDescent="0.3">
      <c r="A205" s="611"/>
      <c r="B205" s="661"/>
      <c r="C205" s="661"/>
      <c r="D205" s="661"/>
      <c r="E205" s="661"/>
      <c r="F205" s="661"/>
      <c r="G205" s="661"/>
      <c r="H205" s="661"/>
      <c r="I205" s="661"/>
      <c r="J205" s="661"/>
      <c r="K205" s="661"/>
      <c r="L205" s="661"/>
      <c r="M205" s="661"/>
      <c r="N205" s="661"/>
      <c r="O205" s="661"/>
      <c r="P205" s="733"/>
      <c r="Q205" s="661"/>
      <c r="R205" s="757"/>
      <c r="S205" s="734"/>
      <c r="T205" s="615"/>
    </row>
    <row r="206" spans="1:20" x14ac:dyDescent="0.3">
      <c r="A206" s="758"/>
      <c r="B206" s="701" t="s">
        <v>87</v>
      </c>
      <c r="C206" s="703"/>
      <c r="D206" s="703"/>
      <c r="E206" s="703"/>
      <c r="F206" s="759"/>
      <c r="G206" s="703"/>
      <c r="H206" s="703"/>
      <c r="I206" s="703"/>
      <c r="J206" s="703"/>
      <c r="K206" s="703"/>
      <c r="L206" s="703"/>
      <c r="M206" s="703"/>
      <c r="N206" s="703"/>
      <c r="O206" s="703" t="s">
        <v>113</v>
      </c>
      <c r="P206" s="759" t="s">
        <v>121</v>
      </c>
      <c r="Q206" s="760"/>
      <c r="R206" s="760"/>
      <c r="S206" s="705"/>
      <c r="T206" s="579"/>
    </row>
    <row r="207" spans="1:20" s="616" customFormat="1" x14ac:dyDescent="0.3">
      <c r="A207" s="761"/>
      <c r="B207" s="612" t="s">
        <v>88</v>
      </c>
      <c r="C207" s="706"/>
      <c r="D207" s="706"/>
      <c r="E207" s="706"/>
      <c r="F207" s="612"/>
      <c r="G207" s="612"/>
      <c r="H207" s="762"/>
      <c r="I207" s="762"/>
      <c r="J207" s="762"/>
      <c r="K207" s="762"/>
      <c r="L207" s="762"/>
      <c r="M207" s="762"/>
      <c r="N207" s="762"/>
      <c r="O207" s="762">
        <v>0</v>
      </c>
      <c r="P207" s="763">
        <v>0</v>
      </c>
      <c r="Q207" s="661"/>
      <c r="R207" s="757"/>
      <c r="S207" s="764"/>
      <c r="T207" s="615"/>
    </row>
    <row r="208" spans="1:20" s="616" customFormat="1" x14ac:dyDescent="0.3">
      <c r="A208" s="765"/>
      <c r="B208" s="686" t="s">
        <v>169</v>
      </c>
      <c r="C208" s="687"/>
      <c r="D208" s="687"/>
      <c r="E208" s="687"/>
      <c r="F208" s="686"/>
      <c r="G208" s="686"/>
      <c r="H208" s="766"/>
      <c r="I208" s="766"/>
      <c r="J208" s="766"/>
      <c r="K208" s="766"/>
      <c r="L208" s="766"/>
      <c r="M208" s="766"/>
      <c r="N208" s="766"/>
      <c r="O208" s="767">
        <f>+N258</f>
        <v>48</v>
      </c>
      <c r="P208" s="768">
        <f>+P258</f>
        <v>6431</v>
      </c>
      <c r="Q208" s="700"/>
      <c r="R208" s="769"/>
      <c r="S208" s="770"/>
      <c r="T208" s="615"/>
    </row>
    <row r="209" spans="1:20" s="616" customFormat="1" x14ac:dyDescent="0.3">
      <c r="A209" s="765"/>
      <c r="B209" s="686" t="s">
        <v>89</v>
      </c>
      <c r="C209" s="687"/>
      <c r="D209" s="687"/>
      <c r="E209" s="687"/>
      <c r="F209" s="686"/>
      <c r="G209" s="686"/>
      <c r="H209" s="766"/>
      <c r="I209" s="766"/>
      <c r="J209" s="766"/>
      <c r="K209" s="766"/>
      <c r="L209" s="766"/>
      <c r="M209" s="766"/>
      <c r="N209" s="766"/>
      <c r="O209" s="767">
        <f>+N270</f>
        <v>0</v>
      </c>
      <c r="P209" s="768">
        <f>+P270</f>
        <v>0</v>
      </c>
      <c r="Q209" s="700"/>
      <c r="R209" s="769"/>
      <c r="S209" s="770"/>
      <c r="T209" s="615"/>
    </row>
    <row r="210" spans="1:20" x14ac:dyDescent="0.3">
      <c r="A210" s="771"/>
      <c r="B210" s="772" t="s">
        <v>90</v>
      </c>
      <c r="C210" s="773"/>
      <c r="D210" s="773"/>
      <c r="E210" s="773"/>
      <c r="F210" s="713"/>
      <c r="G210" s="713"/>
      <c r="H210" s="713"/>
      <c r="I210" s="713"/>
      <c r="J210" s="713"/>
      <c r="K210" s="713"/>
      <c r="L210" s="713"/>
      <c r="M210" s="713"/>
      <c r="N210" s="713"/>
      <c r="O210" s="713"/>
      <c r="P210" s="768">
        <v>0</v>
      </c>
      <c r="Q210" s="713"/>
      <c r="R210" s="774"/>
      <c r="S210" s="775"/>
      <c r="T210" s="579"/>
    </row>
    <row r="211" spans="1:20" x14ac:dyDescent="0.3">
      <c r="A211" s="771"/>
      <c r="B211" s="772" t="s">
        <v>91</v>
      </c>
      <c r="C211" s="773"/>
      <c r="D211" s="773"/>
      <c r="E211" s="773"/>
      <c r="F211" s="713"/>
      <c r="G211" s="713"/>
      <c r="H211" s="713"/>
      <c r="I211" s="713"/>
      <c r="J211" s="713"/>
      <c r="K211" s="713"/>
      <c r="L211" s="713"/>
      <c r="M211" s="713"/>
      <c r="N211" s="713"/>
      <c r="O211" s="713"/>
      <c r="P211" s="776" t="s">
        <v>122</v>
      </c>
      <c r="Q211" s="713"/>
      <c r="R211" s="774"/>
      <c r="S211" s="775"/>
      <c r="T211" s="579"/>
    </row>
    <row r="212" spans="1:20" x14ac:dyDescent="0.3">
      <c r="A212" s="777"/>
      <c r="B212" s="772" t="s">
        <v>92</v>
      </c>
      <c r="C212" s="778"/>
      <c r="D212" s="778"/>
      <c r="E212" s="778"/>
      <c r="F212" s="778"/>
      <c r="G212" s="713"/>
      <c r="H212" s="713"/>
      <c r="I212" s="713"/>
      <c r="J212" s="713"/>
      <c r="K212" s="713"/>
      <c r="L212" s="713"/>
      <c r="M212" s="713"/>
      <c r="N212" s="713"/>
      <c r="O212" s="713"/>
      <c r="P212" s="779"/>
      <c r="Q212" s="713"/>
      <c r="R212" s="774"/>
      <c r="S212" s="780"/>
      <c r="T212" s="579"/>
    </row>
    <row r="213" spans="1:20" s="616" customFormat="1" x14ac:dyDescent="0.3">
      <c r="A213" s="781"/>
      <c r="B213" s="686" t="s">
        <v>93</v>
      </c>
      <c r="C213" s="686"/>
      <c r="D213" s="686"/>
      <c r="E213" s="686"/>
      <c r="F213" s="686"/>
      <c r="G213" s="686"/>
      <c r="H213" s="686"/>
      <c r="I213" s="686"/>
      <c r="J213" s="686"/>
      <c r="K213" s="686"/>
      <c r="L213" s="686"/>
      <c r="M213" s="686"/>
      <c r="N213" s="686"/>
      <c r="O213" s="766"/>
      <c r="P213" s="768">
        <f>R160</f>
        <v>29</v>
      </c>
      <c r="Q213" s="700"/>
      <c r="R213" s="769"/>
      <c r="S213" s="782"/>
      <c r="T213" s="615"/>
    </row>
    <row r="214" spans="1:20" s="616" customFormat="1" x14ac:dyDescent="0.3">
      <c r="A214" s="765"/>
      <c r="B214" s="686" t="s">
        <v>94</v>
      </c>
      <c r="C214" s="687"/>
      <c r="D214" s="687"/>
      <c r="E214" s="687"/>
      <c r="F214" s="687"/>
      <c r="G214" s="686"/>
      <c r="H214" s="686"/>
      <c r="I214" s="686"/>
      <c r="J214" s="686"/>
      <c r="K214" s="686"/>
      <c r="L214" s="686"/>
      <c r="M214" s="686"/>
      <c r="N214" s="686"/>
      <c r="O214" s="766"/>
      <c r="P214" s="768">
        <f>'June 17'!P214+P213</f>
        <v>5548</v>
      </c>
      <c r="Q214" s="700"/>
      <c r="R214" s="769"/>
      <c r="S214" s="782"/>
      <c r="T214" s="615"/>
    </row>
    <row r="215" spans="1:20" x14ac:dyDescent="0.3">
      <c r="A215" s="777" t="s">
        <v>255</v>
      </c>
      <c r="B215" s="772" t="s">
        <v>256</v>
      </c>
      <c r="C215" s="778"/>
      <c r="D215" s="778"/>
      <c r="E215" s="778"/>
      <c r="F215" s="778"/>
      <c r="G215" s="713"/>
      <c r="H215" s="713"/>
      <c r="I215" s="713"/>
      <c r="J215" s="713"/>
      <c r="K215" s="713"/>
      <c r="L215" s="713"/>
      <c r="M215" s="713"/>
      <c r="N215" s="713"/>
      <c r="O215" s="713"/>
      <c r="P215" s="779"/>
      <c r="Q215" s="713"/>
      <c r="R215" s="774"/>
      <c r="S215" s="780"/>
      <c r="T215" s="579"/>
    </row>
    <row r="216" spans="1:20" s="616" customFormat="1" x14ac:dyDescent="0.3">
      <c r="A216" s="781"/>
      <c r="B216" s="686" t="s">
        <v>283</v>
      </c>
      <c r="C216" s="686"/>
      <c r="D216" s="686"/>
      <c r="E216" s="686"/>
      <c r="F216" s="686"/>
      <c r="G216" s="686"/>
      <c r="H216" s="686"/>
      <c r="I216" s="686"/>
      <c r="J216" s="686"/>
      <c r="K216" s="686"/>
      <c r="L216" s="686"/>
      <c r="M216" s="686"/>
      <c r="N216" s="686"/>
      <c r="O216" s="766">
        <v>0</v>
      </c>
      <c r="P216" s="768">
        <v>0</v>
      </c>
      <c r="Q216" s="700"/>
      <c r="R216" s="769"/>
      <c r="S216" s="782"/>
      <c r="T216" s="615"/>
    </row>
    <row r="217" spans="1:20" s="616" customFormat="1" x14ac:dyDescent="0.3">
      <c r="A217" s="765"/>
      <c r="B217" s="686" t="s">
        <v>97</v>
      </c>
      <c r="C217" s="708"/>
      <c r="D217" s="708"/>
      <c r="E217" s="708"/>
      <c r="F217" s="783"/>
      <c r="G217" s="686"/>
      <c r="H217" s="686"/>
      <c r="I217" s="686"/>
      <c r="J217" s="686"/>
      <c r="K217" s="686"/>
      <c r="L217" s="686"/>
      <c r="M217" s="686"/>
      <c r="N217" s="686"/>
      <c r="O217" s="766"/>
      <c r="P217" s="776">
        <v>0</v>
      </c>
      <c r="Q217" s="700"/>
      <c r="R217" s="769"/>
      <c r="S217" s="782"/>
      <c r="T217" s="615"/>
    </row>
    <row r="218" spans="1:20" s="616" customFormat="1" x14ac:dyDescent="0.3">
      <c r="A218" s="765"/>
      <c r="B218" s="686" t="s">
        <v>98</v>
      </c>
      <c r="C218" s="708"/>
      <c r="D218" s="708"/>
      <c r="E218" s="708"/>
      <c r="F218" s="783"/>
      <c r="G218" s="686"/>
      <c r="H218" s="686"/>
      <c r="I218" s="686"/>
      <c r="J218" s="686"/>
      <c r="K218" s="686"/>
      <c r="L218" s="686"/>
      <c r="M218" s="686"/>
      <c r="N218" s="686"/>
      <c r="O218" s="766"/>
      <c r="P218" s="776">
        <v>0</v>
      </c>
      <c r="Q218" s="700"/>
      <c r="R218" s="769"/>
      <c r="S218" s="782"/>
      <c r="T218" s="615"/>
    </row>
    <row r="219" spans="1:20" x14ac:dyDescent="0.3">
      <c r="A219" s="771"/>
      <c r="B219" s="772" t="s">
        <v>257</v>
      </c>
      <c r="C219" s="784"/>
      <c r="D219" s="784"/>
      <c r="E219" s="784"/>
      <c r="F219" s="785"/>
      <c r="G219" s="713"/>
      <c r="H219" s="713"/>
      <c r="I219" s="713"/>
      <c r="J219" s="713"/>
      <c r="K219" s="713"/>
      <c r="L219" s="713"/>
      <c r="M219" s="713"/>
      <c r="N219" s="713"/>
      <c r="O219" s="786"/>
      <c r="P219" s="787"/>
      <c r="Q219" s="713"/>
      <c r="R219" s="774"/>
      <c r="S219" s="780"/>
      <c r="T219" s="579"/>
    </row>
    <row r="220" spans="1:20" s="616" customFormat="1" x14ac:dyDescent="0.3">
      <c r="A220" s="765"/>
      <c r="B220" s="686" t="s">
        <v>283</v>
      </c>
      <c r="C220" s="708"/>
      <c r="D220" s="708"/>
      <c r="E220" s="708"/>
      <c r="F220" s="783"/>
      <c r="G220" s="686"/>
      <c r="H220" s="686"/>
      <c r="I220" s="686"/>
      <c r="J220" s="686"/>
      <c r="K220" s="686"/>
      <c r="L220" s="686"/>
      <c r="M220" s="686"/>
      <c r="N220" s="686"/>
      <c r="O220" s="766">
        <v>3</v>
      </c>
      <c r="P220" s="768">
        <v>596</v>
      </c>
      <c r="Q220" s="700"/>
      <c r="R220" s="769"/>
      <c r="S220" s="782"/>
      <c r="T220" s="615"/>
    </row>
    <row r="221" spans="1:20" s="616" customFormat="1" x14ac:dyDescent="0.3">
      <c r="A221" s="765"/>
      <c r="B221" s="686" t="s">
        <v>258</v>
      </c>
      <c r="C221" s="708"/>
      <c r="D221" s="708"/>
      <c r="E221" s="708"/>
      <c r="F221" s="783"/>
      <c r="G221" s="686"/>
      <c r="H221" s="686"/>
      <c r="I221" s="686"/>
      <c r="J221" s="686"/>
      <c r="K221" s="686"/>
      <c r="L221" s="686"/>
      <c r="M221" s="686"/>
      <c r="N221" s="686"/>
      <c r="O221" s="686"/>
      <c r="P221" s="788">
        <v>1.39</v>
      </c>
      <c r="Q221" s="700"/>
      <c r="R221" s="769"/>
      <c r="S221" s="782"/>
      <c r="T221" s="615"/>
    </row>
    <row r="222" spans="1:20" ht="18" x14ac:dyDescent="0.35">
      <c r="A222" s="771"/>
      <c r="B222" s="789" t="s">
        <v>247</v>
      </c>
      <c r="C222" s="784"/>
      <c r="D222" s="784"/>
      <c r="E222" s="784"/>
      <c r="F222" s="785"/>
      <c r="G222" s="713"/>
      <c r="H222" s="713"/>
      <c r="I222" s="713"/>
      <c r="J222" s="790"/>
      <c r="K222" s="790" t="s">
        <v>341</v>
      </c>
      <c r="L222" s="713"/>
      <c r="M222" s="713"/>
      <c r="N222" s="713"/>
      <c r="O222" s="713"/>
      <c r="P222" s="791"/>
      <c r="Q222" s="713"/>
      <c r="R222" s="774"/>
      <c r="S222" s="780"/>
      <c r="T222" s="579"/>
    </row>
    <row r="223" spans="1:20" ht="18" x14ac:dyDescent="0.35">
      <c r="A223" s="792"/>
      <c r="B223" s="793"/>
      <c r="C223" s="794"/>
      <c r="D223" s="794"/>
      <c r="E223" s="794"/>
      <c r="F223" s="795"/>
      <c r="G223" s="690"/>
      <c r="H223" s="690"/>
      <c r="I223" s="690"/>
      <c r="J223" s="796"/>
      <c r="K223" s="690"/>
      <c r="L223" s="690"/>
      <c r="M223" s="690"/>
      <c r="N223" s="690"/>
      <c r="O223" s="690"/>
      <c r="P223" s="797"/>
      <c r="Q223" s="690"/>
      <c r="R223" s="798"/>
      <c r="S223" s="799"/>
      <c r="T223" s="579"/>
    </row>
    <row r="224" spans="1:20" x14ac:dyDescent="0.3">
      <c r="A224" s="674"/>
      <c r="B224" s="701" t="s">
        <v>298</v>
      </c>
      <c r="C224" s="703"/>
      <c r="D224" s="703"/>
      <c r="E224" s="703"/>
      <c r="F224" s="759"/>
      <c r="G224" s="703"/>
      <c r="H224" s="703"/>
      <c r="I224" s="703"/>
      <c r="J224" s="703"/>
      <c r="K224" s="703"/>
      <c r="L224" s="703"/>
      <c r="M224" s="703"/>
      <c r="N224" s="759" t="s">
        <v>113</v>
      </c>
      <c r="O224" s="703" t="s">
        <v>114</v>
      </c>
      <c r="P224" s="759" t="s">
        <v>123</v>
      </c>
      <c r="Q224" s="703" t="s">
        <v>114</v>
      </c>
      <c r="R224" s="760"/>
      <c r="S224" s="800"/>
      <c r="T224" s="579"/>
    </row>
    <row r="225" spans="1:21" s="616" customFormat="1" x14ac:dyDescent="0.3">
      <c r="A225" s="611"/>
      <c r="B225" s="706" t="s">
        <v>99</v>
      </c>
      <c r="C225" s="801"/>
      <c r="D225" s="801"/>
      <c r="E225" s="801"/>
      <c r="F225" s="612"/>
      <c r="G225" s="801"/>
      <c r="H225" s="801"/>
      <c r="I225" s="801"/>
      <c r="J225" s="801"/>
      <c r="K225" s="801"/>
      <c r="L225" s="801"/>
      <c r="M225" s="801"/>
      <c r="N225" s="706">
        <f t="shared" ref="N225:N232" si="1">+N237+N249+N261</f>
        <v>2875</v>
      </c>
      <c r="O225" s="802">
        <f t="shared" ref="O225:O232" si="2">N225/$N$234</f>
        <v>0.99343469246717342</v>
      </c>
      <c r="P225" s="707">
        <f t="shared" ref="P225:P232" si="3">+P237+P249+P261</f>
        <v>342620</v>
      </c>
      <c r="Q225" s="802">
        <f t="shared" ref="Q225:Q232" si="4">P225/$P$234</f>
        <v>0.99542121349463675</v>
      </c>
      <c r="R225" s="757"/>
      <c r="S225" s="803"/>
      <c r="T225" s="615"/>
    </row>
    <row r="226" spans="1:21" s="616" customFormat="1" x14ac:dyDescent="0.3">
      <c r="A226" s="685"/>
      <c r="B226" s="687" t="s">
        <v>100</v>
      </c>
      <c r="C226" s="804"/>
      <c r="D226" s="804"/>
      <c r="E226" s="804"/>
      <c r="F226" s="686"/>
      <c r="G226" s="805"/>
      <c r="H226" s="804"/>
      <c r="I226" s="804"/>
      <c r="J226" s="804"/>
      <c r="K226" s="804"/>
      <c r="L226" s="804"/>
      <c r="M226" s="804"/>
      <c r="N226" s="687">
        <f t="shared" si="1"/>
        <v>4</v>
      </c>
      <c r="O226" s="805">
        <f t="shared" si="2"/>
        <v>1.38217000691085E-3</v>
      </c>
      <c r="P226" s="688">
        <f t="shared" si="3"/>
        <v>426</v>
      </c>
      <c r="Q226" s="805">
        <f t="shared" si="4"/>
        <v>1.2376669107136632E-3</v>
      </c>
      <c r="R226" s="769"/>
      <c r="S226" s="782"/>
      <c r="T226" s="615"/>
      <c r="U226" s="718"/>
    </row>
    <row r="227" spans="1:21" s="616" customFormat="1" x14ac:dyDescent="0.3">
      <c r="A227" s="685"/>
      <c r="B227" s="687" t="s">
        <v>101</v>
      </c>
      <c r="C227" s="804"/>
      <c r="D227" s="804"/>
      <c r="E227" s="804"/>
      <c r="F227" s="686"/>
      <c r="G227" s="805"/>
      <c r="H227" s="804"/>
      <c r="I227" s="804"/>
      <c r="J227" s="804"/>
      <c r="K227" s="804"/>
      <c r="L227" s="804"/>
      <c r="M227" s="804"/>
      <c r="N227" s="687">
        <f t="shared" si="1"/>
        <v>12</v>
      </c>
      <c r="O227" s="805">
        <f t="shared" si="2"/>
        <v>4.1465100207325502E-3</v>
      </c>
      <c r="P227" s="688">
        <f t="shared" si="3"/>
        <v>843</v>
      </c>
      <c r="Q227" s="805">
        <f t="shared" si="4"/>
        <v>2.4491859289474602E-3</v>
      </c>
      <c r="R227" s="769"/>
      <c r="S227" s="782"/>
      <c r="T227" s="615"/>
    </row>
    <row r="228" spans="1:21" s="616" customFormat="1" x14ac:dyDescent="0.3">
      <c r="A228" s="685"/>
      <c r="B228" s="687" t="s">
        <v>210</v>
      </c>
      <c r="C228" s="804"/>
      <c r="D228" s="804"/>
      <c r="E228" s="804"/>
      <c r="F228" s="686"/>
      <c r="G228" s="805"/>
      <c r="H228" s="804"/>
      <c r="I228" s="804"/>
      <c r="J228" s="804"/>
      <c r="K228" s="804"/>
      <c r="L228" s="804"/>
      <c r="M228" s="804"/>
      <c r="N228" s="687">
        <f t="shared" si="1"/>
        <v>1</v>
      </c>
      <c r="O228" s="805">
        <f t="shared" si="2"/>
        <v>3.455425017277125E-4</v>
      </c>
      <c r="P228" s="688">
        <f t="shared" si="3"/>
        <v>112</v>
      </c>
      <c r="Q228" s="805">
        <f t="shared" si="4"/>
        <v>3.2539599530500066E-4</v>
      </c>
      <c r="R228" s="769"/>
      <c r="S228" s="782"/>
      <c r="T228" s="615"/>
      <c r="U228" s="718"/>
    </row>
    <row r="229" spans="1:21" s="616" customFormat="1" x14ac:dyDescent="0.3">
      <c r="A229" s="685"/>
      <c r="B229" s="687" t="s">
        <v>211</v>
      </c>
      <c r="C229" s="804"/>
      <c r="D229" s="804"/>
      <c r="E229" s="804"/>
      <c r="F229" s="686"/>
      <c r="G229" s="805"/>
      <c r="H229" s="804"/>
      <c r="I229" s="804"/>
      <c r="J229" s="804"/>
      <c r="K229" s="804"/>
      <c r="L229" s="804"/>
      <c r="M229" s="804"/>
      <c r="N229" s="687">
        <f t="shared" si="1"/>
        <v>0</v>
      </c>
      <c r="O229" s="805">
        <f t="shared" si="2"/>
        <v>0</v>
      </c>
      <c r="P229" s="688">
        <f t="shared" si="3"/>
        <v>0</v>
      </c>
      <c r="Q229" s="805">
        <f t="shared" si="4"/>
        <v>0</v>
      </c>
      <c r="R229" s="769"/>
      <c r="S229" s="782"/>
      <c r="T229" s="615"/>
    </row>
    <row r="230" spans="1:21" s="616" customFormat="1" x14ac:dyDescent="0.3">
      <c r="A230" s="685"/>
      <c r="B230" s="687" t="s">
        <v>212</v>
      </c>
      <c r="C230" s="804"/>
      <c r="D230" s="804"/>
      <c r="E230" s="804"/>
      <c r="F230" s="686"/>
      <c r="G230" s="805"/>
      <c r="H230" s="804"/>
      <c r="I230" s="804"/>
      <c r="J230" s="804"/>
      <c r="K230" s="804"/>
      <c r="L230" s="804"/>
      <c r="M230" s="804"/>
      <c r="N230" s="687">
        <f t="shared" si="1"/>
        <v>0</v>
      </c>
      <c r="O230" s="805">
        <f t="shared" si="2"/>
        <v>0</v>
      </c>
      <c r="P230" s="688">
        <f t="shared" si="3"/>
        <v>0</v>
      </c>
      <c r="Q230" s="805">
        <f t="shared" si="4"/>
        <v>0</v>
      </c>
      <c r="R230" s="769"/>
      <c r="S230" s="782"/>
      <c r="T230" s="615"/>
      <c r="U230" s="718"/>
    </row>
    <row r="231" spans="1:21" s="616" customFormat="1" x14ac:dyDescent="0.3">
      <c r="A231" s="685"/>
      <c r="B231" s="687" t="s">
        <v>213</v>
      </c>
      <c r="C231" s="804"/>
      <c r="D231" s="804"/>
      <c r="E231" s="804"/>
      <c r="F231" s="686"/>
      <c r="G231" s="805"/>
      <c r="H231" s="804"/>
      <c r="I231" s="804"/>
      <c r="J231" s="804"/>
      <c r="K231" s="804"/>
      <c r="L231" s="804"/>
      <c r="M231" s="804"/>
      <c r="N231" s="687">
        <f t="shared" si="1"/>
        <v>0</v>
      </c>
      <c r="O231" s="805">
        <f t="shared" si="2"/>
        <v>0</v>
      </c>
      <c r="P231" s="688">
        <f t="shared" si="3"/>
        <v>0</v>
      </c>
      <c r="Q231" s="805">
        <f t="shared" si="4"/>
        <v>0</v>
      </c>
      <c r="R231" s="769"/>
      <c r="S231" s="782"/>
      <c r="T231" s="615"/>
    </row>
    <row r="232" spans="1:21" s="616" customFormat="1" x14ac:dyDescent="0.3">
      <c r="A232" s="685"/>
      <c r="B232" s="687" t="s">
        <v>214</v>
      </c>
      <c r="C232" s="804"/>
      <c r="D232" s="804"/>
      <c r="E232" s="804"/>
      <c r="F232" s="686"/>
      <c r="G232" s="805"/>
      <c r="H232" s="804"/>
      <c r="I232" s="804"/>
      <c r="J232" s="804"/>
      <c r="K232" s="804"/>
      <c r="L232" s="804"/>
      <c r="M232" s="804"/>
      <c r="N232" s="706">
        <f t="shared" si="1"/>
        <v>2</v>
      </c>
      <c r="O232" s="802">
        <f t="shared" si="2"/>
        <v>6.9108500345542499E-4</v>
      </c>
      <c r="P232" s="707">
        <f t="shared" si="3"/>
        <v>195</v>
      </c>
      <c r="Q232" s="802">
        <f t="shared" si="4"/>
        <v>5.6653767039709937E-4</v>
      </c>
      <c r="R232" s="769"/>
      <c r="S232" s="782"/>
      <c r="T232" s="615"/>
      <c r="U232" s="718"/>
    </row>
    <row r="233" spans="1:21" s="616" customFormat="1" x14ac:dyDescent="0.3">
      <c r="A233" s="685"/>
      <c r="B233" s="686"/>
      <c r="C233" s="804"/>
      <c r="D233" s="804"/>
      <c r="E233" s="804"/>
      <c r="F233" s="686"/>
      <c r="G233" s="805"/>
      <c r="H233" s="804"/>
      <c r="I233" s="804"/>
      <c r="J233" s="804"/>
      <c r="K233" s="804"/>
      <c r="L233" s="804"/>
      <c r="M233" s="804"/>
      <c r="N233" s="687"/>
      <c r="O233" s="805"/>
      <c r="P233" s="688"/>
      <c r="Q233" s="805"/>
      <c r="R233" s="769"/>
      <c r="S233" s="782"/>
      <c r="T233" s="615"/>
    </row>
    <row r="234" spans="1:21" s="616" customFormat="1" x14ac:dyDescent="0.3">
      <c r="A234" s="685"/>
      <c r="B234" s="686" t="s">
        <v>129</v>
      </c>
      <c r="C234" s="686"/>
      <c r="D234" s="686"/>
      <c r="E234" s="686"/>
      <c r="F234" s="686"/>
      <c r="G234" s="686"/>
      <c r="H234" s="806"/>
      <c r="I234" s="806"/>
      <c r="J234" s="806"/>
      <c r="K234" s="806"/>
      <c r="L234" s="806"/>
      <c r="M234" s="806"/>
      <c r="N234" s="687">
        <f>SUM(N225:N233)</f>
        <v>2894</v>
      </c>
      <c r="O234" s="805">
        <f>SUM(O225:O233)</f>
        <v>0.99999999999999989</v>
      </c>
      <c r="P234" s="688">
        <f>SUM(P225:P233)</f>
        <v>344196</v>
      </c>
      <c r="Q234" s="805">
        <f>SUM(Q225:Q233)</f>
        <v>1</v>
      </c>
      <c r="R234" s="700"/>
      <c r="S234" s="689"/>
      <c r="T234" s="615"/>
    </row>
    <row r="235" spans="1:21" ht="18" x14ac:dyDescent="0.35">
      <c r="A235" s="792"/>
      <c r="B235" s="793"/>
      <c r="C235" s="794"/>
      <c r="D235" s="794"/>
      <c r="E235" s="794"/>
      <c r="F235" s="795"/>
      <c r="G235" s="690"/>
      <c r="H235" s="690"/>
      <c r="I235" s="690"/>
      <c r="J235" s="796"/>
      <c r="K235" s="690"/>
      <c r="L235" s="690"/>
      <c r="M235" s="690"/>
      <c r="N235" s="690"/>
      <c r="O235" s="690"/>
      <c r="P235" s="797"/>
      <c r="Q235" s="690"/>
      <c r="R235" s="798"/>
      <c r="S235" s="799"/>
      <c r="T235" s="579"/>
    </row>
    <row r="236" spans="1:21" x14ac:dyDescent="0.3">
      <c r="A236" s="674"/>
      <c r="B236" s="701" t="s">
        <v>236</v>
      </c>
      <c r="C236" s="703"/>
      <c r="D236" s="703"/>
      <c r="E236" s="703"/>
      <c r="F236" s="759"/>
      <c r="G236" s="703"/>
      <c r="H236" s="703"/>
      <c r="I236" s="703"/>
      <c r="J236" s="703"/>
      <c r="K236" s="703"/>
      <c r="L236" s="703"/>
      <c r="M236" s="703"/>
      <c r="N236" s="759" t="s">
        <v>113</v>
      </c>
      <c r="O236" s="703" t="s">
        <v>114</v>
      </c>
      <c r="P236" s="759" t="s">
        <v>123</v>
      </c>
      <c r="Q236" s="703" t="s">
        <v>114</v>
      </c>
      <c r="R236" s="760"/>
      <c r="S236" s="800"/>
      <c r="T236" s="579"/>
    </row>
    <row r="237" spans="1:21" s="616" customFormat="1" x14ac:dyDescent="0.3">
      <c r="A237" s="611"/>
      <c r="B237" s="706" t="s">
        <v>99</v>
      </c>
      <c r="C237" s="801"/>
      <c r="D237" s="801"/>
      <c r="E237" s="801"/>
      <c r="F237" s="612"/>
      <c r="G237" s="801"/>
      <c r="H237" s="801"/>
      <c r="I237" s="801"/>
      <c r="J237" s="801"/>
      <c r="K237" s="801"/>
      <c r="L237" s="801"/>
      <c r="M237" s="801"/>
      <c r="N237" s="706">
        <v>2831</v>
      </c>
      <c r="O237" s="802">
        <f t="shared" ref="O237:O244" si="5">N237/$N$246</f>
        <v>0.99472944483485592</v>
      </c>
      <c r="P237" s="707">
        <v>336554</v>
      </c>
      <c r="Q237" s="802">
        <f t="shared" ref="Q237:Q244" si="6">P237/$P$246</f>
        <v>0.99641466700220571</v>
      </c>
      <c r="R237" s="757"/>
      <c r="S237" s="803"/>
      <c r="T237" s="615"/>
    </row>
    <row r="238" spans="1:21" s="616" customFormat="1" x14ac:dyDescent="0.3">
      <c r="A238" s="685"/>
      <c r="B238" s="687" t="s">
        <v>100</v>
      </c>
      <c r="C238" s="804"/>
      <c r="D238" s="804"/>
      <c r="E238" s="804"/>
      <c r="F238" s="686"/>
      <c r="G238" s="805"/>
      <c r="H238" s="804"/>
      <c r="I238" s="804"/>
      <c r="J238" s="804"/>
      <c r="K238" s="804"/>
      <c r="L238" s="804"/>
      <c r="M238" s="804"/>
      <c r="N238" s="687">
        <v>4</v>
      </c>
      <c r="O238" s="805">
        <f t="shared" si="5"/>
        <v>1.4054813773717498E-3</v>
      </c>
      <c r="P238" s="688">
        <v>426</v>
      </c>
      <c r="Q238" s="805">
        <f t="shared" si="6"/>
        <v>1.2612319216022975E-3</v>
      </c>
      <c r="R238" s="769"/>
      <c r="S238" s="782"/>
      <c r="T238" s="615"/>
      <c r="U238" s="718"/>
    </row>
    <row r="239" spans="1:21" s="616" customFormat="1" x14ac:dyDescent="0.3">
      <c r="A239" s="685"/>
      <c r="B239" s="687" t="s">
        <v>101</v>
      </c>
      <c r="C239" s="804"/>
      <c r="D239" s="804"/>
      <c r="E239" s="804"/>
      <c r="F239" s="686"/>
      <c r="G239" s="805"/>
      <c r="H239" s="804"/>
      <c r="I239" s="804"/>
      <c r="J239" s="804"/>
      <c r="K239" s="804"/>
      <c r="L239" s="804"/>
      <c r="M239" s="804"/>
      <c r="N239" s="687">
        <v>9</v>
      </c>
      <c r="O239" s="805">
        <f t="shared" si="5"/>
        <v>3.1623330990864372E-3</v>
      </c>
      <c r="P239" s="688">
        <v>590</v>
      </c>
      <c r="Q239" s="805">
        <f t="shared" si="6"/>
        <v>1.7467766050360458E-3</v>
      </c>
      <c r="R239" s="769"/>
      <c r="S239" s="782"/>
      <c r="T239" s="615"/>
    </row>
    <row r="240" spans="1:21" s="616" customFormat="1" x14ac:dyDescent="0.3">
      <c r="A240" s="685"/>
      <c r="B240" s="687" t="s">
        <v>210</v>
      </c>
      <c r="C240" s="804"/>
      <c r="D240" s="804"/>
      <c r="E240" s="804"/>
      <c r="F240" s="686"/>
      <c r="G240" s="805"/>
      <c r="H240" s="804"/>
      <c r="I240" s="804"/>
      <c r="J240" s="804"/>
      <c r="K240" s="804"/>
      <c r="L240" s="804"/>
      <c r="M240" s="804"/>
      <c r="N240" s="687">
        <v>0</v>
      </c>
      <c r="O240" s="805">
        <f t="shared" si="5"/>
        <v>0</v>
      </c>
      <c r="P240" s="688">
        <v>0</v>
      </c>
      <c r="Q240" s="805">
        <f t="shared" si="6"/>
        <v>0</v>
      </c>
      <c r="R240" s="769"/>
      <c r="S240" s="782"/>
      <c r="T240" s="615"/>
      <c r="U240" s="718"/>
    </row>
    <row r="241" spans="1:21" s="616" customFormat="1" x14ac:dyDescent="0.3">
      <c r="A241" s="685"/>
      <c r="B241" s="687" t="s">
        <v>211</v>
      </c>
      <c r="C241" s="804"/>
      <c r="D241" s="804"/>
      <c r="E241" s="804"/>
      <c r="F241" s="686"/>
      <c r="G241" s="805"/>
      <c r="H241" s="804"/>
      <c r="I241" s="804"/>
      <c r="J241" s="804"/>
      <c r="K241" s="804"/>
      <c r="L241" s="804"/>
      <c r="M241" s="804"/>
      <c r="N241" s="687">
        <v>0</v>
      </c>
      <c r="O241" s="805">
        <f t="shared" si="5"/>
        <v>0</v>
      </c>
      <c r="P241" s="688">
        <v>0</v>
      </c>
      <c r="Q241" s="805">
        <f t="shared" si="6"/>
        <v>0</v>
      </c>
      <c r="R241" s="769"/>
      <c r="S241" s="782"/>
      <c r="T241" s="615"/>
    </row>
    <row r="242" spans="1:21" s="616" customFormat="1" x14ac:dyDescent="0.3">
      <c r="A242" s="685"/>
      <c r="B242" s="687" t="s">
        <v>212</v>
      </c>
      <c r="C242" s="804"/>
      <c r="D242" s="804"/>
      <c r="E242" s="804"/>
      <c r="F242" s="686"/>
      <c r="G242" s="805"/>
      <c r="H242" s="804"/>
      <c r="I242" s="804"/>
      <c r="J242" s="804"/>
      <c r="K242" s="804"/>
      <c r="L242" s="804"/>
      <c r="M242" s="804"/>
      <c r="N242" s="687">
        <v>0</v>
      </c>
      <c r="O242" s="805">
        <f t="shared" si="5"/>
        <v>0</v>
      </c>
      <c r="P242" s="688">
        <v>0</v>
      </c>
      <c r="Q242" s="805">
        <f t="shared" si="6"/>
        <v>0</v>
      </c>
      <c r="R242" s="769"/>
      <c r="S242" s="782"/>
      <c r="T242" s="615"/>
      <c r="U242" s="718"/>
    </row>
    <row r="243" spans="1:21" s="616" customFormat="1" x14ac:dyDescent="0.3">
      <c r="A243" s="685"/>
      <c r="B243" s="687" t="s">
        <v>213</v>
      </c>
      <c r="C243" s="804"/>
      <c r="D243" s="804"/>
      <c r="E243" s="804"/>
      <c r="F243" s="686"/>
      <c r="G243" s="805"/>
      <c r="H243" s="804"/>
      <c r="I243" s="804"/>
      <c r="J243" s="804"/>
      <c r="K243" s="804"/>
      <c r="L243" s="804"/>
      <c r="M243" s="804"/>
      <c r="N243" s="687">
        <v>0</v>
      </c>
      <c r="O243" s="805">
        <f t="shared" si="5"/>
        <v>0</v>
      </c>
      <c r="P243" s="688">
        <v>0</v>
      </c>
      <c r="Q243" s="805">
        <f t="shared" si="6"/>
        <v>0</v>
      </c>
      <c r="R243" s="769"/>
      <c r="S243" s="782"/>
      <c r="T243" s="615"/>
    </row>
    <row r="244" spans="1:21" s="616" customFormat="1" x14ac:dyDescent="0.3">
      <c r="A244" s="685"/>
      <c r="B244" s="687" t="s">
        <v>214</v>
      </c>
      <c r="C244" s="804"/>
      <c r="D244" s="804"/>
      <c r="E244" s="804"/>
      <c r="F244" s="686"/>
      <c r="G244" s="805"/>
      <c r="H244" s="804"/>
      <c r="I244" s="804"/>
      <c r="J244" s="804"/>
      <c r="K244" s="804"/>
      <c r="L244" s="804"/>
      <c r="M244" s="804"/>
      <c r="N244" s="687">
        <v>2</v>
      </c>
      <c r="O244" s="805">
        <f t="shared" si="5"/>
        <v>7.0274068868587491E-4</v>
      </c>
      <c r="P244" s="688">
        <v>195</v>
      </c>
      <c r="Q244" s="805">
        <f t="shared" si="6"/>
        <v>5.7732447115598124E-4</v>
      </c>
      <c r="R244" s="769"/>
      <c r="S244" s="782"/>
      <c r="T244" s="615"/>
      <c r="U244" s="718"/>
    </row>
    <row r="245" spans="1:21" s="616" customFormat="1" x14ac:dyDescent="0.3">
      <c r="A245" s="685"/>
      <c r="B245" s="686"/>
      <c r="C245" s="804"/>
      <c r="D245" s="804"/>
      <c r="E245" s="804"/>
      <c r="F245" s="686"/>
      <c r="G245" s="805"/>
      <c r="H245" s="804"/>
      <c r="I245" s="804"/>
      <c r="J245" s="804"/>
      <c r="K245" s="804"/>
      <c r="L245" s="804"/>
      <c r="M245" s="804"/>
      <c r="N245" s="687"/>
      <c r="O245" s="805"/>
      <c r="P245" s="688"/>
      <c r="Q245" s="805"/>
      <c r="R245" s="769"/>
      <c r="S245" s="782"/>
      <c r="T245" s="615"/>
    </row>
    <row r="246" spans="1:21" s="616" customFormat="1" x14ac:dyDescent="0.3">
      <c r="A246" s="685"/>
      <c r="B246" s="686" t="s">
        <v>129</v>
      </c>
      <c r="C246" s="686"/>
      <c r="D246" s="686"/>
      <c r="E246" s="686"/>
      <c r="F246" s="686"/>
      <c r="G246" s="686"/>
      <c r="H246" s="806"/>
      <c r="I246" s="806"/>
      <c r="J246" s="806"/>
      <c r="K246" s="806"/>
      <c r="L246" s="806"/>
      <c r="M246" s="806"/>
      <c r="N246" s="687">
        <f>SUM(N237:N245)</f>
        <v>2846</v>
      </c>
      <c r="O246" s="805">
        <f>SUM(O237:O245)</f>
        <v>1</v>
      </c>
      <c r="P246" s="688">
        <f>SUM(P237:P245)</f>
        <v>337765</v>
      </c>
      <c r="Q246" s="805">
        <f>SUM(Q237:Q245)</f>
        <v>1</v>
      </c>
      <c r="R246" s="700"/>
      <c r="S246" s="689"/>
      <c r="T246" s="615"/>
    </row>
    <row r="247" spans="1:21" x14ac:dyDescent="0.3">
      <c r="A247" s="581"/>
      <c r="B247" s="690"/>
      <c r="C247" s="690"/>
      <c r="D247" s="690"/>
      <c r="E247" s="690"/>
      <c r="F247" s="690"/>
      <c r="G247" s="690"/>
      <c r="H247" s="807"/>
      <c r="I247" s="807"/>
      <c r="J247" s="807"/>
      <c r="K247" s="807"/>
      <c r="L247" s="807"/>
      <c r="M247" s="807"/>
      <c r="N247" s="691"/>
      <c r="O247" s="808"/>
      <c r="P247" s="809"/>
      <c r="Q247" s="808"/>
      <c r="R247" s="690"/>
      <c r="S247" s="584"/>
      <c r="T247" s="579"/>
    </row>
    <row r="248" spans="1:21" x14ac:dyDescent="0.3">
      <c r="A248" s="674"/>
      <c r="B248" s="701" t="s">
        <v>241</v>
      </c>
      <c r="C248" s="703"/>
      <c r="D248" s="703"/>
      <c r="E248" s="703"/>
      <c r="F248" s="759"/>
      <c r="G248" s="703"/>
      <c r="H248" s="703"/>
      <c r="I248" s="703"/>
      <c r="J248" s="703"/>
      <c r="K248" s="703"/>
      <c r="L248" s="703"/>
      <c r="M248" s="703"/>
      <c r="N248" s="759" t="s">
        <v>113</v>
      </c>
      <c r="O248" s="703" t="s">
        <v>114</v>
      </c>
      <c r="P248" s="759" t="s">
        <v>123</v>
      </c>
      <c r="Q248" s="703" t="s">
        <v>114</v>
      </c>
      <c r="R248" s="760"/>
      <c r="S248" s="705"/>
      <c r="T248" s="579"/>
    </row>
    <row r="249" spans="1:21" s="616" customFormat="1" x14ac:dyDescent="0.3">
      <c r="A249" s="611"/>
      <c r="B249" s="706" t="s">
        <v>99</v>
      </c>
      <c r="C249" s="801"/>
      <c r="D249" s="801"/>
      <c r="E249" s="801"/>
      <c r="F249" s="612"/>
      <c r="G249" s="801"/>
      <c r="H249" s="801"/>
      <c r="I249" s="801"/>
      <c r="J249" s="801"/>
      <c r="K249" s="801"/>
      <c r="L249" s="801"/>
      <c r="M249" s="801"/>
      <c r="N249" s="706">
        <v>44</v>
      </c>
      <c r="O249" s="802">
        <f>N249/$N$258</f>
        <v>0.91666666666666663</v>
      </c>
      <c r="P249" s="707">
        <v>6066</v>
      </c>
      <c r="Q249" s="802">
        <f t="shared" ref="Q249:Q256" si="7">P249/$P$258</f>
        <v>0.94324366350489819</v>
      </c>
      <c r="R249" s="661"/>
      <c r="S249" s="734"/>
      <c r="T249" s="615"/>
    </row>
    <row r="250" spans="1:21" s="616" customFormat="1" x14ac:dyDescent="0.3">
      <c r="A250" s="685"/>
      <c r="B250" s="687" t="s">
        <v>100</v>
      </c>
      <c r="C250" s="804"/>
      <c r="D250" s="804"/>
      <c r="E250" s="804"/>
      <c r="F250" s="686"/>
      <c r="G250" s="805"/>
      <c r="H250" s="804"/>
      <c r="I250" s="804"/>
      <c r="J250" s="804"/>
      <c r="K250" s="804"/>
      <c r="L250" s="804"/>
      <c r="M250" s="804"/>
      <c r="N250" s="687">
        <v>0</v>
      </c>
      <c r="O250" s="805">
        <f t="shared" ref="O250:O256" si="8">N250/$N$258</f>
        <v>0</v>
      </c>
      <c r="P250" s="688">
        <v>0</v>
      </c>
      <c r="Q250" s="805">
        <f t="shared" si="7"/>
        <v>0</v>
      </c>
      <c r="R250" s="700"/>
      <c r="S250" s="689"/>
      <c r="T250" s="615"/>
    </row>
    <row r="251" spans="1:21" s="616" customFormat="1" x14ac:dyDescent="0.3">
      <c r="A251" s="685"/>
      <c r="B251" s="687" t="s">
        <v>101</v>
      </c>
      <c r="C251" s="804"/>
      <c r="D251" s="804"/>
      <c r="E251" s="804"/>
      <c r="F251" s="686"/>
      <c r="G251" s="805"/>
      <c r="H251" s="804"/>
      <c r="I251" s="804"/>
      <c r="J251" s="804"/>
      <c r="K251" s="804"/>
      <c r="L251" s="804"/>
      <c r="M251" s="804"/>
      <c r="N251" s="687">
        <v>3</v>
      </c>
      <c r="O251" s="805">
        <f t="shared" si="8"/>
        <v>6.25E-2</v>
      </c>
      <c r="P251" s="688">
        <v>253</v>
      </c>
      <c r="Q251" s="805">
        <f t="shared" si="7"/>
        <v>3.9340693515782926E-2</v>
      </c>
      <c r="R251" s="700"/>
      <c r="S251" s="689"/>
      <c r="T251" s="615"/>
    </row>
    <row r="252" spans="1:21" s="616" customFormat="1" x14ac:dyDescent="0.3">
      <c r="A252" s="685"/>
      <c r="B252" s="687" t="s">
        <v>210</v>
      </c>
      <c r="C252" s="804"/>
      <c r="D252" s="804"/>
      <c r="E252" s="804"/>
      <c r="F252" s="686"/>
      <c r="G252" s="805"/>
      <c r="H252" s="804"/>
      <c r="I252" s="804"/>
      <c r="J252" s="804"/>
      <c r="K252" s="804"/>
      <c r="L252" s="804"/>
      <c r="M252" s="804"/>
      <c r="N252" s="687">
        <v>1</v>
      </c>
      <c r="O252" s="805">
        <f t="shared" si="8"/>
        <v>2.0833333333333332E-2</v>
      </c>
      <c r="P252" s="688">
        <v>112</v>
      </c>
      <c r="Q252" s="805">
        <f t="shared" si="7"/>
        <v>1.7415642979318923E-2</v>
      </c>
      <c r="R252" s="700"/>
      <c r="S252" s="689"/>
      <c r="T252" s="615"/>
    </row>
    <row r="253" spans="1:21" s="616" customFormat="1" x14ac:dyDescent="0.3">
      <c r="A253" s="685"/>
      <c r="B253" s="687" t="s">
        <v>211</v>
      </c>
      <c r="C253" s="804"/>
      <c r="D253" s="804"/>
      <c r="E253" s="804"/>
      <c r="F253" s="686"/>
      <c r="G253" s="805"/>
      <c r="H253" s="804"/>
      <c r="I253" s="804"/>
      <c r="J253" s="804"/>
      <c r="K253" s="804"/>
      <c r="L253" s="804"/>
      <c r="M253" s="804"/>
      <c r="N253" s="687">
        <v>0</v>
      </c>
      <c r="O253" s="805">
        <f t="shared" si="8"/>
        <v>0</v>
      </c>
      <c r="P253" s="688">
        <v>0</v>
      </c>
      <c r="Q253" s="805">
        <f t="shared" si="7"/>
        <v>0</v>
      </c>
      <c r="R253" s="700"/>
      <c r="S253" s="689"/>
      <c r="T253" s="615"/>
    </row>
    <row r="254" spans="1:21" s="616" customFormat="1" x14ac:dyDescent="0.3">
      <c r="A254" s="685"/>
      <c r="B254" s="687" t="s">
        <v>212</v>
      </c>
      <c r="C254" s="804"/>
      <c r="D254" s="804"/>
      <c r="E254" s="804"/>
      <c r="F254" s="686"/>
      <c r="G254" s="805"/>
      <c r="H254" s="804"/>
      <c r="I254" s="804"/>
      <c r="J254" s="804"/>
      <c r="K254" s="804"/>
      <c r="L254" s="804"/>
      <c r="M254" s="804"/>
      <c r="N254" s="687">
        <v>0</v>
      </c>
      <c r="O254" s="805">
        <f t="shared" si="8"/>
        <v>0</v>
      </c>
      <c r="P254" s="688">
        <v>0</v>
      </c>
      <c r="Q254" s="805">
        <f t="shared" si="7"/>
        <v>0</v>
      </c>
      <c r="R254" s="700"/>
      <c r="S254" s="689"/>
      <c r="T254" s="615"/>
    </row>
    <row r="255" spans="1:21" s="616" customFormat="1" x14ac:dyDescent="0.3">
      <c r="A255" s="685"/>
      <c r="B255" s="687" t="s">
        <v>213</v>
      </c>
      <c r="C255" s="804"/>
      <c r="D255" s="804"/>
      <c r="E255" s="804"/>
      <c r="F255" s="686"/>
      <c r="G255" s="805"/>
      <c r="H255" s="804"/>
      <c r="I255" s="804"/>
      <c r="J255" s="804"/>
      <c r="K255" s="804"/>
      <c r="L255" s="804"/>
      <c r="M255" s="804"/>
      <c r="N255" s="687">
        <v>0</v>
      </c>
      <c r="O255" s="805">
        <f t="shared" si="8"/>
        <v>0</v>
      </c>
      <c r="P255" s="688">
        <v>0</v>
      </c>
      <c r="Q255" s="805">
        <f t="shared" si="7"/>
        <v>0</v>
      </c>
      <c r="R255" s="700"/>
      <c r="S255" s="689"/>
      <c r="T255" s="615"/>
    </row>
    <row r="256" spans="1:21" s="616" customFormat="1" x14ac:dyDescent="0.3">
      <c r="A256" s="685"/>
      <c r="B256" s="687" t="s">
        <v>214</v>
      </c>
      <c r="C256" s="804"/>
      <c r="D256" s="804"/>
      <c r="E256" s="804"/>
      <c r="F256" s="686"/>
      <c r="G256" s="805"/>
      <c r="H256" s="804"/>
      <c r="I256" s="804"/>
      <c r="J256" s="804"/>
      <c r="K256" s="804"/>
      <c r="L256" s="804"/>
      <c r="M256" s="804"/>
      <c r="N256" s="687">
        <v>0</v>
      </c>
      <c r="O256" s="805">
        <f t="shared" si="8"/>
        <v>0</v>
      </c>
      <c r="P256" s="688">
        <v>0</v>
      </c>
      <c r="Q256" s="805">
        <f t="shared" si="7"/>
        <v>0</v>
      </c>
      <c r="R256" s="700"/>
      <c r="S256" s="689"/>
      <c r="T256" s="615"/>
    </row>
    <row r="257" spans="1:20" s="616" customFormat="1" x14ac:dyDescent="0.3">
      <c r="A257" s="685"/>
      <c r="B257" s="686"/>
      <c r="C257" s="804"/>
      <c r="D257" s="804"/>
      <c r="E257" s="804"/>
      <c r="F257" s="686"/>
      <c r="G257" s="805"/>
      <c r="H257" s="804"/>
      <c r="I257" s="804"/>
      <c r="J257" s="804"/>
      <c r="K257" s="804"/>
      <c r="L257" s="804"/>
      <c r="M257" s="804"/>
      <c r="N257" s="687"/>
      <c r="O257" s="805"/>
      <c r="P257" s="688"/>
      <c r="Q257" s="805"/>
      <c r="R257" s="700"/>
      <c r="S257" s="689"/>
      <c r="T257" s="615"/>
    </row>
    <row r="258" spans="1:20" s="616" customFormat="1" x14ac:dyDescent="0.3">
      <c r="A258" s="685"/>
      <c r="B258" s="686" t="s">
        <v>129</v>
      </c>
      <c r="C258" s="686"/>
      <c r="D258" s="686"/>
      <c r="E258" s="686"/>
      <c r="F258" s="686"/>
      <c r="G258" s="686"/>
      <c r="H258" s="806"/>
      <c r="I258" s="806"/>
      <c r="J258" s="806"/>
      <c r="K258" s="806"/>
      <c r="L258" s="806"/>
      <c r="M258" s="806"/>
      <c r="N258" s="687">
        <f>SUM(N249:N257)</f>
        <v>48</v>
      </c>
      <c r="O258" s="805">
        <f>SUM(O249:O257)</f>
        <v>1</v>
      </c>
      <c r="P258" s="688">
        <f>SUM(P249:P257)</f>
        <v>6431</v>
      </c>
      <c r="Q258" s="805">
        <f>SUM(Q249:Q257)</f>
        <v>1</v>
      </c>
      <c r="R258" s="700"/>
      <c r="S258" s="689"/>
      <c r="T258" s="615"/>
    </row>
    <row r="259" spans="1:20" x14ac:dyDescent="0.3">
      <c r="A259" s="581"/>
      <c r="B259" s="690"/>
      <c r="C259" s="690"/>
      <c r="D259" s="690"/>
      <c r="E259" s="690"/>
      <c r="F259" s="690"/>
      <c r="G259" s="690"/>
      <c r="H259" s="807"/>
      <c r="I259" s="807"/>
      <c r="J259" s="807"/>
      <c r="K259" s="807"/>
      <c r="L259" s="807"/>
      <c r="M259" s="807"/>
      <c r="N259" s="691"/>
      <c r="O259" s="808"/>
      <c r="P259" s="809"/>
      <c r="Q259" s="808"/>
      <c r="R259" s="690"/>
      <c r="S259" s="584"/>
      <c r="T259" s="579"/>
    </row>
    <row r="260" spans="1:20" s="811" customFormat="1" x14ac:dyDescent="0.3">
      <c r="A260" s="674"/>
      <c r="B260" s="701" t="s">
        <v>239</v>
      </c>
      <c r="C260" s="760"/>
      <c r="D260" s="760"/>
      <c r="E260" s="760"/>
      <c r="F260" s="760"/>
      <c r="G260" s="760"/>
      <c r="H260" s="810"/>
      <c r="I260" s="810"/>
      <c r="J260" s="810"/>
      <c r="K260" s="810"/>
      <c r="L260" s="810"/>
      <c r="M260" s="810"/>
      <c r="N260" s="759" t="s">
        <v>113</v>
      </c>
      <c r="O260" s="703" t="s">
        <v>114</v>
      </c>
      <c r="P260" s="759" t="s">
        <v>123</v>
      </c>
      <c r="Q260" s="703" t="s">
        <v>114</v>
      </c>
      <c r="R260" s="760"/>
      <c r="S260" s="705"/>
      <c r="T260" s="579"/>
    </row>
    <row r="261" spans="1:20" s="813" customFormat="1" x14ac:dyDescent="0.3">
      <c r="A261" s="611"/>
      <c r="B261" s="706" t="s">
        <v>99</v>
      </c>
      <c r="C261" s="612"/>
      <c r="D261" s="612"/>
      <c r="E261" s="612"/>
      <c r="F261" s="612"/>
      <c r="G261" s="612"/>
      <c r="H261" s="812"/>
      <c r="I261" s="812"/>
      <c r="J261" s="812"/>
      <c r="K261" s="812"/>
      <c r="L261" s="812"/>
      <c r="M261" s="812"/>
      <c r="N261" s="706">
        <v>0</v>
      </c>
      <c r="O261" s="802">
        <v>0</v>
      </c>
      <c r="P261" s="707">
        <v>0</v>
      </c>
      <c r="Q261" s="802">
        <v>0</v>
      </c>
      <c r="R261" s="661"/>
      <c r="S261" s="734"/>
      <c r="T261" s="615"/>
    </row>
    <row r="262" spans="1:20" s="813" customFormat="1" x14ac:dyDescent="0.3">
      <c r="A262" s="685"/>
      <c r="B262" s="687" t="s">
        <v>100</v>
      </c>
      <c r="C262" s="686"/>
      <c r="D262" s="686"/>
      <c r="E262" s="686"/>
      <c r="F262" s="686"/>
      <c r="G262" s="686"/>
      <c r="H262" s="806"/>
      <c r="I262" s="806"/>
      <c r="J262" s="806"/>
      <c r="K262" s="806"/>
      <c r="L262" s="806"/>
      <c r="M262" s="806"/>
      <c r="N262" s="687">
        <v>0</v>
      </c>
      <c r="O262" s="805">
        <v>0</v>
      </c>
      <c r="P262" s="688">
        <v>0</v>
      </c>
      <c r="Q262" s="805">
        <v>0</v>
      </c>
      <c r="R262" s="814"/>
      <c r="S262" s="689"/>
      <c r="T262" s="615"/>
    </row>
    <row r="263" spans="1:20" s="813" customFormat="1" x14ac:dyDescent="0.3">
      <c r="A263" s="685"/>
      <c r="B263" s="687" t="s">
        <v>101</v>
      </c>
      <c r="C263" s="686"/>
      <c r="D263" s="686"/>
      <c r="E263" s="686"/>
      <c r="F263" s="686"/>
      <c r="G263" s="686"/>
      <c r="H263" s="806"/>
      <c r="I263" s="806"/>
      <c r="J263" s="806"/>
      <c r="K263" s="806"/>
      <c r="L263" s="806"/>
      <c r="M263" s="806"/>
      <c r="N263" s="687">
        <v>0</v>
      </c>
      <c r="O263" s="805">
        <v>0</v>
      </c>
      <c r="P263" s="688">
        <v>0</v>
      </c>
      <c r="Q263" s="805">
        <v>0</v>
      </c>
      <c r="R263" s="700"/>
      <c r="S263" s="689"/>
      <c r="T263" s="615"/>
    </row>
    <row r="264" spans="1:20" s="813" customFormat="1" x14ac:dyDescent="0.3">
      <c r="A264" s="685"/>
      <c r="B264" s="687" t="s">
        <v>210</v>
      </c>
      <c r="C264" s="686"/>
      <c r="D264" s="686"/>
      <c r="E264" s="686"/>
      <c r="F264" s="686"/>
      <c r="G264" s="686"/>
      <c r="H264" s="806"/>
      <c r="I264" s="806"/>
      <c r="J264" s="806"/>
      <c r="K264" s="806"/>
      <c r="L264" s="806"/>
      <c r="M264" s="806"/>
      <c r="N264" s="687">
        <v>0</v>
      </c>
      <c r="O264" s="805">
        <v>0</v>
      </c>
      <c r="P264" s="688">
        <v>0</v>
      </c>
      <c r="Q264" s="805">
        <v>0</v>
      </c>
      <c r="R264" s="700"/>
      <c r="S264" s="689"/>
      <c r="T264" s="615"/>
    </row>
    <row r="265" spans="1:20" s="813" customFormat="1" x14ac:dyDescent="0.3">
      <c r="A265" s="685"/>
      <c r="B265" s="687" t="s">
        <v>211</v>
      </c>
      <c r="C265" s="686"/>
      <c r="D265" s="686"/>
      <c r="E265" s="686"/>
      <c r="F265" s="686"/>
      <c r="G265" s="686"/>
      <c r="H265" s="806"/>
      <c r="I265" s="806"/>
      <c r="J265" s="806"/>
      <c r="K265" s="806"/>
      <c r="L265" s="806"/>
      <c r="M265" s="806"/>
      <c r="N265" s="687">
        <v>0</v>
      </c>
      <c r="O265" s="805">
        <v>0</v>
      </c>
      <c r="P265" s="688">
        <v>0</v>
      </c>
      <c r="Q265" s="805">
        <v>0</v>
      </c>
      <c r="R265" s="700"/>
      <c r="S265" s="689"/>
      <c r="T265" s="615"/>
    </row>
    <row r="266" spans="1:20" s="813" customFormat="1" x14ac:dyDescent="0.3">
      <c r="A266" s="685"/>
      <c r="B266" s="687" t="s">
        <v>212</v>
      </c>
      <c r="C266" s="686"/>
      <c r="D266" s="686"/>
      <c r="E266" s="686"/>
      <c r="F266" s="686"/>
      <c r="G266" s="686"/>
      <c r="H266" s="806"/>
      <c r="I266" s="806"/>
      <c r="J266" s="806"/>
      <c r="K266" s="806"/>
      <c r="L266" s="806"/>
      <c r="M266" s="806"/>
      <c r="N266" s="687">
        <v>0</v>
      </c>
      <c r="O266" s="805">
        <v>0</v>
      </c>
      <c r="P266" s="688">
        <v>0</v>
      </c>
      <c r="Q266" s="805">
        <v>0</v>
      </c>
      <c r="R266" s="700"/>
      <c r="S266" s="689"/>
      <c r="T266" s="615"/>
    </row>
    <row r="267" spans="1:20" s="813" customFormat="1" x14ac:dyDescent="0.3">
      <c r="A267" s="685"/>
      <c r="B267" s="687" t="s">
        <v>213</v>
      </c>
      <c r="C267" s="686"/>
      <c r="D267" s="686"/>
      <c r="E267" s="686"/>
      <c r="F267" s="686"/>
      <c r="G267" s="686"/>
      <c r="H267" s="806"/>
      <c r="I267" s="806"/>
      <c r="J267" s="806"/>
      <c r="K267" s="806"/>
      <c r="L267" s="806"/>
      <c r="M267" s="806"/>
      <c r="N267" s="687">
        <v>0</v>
      </c>
      <c r="O267" s="805">
        <v>0</v>
      </c>
      <c r="P267" s="688">
        <v>0</v>
      </c>
      <c r="Q267" s="805">
        <v>0</v>
      </c>
      <c r="R267" s="700"/>
      <c r="S267" s="689"/>
      <c r="T267" s="615"/>
    </row>
    <row r="268" spans="1:20" s="813" customFormat="1" x14ac:dyDescent="0.3">
      <c r="A268" s="685"/>
      <c r="B268" s="687" t="s">
        <v>214</v>
      </c>
      <c r="C268" s="686"/>
      <c r="D268" s="686"/>
      <c r="E268" s="686"/>
      <c r="F268" s="686"/>
      <c r="G268" s="686"/>
      <c r="H268" s="806"/>
      <c r="I268" s="806"/>
      <c r="J268" s="806"/>
      <c r="K268" s="806"/>
      <c r="L268" s="806"/>
      <c r="M268" s="806"/>
      <c r="N268" s="687">
        <v>0</v>
      </c>
      <c r="O268" s="805">
        <v>0</v>
      </c>
      <c r="P268" s="688">
        <v>0</v>
      </c>
      <c r="Q268" s="805">
        <v>0</v>
      </c>
      <c r="R268" s="700"/>
      <c r="S268" s="689"/>
      <c r="T268" s="615"/>
    </row>
    <row r="269" spans="1:20" s="813" customFormat="1" x14ac:dyDescent="0.3">
      <c r="A269" s="685"/>
      <c r="B269" s="687"/>
      <c r="C269" s="686"/>
      <c r="D269" s="686"/>
      <c r="E269" s="686"/>
      <c r="F269" s="686"/>
      <c r="G269" s="686"/>
      <c r="H269" s="806"/>
      <c r="I269" s="806"/>
      <c r="J269" s="806"/>
      <c r="K269" s="806"/>
      <c r="L269" s="806"/>
      <c r="M269" s="806"/>
      <c r="N269" s="687"/>
      <c r="O269" s="805"/>
      <c r="P269" s="688"/>
      <c r="Q269" s="805"/>
      <c r="R269" s="700"/>
      <c r="S269" s="689"/>
      <c r="T269" s="615"/>
    </row>
    <row r="270" spans="1:20" s="616" customFormat="1" x14ac:dyDescent="0.3">
      <c r="A270" s="685"/>
      <c r="B270" s="686" t="s">
        <v>129</v>
      </c>
      <c r="C270" s="686"/>
      <c r="D270" s="686"/>
      <c r="E270" s="686"/>
      <c r="F270" s="686"/>
      <c r="G270" s="686"/>
      <c r="H270" s="806"/>
      <c r="I270" s="806"/>
      <c r="J270" s="806"/>
      <c r="K270" s="806"/>
      <c r="L270" s="806"/>
      <c r="M270" s="806"/>
      <c r="N270" s="687">
        <f>SUM(N261:N268)</f>
        <v>0</v>
      </c>
      <c r="O270" s="805">
        <f>SUM(O261:O268)</f>
        <v>0</v>
      </c>
      <c r="P270" s="688">
        <f>SUM(P261:P268)</f>
        <v>0</v>
      </c>
      <c r="Q270" s="805">
        <f>SUM(Q261:Q268)</f>
        <v>0</v>
      </c>
      <c r="R270" s="700"/>
      <c r="S270" s="689"/>
      <c r="T270" s="615"/>
    </row>
    <row r="271" spans="1:20" s="616" customFormat="1" x14ac:dyDescent="0.3">
      <c r="A271" s="685"/>
      <c r="B271" s="686"/>
      <c r="C271" s="686"/>
      <c r="D271" s="686"/>
      <c r="E271" s="686"/>
      <c r="F271" s="686"/>
      <c r="G271" s="686"/>
      <c r="H271" s="806"/>
      <c r="I271" s="806"/>
      <c r="J271" s="806"/>
      <c r="K271" s="806"/>
      <c r="L271" s="806"/>
      <c r="M271" s="806"/>
      <c r="N271" s="687"/>
      <c r="O271" s="805"/>
      <c r="P271" s="688"/>
      <c r="Q271" s="805"/>
      <c r="R271" s="700"/>
      <c r="S271" s="689"/>
      <c r="T271" s="615"/>
    </row>
    <row r="272" spans="1:20" s="616" customFormat="1" x14ac:dyDescent="0.3">
      <c r="A272" s="685"/>
      <c r="B272" s="815" t="s">
        <v>240</v>
      </c>
      <c r="C272" s="686"/>
      <c r="D272" s="686"/>
      <c r="E272" s="686"/>
      <c r="F272" s="686"/>
      <c r="G272" s="686"/>
      <c r="H272" s="806"/>
      <c r="I272" s="806"/>
      <c r="J272" s="806"/>
      <c r="K272" s="806"/>
      <c r="L272" s="806"/>
      <c r="M272" s="806"/>
      <c r="N272" s="816">
        <f>+N246+N258+N270</f>
        <v>2894</v>
      </c>
      <c r="O272" s="805"/>
      <c r="P272" s="817">
        <f>+P270+P258+P246</f>
        <v>344196</v>
      </c>
      <c r="Q272" s="805"/>
      <c r="R272" s="700"/>
      <c r="S272" s="689"/>
      <c r="T272" s="615"/>
    </row>
    <row r="273" spans="1:20" s="616" customFormat="1" x14ac:dyDescent="0.3">
      <c r="A273" s="611"/>
      <c r="B273" s="818"/>
      <c r="C273" s="593"/>
      <c r="D273" s="593"/>
      <c r="E273" s="593"/>
      <c r="F273" s="593"/>
      <c r="G273" s="593"/>
      <c r="H273" s="819"/>
      <c r="I273" s="819"/>
      <c r="J273" s="819"/>
      <c r="K273" s="819"/>
      <c r="L273" s="819"/>
      <c r="M273" s="819"/>
      <c r="N273" s="819"/>
      <c r="O273" s="819"/>
      <c r="P273" s="820"/>
      <c r="Q273" s="819"/>
      <c r="R273" s="600"/>
      <c r="S273" s="734"/>
      <c r="T273" s="615"/>
    </row>
    <row r="274" spans="1:20" s="616" customFormat="1" x14ac:dyDescent="0.3">
      <c r="A274" s="611"/>
      <c r="B274" s="592" t="s">
        <v>102</v>
      </c>
      <c r="C274" s="593"/>
      <c r="D274" s="593"/>
      <c r="E274" s="593"/>
      <c r="F274" s="598" t="s">
        <v>108</v>
      </c>
      <c r="G274" s="593"/>
      <c r="H274" s="592" t="s">
        <v>110</v>
      </c>
      <c r="I274" s="593"/>
      <c r="J274" s="593"/>
      <c r="K274" s="593"/>
      <c r="L274" s="593"/>
      <c r="M274" s="593"/>
      <c r="N274" s="593"/>
      <c r="O274" s="593"/>
      <c r="P274" s="593"/>
      <c r="Q274" s="593"/>
      <c r="R274" s="600"/>
      <c r="S274" s="734"/>
      <c r="T274" s="615"/>
    </row>
    <row r="275" spans="1:20" s="616" customFormat="1" x14ac:dyDescent="0.3">
      <c r="A275" s="611"/>
      <c r="B275" s="593"/>
      <c r="C275" s="593"/>
      <c r="D275" s="593"/>
      <c r="E275" s="593"/>
      <c r="F275" s="593"/>
      <c r="G275" s="593"/>
      <c r="H275" s="593"/>
      <c r="I275" s="593"/>
      <c r="J275" s="593"/>
      <c r="K275" s="593"/>
      <c r="L275" s="593"/>
      <c r="M275" s="593"/>
      <c r="N275" s="593"/>
      <c r="O275" s="593"/>
      <c r="P275" s="593"/>
      <c r="Q275" s="593"/>
      <c r="R275" s="600"/>
      <c r="S275" s="734"/>
      <c r="T275" s="615"/>
    </row>
    <row r="276" spans="1:20" s="616" customFormat="1" x14ac:dyDescent="0.3">
      <c r="A276" s="611"/>
      <c r="B276" s="592" t="s">
        <v>321</v>
      </c>
      <c r="C276" s="592"/>
      <c r="D276" s="592"/>
      <c r="E276" s="592"/>
      <c r="F276" s="821" t="s">
        <v>272</v>
      </c>
      <c r="G276" s="592"/>
      <c r="H276" s="592" t="s">
        <v>342</v>
      </c>
      <c r="I276" s="593"/>
      <c r="J276" s="593"/>
      <c r="K276" s="593"/>
      <c r="L276" s="593"/>
      <c r="M276" s="593"/>
      <c r="N276" s="593"/>
      <c r="O276" s="593"/>
      <c r="P276" s="593"/>
      <c r="Q276" s="593"/>
      <c r="R276" s="600"/>
      <c r="S276" s="734"/>
      <c r="T276" s="615"/>
    </row>
    <row r="277" spans="1:20" s="616" customFormat="1" x14ac:dyDescent="0.3">
      <c r="A277" s="611"/>
      <c r="B277" s="592" t="s">
        <v>322</v>
      </c>
      <c r="C277" s="592"/>
      <c r="D277" s="592"/>
      <c r="E277" s="592"/>
      <c r="F277" s="821" t="s">
        <v>171</v>
      </c>
      <c r="G277" s="592"/>
      <c r="H277" s="592" t="s">
        <v>343</v>
      </c>
      <c r="I277" s="593"/>
      <c r="J277" s="593"/>
      <c r="K277" s="593"/>
      <c r="L277" s="593"/>
      <c r="M277" s="593"/>
      <c r="N277" s="593"/>
      <c r="O277" s="593"/>
      <c r="P277" s="593"/>
      <c r="Q277" s="593"/>
      <c r="R277" s="600"/>
      <c r="S277" s="734"/>
      <c r="T277" s="615"/>
    </row>
    <row r="278" spans="1:20" s="616" customFormat="1" x14ac:dyDescent="0.3">
      <c r="A278" s="611"/>
      <c r="B278" s="592"/>
      <c r="C278" s="592"/>
      <c r="D278" s="592"/>
      <c r="E278" s="592"/>
      <c r="F278" s="592"/>
      <c r="G278" s="592"/>
      <c r="H278" s="593"/>
      <c r="I278" s="593"/>
      <c r="J278" s="593"/>
      <c r="K278" s="593"/>
      <c r="L278" s="593"/>
      <c r="M278" s="593"/>
      <c r="N278" s="593"/>
      <c r="O278" s="593"/>
      <c r="P278" s="593"/>
      <c r="Q278" s="593"/>
      <c r="R278" s="600"/>
      <c r="S278" s="734"/>
      <c r="T278" s="615"/>
    </row>
    <row r="279" spans="1:20" s="616" customFormat="1" ht="18.600000000000001" thickBot="1" x14ac:dyDescent="0.4">
      <c r="A279" s="611"/>
      <c r="B279" s="822" t="str">
        <f>B189</f>
        <v>PM8 INVESTOR REPORT QUARTER ENDING SEPTEMBER 2017</v>
      </c>
      <c r="C279" s="592"/>
      <c r="D279" s="592"/>
      <c r="E279" s="592"/>
      <c r="F279" s="592"/>
      <c r="G279" s="592"/>
      <c r="H279" s="593"/>
      <c r="I279" s="593"/>
      <c r="J279" s="593"/>
      <c r="K279" s="593"/>
      <c r="L279" s="593"/>
      <c r="M279" s="593"/>
      <c r="N279" s="593"/>
      <c r="O279" s="593"/>
      <c r="P279" s="593"/>
      <c r="Q279" s="593"/>
      <c r="R279" s="600"/>
      <c r="S279" s="673"/>
      <c r="T279" s="615"/>
    </row>
    <row r="280" spans="1:20" x14ac:dyDescent="0.3">
      <c r="A280" s="823"/>
      <c r="B280" s="823"/>
      <c r="C280" s="823"/>
      <c r="D280" s="823"/>
      <c r="E280" s="823"/>
      <c r="F280" s="823"/>
      <c r="G280" s="823"/>
      <c r="H280" s="823"/>
      <c r="I280" s="823"/>
      <c r="J280" s="823"/>
      <c r="K280" s="823"/>
      <c r="L280" s="823"/>
      <c r="M280" s="823"/>
      <c r="N280" s="823"/>
      <c r="O280" s="823"/>
      <c r="P280" s="823"/>
      <c r="Q280" s="823"/>
      <c r="R280" s="823"/>
      <c r="S280" s="823"/>
    </row>
  </sheetData>
  <hyperlinks>
    <hyperlink ref="J9" r:id="rId1"/>
    <hyperlink ref="K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3" manualBreakCount="3">
    <brk id="62" max="18" man="1"/>
    <brk id="132" max="18" man="1"/>
    <brk id="189" max="18" man="1"/>
  </rowBreak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81"/>
  <sheetViews>
    <sheetView showGridLines="0" tabSelected="1" showOutlineSymbols="0" zoomScale="70" zoomScaleNormal="70" workbookViewId="0"/>
  </sheetViews>
  <sheetFormatPr defaultColWidth="9.6328125" defaultRowHeight="15.6" x14ac:dyDescent="0.3"/>
  <cols>
    <col min="1" max="1" width="4" style="580" customWidth="1"/>
    <col min="2" max="2" width="71.08984375" style="580" customWidth="1"/>
    <col min="3" max="3" width="2.08984375" style="580" customWidth="1"/>
    <col min="4" max="4" width="18.08984375" style="580" customWidth="1"/>
    <col min="5" max="5" width="2.08984375" style="580" customWidth="1"/>
    <col min="6" max="6" width="17.54296875" style="580" customWidth="1"/>
    <col min="7" max="7" width="5.08984375" style="580" customWidth="1"/>
    <col min="8" max="8" width="18.90625" style="580" customWidth="1"/>
    <col min="9" max="9" width="2.08984375" style="580" customWidth="1"/>
    <col min="10" max="10" width="14.90625" style="580" customWidth="1"/>
    <col min="11" max="11" width="2.36328125" style="580" customWidth="1"/>
    <col min="12" max="12" width="15.54296875" style="580" customWidth="1"/>
    <col min="13" max="13" width="2.08984375" style="580" customWidth="1"/>
    <col min="14" max="14" width="15.54296875" style="580" customWidth="1"/>
    <col min="15" max="16" width="12.6328125" style="580" customWidth="1"/>
    <col min="17" max="17" width="7.90625" style="580" customWidth="1"/>
    <col min="18" max="18" width="14.6328125" style="580" customWidth="1"/>
    <col min="19" max="19" width="11.90625" style="580" customWidth="1"/>
    <col min="20" max="16384" width="9.6328125" style="580"/>
  </cols>
  <sheetData>
    <row r="1" spans="1:20" ht="21" x14ac:dyDescent="0.4">
      <c r="A1" s="575"/>
      <c r="B1" s="576" t="s">
        <v>179</v>
      </c>
      <c r="C1" s="577"/>
      <c r="D1" s="577"/>
      <c r="E1" s="577"/>
      <c r="F1" s="577"/>
      <c r="G1" s="577"/>
      <c r="H1" s="577"/>
      <c r="I1" s="577"/>
      <c r="J1" s="577"/>
      <c r="K1" s="577"/>
      <c r="L1" s="577"/>
      <c r="M1" s="577"/>
      <c r="N1" s="577"/>
      <c r="O1" s="577"/>
      <c r="P1" s="577"/>
      <c r="Q1" s="577"/>
      <c r="R1" s="577"/>
      <c r="S1" s="578"/>
      <c r="T1" s="579"/>
    </row>
    <row r="2" spans="1:20" x14ac:dyDescent="0.3">
      <c r="A2" s="581"/>
      <c r="B2" s="582"/>
      <c r="C2" s="583"/>
      <c r="D2" s="583"/>
      <c r="E2" s="583"/>
      <c r="F2" s="583"/>
      <c r="G2" s="583"/>
      <c r="H2" s="583"/>
      <c r="I2" s="583"/>
      <c r="J2" s="583"/>
      <c r="K2" s="583"/>
      <c r="L2" s="583"/>
      <c r="M2" s="583"/>
      <c r="N2" s="583"/>
      <c r="O2" s="583"/>
      <c r="P2" s="583"/>
      <c r="Q2" s="583"/>
      <c r="R2" s="583"/>
      <c r="S2" s="584"/>
      <c r="T2" s="579"/>
    </row>
    <row r="3" spans="1:20" x14ac:dyDescent="0.3">
      <c r="A3" s="585"/>
      <c r="B3" s="586" t="s">
        <v>180</v>
      </c>
      <c r="C3" s="583"/>
      <c r="D3" s="583"/>
      <c r="E3" s="583"/>
      <c r="F3" s="583"/>
      <c r="G3" s="583"/>
      <c r="H3" s="583"/>
      <c r="I3" s="583"/>
      <c r="J3" s="583"/>
      <c r="K3" s="583"/>
      <c r="L3" s="583"/>
      <c r="M3" s="583"/>
      <c r="N3" s="583"/>
      <c r="O3" s="583"/>
      <c r="P3" s="583"/>
      <c r="Q3" s="583"/>
      <c r="R3" s="583"/>
      <c r="S3" s="584"/>
      <c r="T3" s="579"/>
    </row>
    <row r="4" spans="1:20" x14ac:dyDescent="0.3">
      <c r="A4" s="581"/>
      <c r="B4" s="582"/>
      <c r="C4" s="583"/>
      <c r="D4" s="583"/>
      <c r="E4" s="583"/>
      <c r="F4" s="583"/>
      <c r="G4" s="583"/>
      <c r="H4" s="583"/>
      <c r="I4" s="583"/>
      <c r="J4" s="583"/>
      <c r="K4" s="583"/>
      <c r="L4" s="583"/>
      <c r="M4" s="583"/>
      <c r="N4" s="583"/>
      <c r="O4" s="583"/>
      <c r="P4" s="583"/>
      <c r="Q4" s="583"/>
      <c r="R4" s="583"/>
      <c r="S4" s="584"/>
      <c r="T4" s="579"/>
    </row>
    <row r="5" spans="1:20" x14ac:dyDescent="0.3">
      <c r="A5" s="581"/>
      <c r="B5" s="587" t="s">
        <v>156</v>
      </c>
      <c r="C5" s="583"/>
      <c r="D5" s="583"/>
      <c r="E5" s="583"/>
      <c r="F5" s="583"/>
      <c r="G5" s="583"/>
      <c r="H5" s="583"/>
      <c r="I5" s="583"/>
      <c r="J5" s="583"/>
      <c r="K5" s="583"/>
      <c r="L5" s="583"/>
      <c r="M5" s="583"/>
      <c r="N5" s="583"/>
      <c r="O5" s="583"/>
      <c r="P5" s="583"/>
      <c r="Q5" s="583"/>
      <c r="R5" s="583"/>
      <c r="S5" s="584"/>
      <c r="T5" s="579"/>
    </row>
    <row r="6" spans="1:20" x14ac:dyDescent="0.3">
      <c r="A6" s="581"/>
      <c r="B6" s="587" t="s">
        <v>344</v>
      </c>
      <c r="C6" s="583"/>
      <c r="D6" s="583"/>
      <c r="E6" s="583"/>
      <c r="F6" s="583"/>
      <c r="G6" s="583"/>
      <c r="H6" s="583"/>
      <c r="I6" s="583"/>
      <c r="J6" s="583"/>
      <c r="K6" s="583"/>
      <c r="L6" s="583"/>
      <c r="M6" s="583"/>
      <c r="N6" s="583"/>
      <c r="O6" s="583"/>
      <c r="P6" s="583"/>
      <c r="Q6" s="583"/>
      <c r="R6" s="583"/>
      <c r="S6" s="584"/>
      <c r="T6" s="579"/>
    </row>
    <row r="7" spans="1:20" x14ac:dyDescent="0.3">
      <c r="A7" s="581"/>
      <c r="B7" s="587" t="s">
        <v>157</v>
      </c>
      <c r="C7" s="583"/>
      <c r="D7" s="583"/>
      <c r="E7" s="583"/>
      <c r="F7" s="583"/>
      <c r="G7" s="583"/>
      <c r="H7" s="583"/>
      <c r="I7" s="583"/>
      <c r="J7" s="583"/>
      <c r="K7" s="583"/>
      <c r="L7" s="583"/>
      <c r="M7" s="583"/>
      <c r="N7" s="583"/>
      <c r="O7" s="583"/>
      <c r="P7" s="583"/>
      <c r="Q7" s="583"/>
      <c r="R7" s="583"/>
      <c r="S7" s="584"/>
      <c r="T7" s="579"/>
    </row>
    <row r="8" spans="1:20" x14ac:dyDescent="0.3">
      <c r="A8" s="581"/>
      <c r="B8" s="588"/>
      <c r="C8" s="583"/>
      <c r="D8" s="583"/>
      <c r="E8" s="583"/>
      <c r="F8" s="583"/>
      <c r="G8" s="583"/>
      <c r="H8" s="583"/>
      <c r="I8" s="583"/>
      <c r="J8" s="583"/>
      <c r="K8" s="583"/>
      <c r="L8" s="583"/>
      <c r="M8" s="583"/>
      <c r="N8" s="583"/>
      <c r="O8" s="583"/>
      <c r="P8" s="583"/>
      <c r="Q8" s="583"/>
      <c r="R8" s="583"/>
      <c r="S8" s="584"/>
      <c r="T8" s="579"/>
    </row>
    <row r="9" spans="1:20" x14ac:dyDescent="0.3">
      <c r="A9" s="581"/>
      <c r="B9" s="586" t="s">
        <v>245</v>
      </c>
      <c r="C9" s="583"/>
      <c r="D9" s="583"/>
      <c r="E9" s="583"/>
      <c r="F9" s="583"/>
      <c r="G9" s="583"/>
      <c r="H9" s="589"/>
      <c r="I9" s="583"/>
      <c r="J9" s="590" t="s">
        <v>341</v>
      </c>
      <c r="K9" s="583"/>
      <c r="L9" s="583"/>
      <c r="M9" s="583"/>
      <c r="N9" s="583"/>
      <c r="O9" s="583"/>
      <c r="P9" s="583"/>
      <c r="Q9" s="583"/>
      <c r="R9" s="583"/>
      <c r="S9" s="584"/>
      <c r="T9" s="579"/>
    </row>
    <row r="10" spans="1:20" x14ac:dyDescent="0.3">
      <c r="A10" s="581"/>
      <c r="B10" s="588"/>
      <c r="C10" s="591"/>
      <c r="D10" s="591"/>
      <c r="E10" s="591"/>
      <c r="F10" s="583"/>
      <c r="G10" s="583"/>
      <c r="H10" s="583"/>
      <c r="I10" s="583"/>
      <c r="J10" s="583"/>
      <c r="K10" s="583"/>
      <c r="L10" s="583"/>
      <c r="M10" s="583"/>
      <c r="N10" s="583"/>
      <c r="O10" s="583"/>
      <c r="P10" s="583"/>
      <c r="Q10" s="583"/>
      <c r="R10" s="583"/>
      <c r="S10" s="584"/>
      <c r="T10" s="579"/>
    </row>
    <row r="11" spans="1:20" x14ac:dyDescent="0.3">
      <c r="A11" s="581"/>
      <c r="B11" s="592" t="s">
        <v>0</v>
      </c>
      <c r="C11" s="583"/>
      <c r="D11" s="583"/>
      <c r="E11" s="583"/>
      <c r="F11" s="583"/>
      <c r="G11" s="583"/>
      <c r="H11" s="583"/>
      <c r="I11" s="583"/>
      <c r="J11" s="583"/>
      <c r="K11" s="583"/>
      <c r="L11" s="583"/>
      <c r="M11" s="583"/>
      <c r="N11" s="583"/>
      <c r="O11" s="583"/>
      <c r="P11" s="583"/>
      <c r="Q11" s="583"/>
      <c r="R11" s="583"/>
      <c r="S11" s="584"/>
      <c r="T11" s="579"/>
    </row>
    <row r="12" spans="1:20" ht="16.2" thickBot="1" x14ac:dyDescent="0.35">
      <c r="A12" s="581"/>
      <c r="B12" s="591"/>
      <c r="C12" s="583"/>
      <c r="D12" s="583"/>
      <c r="E12" s="583"/>
      <c r="F12" s="583"/>
      <c r="G12" s="583"/>
      <c r="H12" s="583"/>
      <c r="I12" s="583"/>
      <c r="J12" s="583"/>
      <c r="K12" s="583"/>
      <c r="L12" s="583"/>
      <c r="M12" s="583"/>
      <c r="N12" s="583"/>
      <c r="O12" s="583"/>
      <c r="P12" s="583"/>
      <c r="Q12" s="583"/>
      <c r="R12" s="583"/>
      <c r="S12" s="584"/>
      <c r="T12" s="579"/>
    </row>
    <row r="13" spans="1:20" x14ac:dyDescent="0.3">
      <c r="A13" s="575"/>
      <c r="B13" s="577"/>
      <c r="C13" s="577"/>
      <c r="D13" s="577"/>
      <c r="E13" s="577"/>
      <c r="F13" s="577"/>
      <c r="G13" s="577"/>
      <c r="H13" s="577"/>
      <c r="I13" s="577"/>
      <c r="J13" s="577"/>
      <c r="K13" s="577"/>
      <c r="L13" s="577"/>
      <c r="M13" s="577"/>
      <c r="N13" s="577"/>
      <c r="O13" s="577"/>
      <c r="P13" s="577"/>
      <c r="Q13" s="577"/>
      <c r="R13" s="577"/>
      <c r="S13" s="578"/>
      <c r="T13" s="579"/>
    </row>
    <row r="14" spans="1:20" x14ac:dyDescent="0.3">
      <c r="A14" s="581"/>
      <c r="B14" s="592" t="s">
        <v>1</v>
      </c>
      <c r="C14" s="593"/>
      <c r="D14" s="593"/>
      <c r="E14" s="593"/>
      <c r="F14" s="593"/>
      <c r="G14" s="593"/>
      <c r="H14" s="593"/>
      <c r="I14" s="593"/>
      <c r="J14" s="593"/>
      <c r="K14" s="593"/>
      <c r="L14" s="593"/>
      <c r="M14" s="593"/>
      <c r="N14" s="593"/>
      <c r="O14" s="593"/>
      <c r="P14" s="593"/>
      <c r="Q14" s="593"/>
      <c r="R14" s="594" t="s">
        <v>181</v>
      </c>
      <c r="S14" s="595"/>
      <c r="T14" s="579"/>
    </row>
    <row r="15" spans="1:20" x14ac:dyDescent="0.3">
      <c r="A15" s="581"/>
      <c r="B15" s="592" t="s">
        <v>2</v>
      </c>
      <c r="C15" s="593"/>
      <c r="D15" s="593"/>
      <c r="E15" s="593"/>
      <c r="F15" s="593"/>
      <c r="G15" s="593"/>
      <c r="H15" s="596"/>
      <c r="I15" s="596"/>
      <c r="J15" s="596"/>
      <c r="K15" s="596"/>
      <c r="L15" s="596"/>
      <c r="M15" s="596"/>
      <c r="N15" s="596" t="s">
        <v>115</v>
      </c>
      <c r="O15" s="597">
        <v>0.76429999999999998</v>
      </c>
      <c r="P15" s="598" t="s">
        <v>161</v>
      </c>
      <c r="Q15" s="597">
        <v>0.23569999999999999</v>
      </c>
      <c r="R15" s="594"/>
      <c r="S15" s="595"/>
      <c r="T15" s="579"/>
    </row>
    <row r="16" spans="1:20" x14ac:dyDescent="0.3">
      <c r="A16" s="581"/>
      <c r="B16" s="592" t="s">
        <v>3</v>
      </c>
      <c r="C16" s="593"/>
      <c r="D16" s="593"/>
      <c r="E16" s="593"/>
      <c r="F16" s="593"/>
      <c r="G16" s="593"/>
      <c r="H16" s="596"/>
      <c r="I16" s="596"/>
      <c r="J16" s="596"/>
      <c r="K16" s="596"/>
      <c r="L16" s="596"/>
      <c r="M16" s="596"/>
      <c r="N16" s="596" t="s">
        <v>115</v>
      </c>
      <c r="O16" s="597">
        <v>0</v>
      </c>
      <c r="P16" s="598" t="s">
        <v>161</v>
      </c>
      <c r="Q16" s="597">
        <v>0</v>
      </c>
      <c r="R16" s="594"/>
      <c r="S16" s="595"/>
      <c r="T16" s="579"/>
    </row>
    <row r="17" spans="1:20" x14ac:dyDescent="0.3">
      <c r="A17" s="581"/>
      <c r="B17" s="592" t="s">
        <v>4</v>
      </c>
      <c r="C17" s="593"/>
      <c r="D17" s="593"/>
      <c r="E17" s="593"/>
      <c r="F17" s="593"/>
      <c r="G17" s="593"/>
      <c r="H17" s="593"/>
      <c r="I17" s="593"/>
      <c r="J17" s="593"/>
      <c r="K17" s="593"/>
      <c r="L17" s="593"/>
      <c r="M17" s="593"/>
      <c r="N17" s="593"/>
      <c r="O17" s="593"/>
      <c r="P17" s="593"/>
      <c r="Q17" s="593"/>
      <c r="R17" s="599">
        <v>38287</v>
      </c>
      <c r="S17" s="595"/>
      <c r="T17" s="579"/>
    </row>
    <row r="18" spans="1:20" x14ac:dyDescent="0.3">
      <c r="A18" s="581"/>
      <c r="B18" s="592" t="s">
        <v>5</v>
      </c>
      <c r="C18" s="593"/>
      <c r="D18" s="593"/>
      <c r="E18" s="593"/>
      <c r="F18" s="593"/>
      <c r="G18" s="593"/>
      <c r="H18" s="593"/>
      <c r="I18" s="593"/>
      <c r="J18" s="593"/>
      <c r="K18" s="593"/>
      <c r="L18" s="593"/>
      <c r="M18" s="593"/>
      <c r="N18" s="593"/>
      <c r="O18" s="593"/>
      <c r="P18" s="593"/>
      <c r="Q18" s="593"/>
      <c r="R18" s="599">
        <v>43123</v>
      </c>
      <c r="S18" s="595"/>
      <c r="T18" s="579"/>
    </row>
    <row r="19" spans="1:20" x14ac:dyDescent="0.3">
      <c r="A19" s="581"/>
      <c r="B19" s="600"/>
      <c r="C19" s="583"/>
      <c r="D19" s="583"/>
      <c r="E19" s="583"/>
      <c r="F19" s="583"/>
      <c r="G19" s="583"/>
      <c r="H19" s="583"/>
      <c r="I19" s="583"/>
      <c r="J19" s="583"/>
      <c r="K19" s="583"/>
      <c r="L19" s="583"/>
      <c r="M19" s="583"/>
      <c r="N19" s="600"/>
      <c r="O19" s="600"/>
      <c r="P19" s="600"/>
      <c r="Q19" s="600"/>
      <c r="R19" s="601"/>
      <c r="S19" s="584"/>
      <c r="T19" s="579"/>
    </row>
    <row r="20" spans="1:20" x14ac:dyDescent="0.3">
      <c r="A20" s="581"/>
      <c r="B20" s="602" t="s">
        <v>6</v>
      </c>
      <c r="C20" s="583"/>
      <c r="D20" s="583"/>
      <c r="E20" s="583"/>
      <c r="F20" s="583"/>
      <c r="G20" s="583"/>
      <c r="H20" s="583"/>
      <c r="I20" s="583"/>
      <c r="J20" s="583"/>
      <c r="K20" s="583"/>
      <c r="L20" s="583"/>
      <c r="M20" s="583"/>
      <c r="N20" s="600"/>
      <c r="O20" s="600"/>
      <c r="P20" s="603" t="s">
        <v>116</v>
      </c>
      <c r="Q20" s="600"/>
      <c r="R20" s="600"/>
      <c r="S20" s="584"/>
      <c r="T20" s="579"/>
    </row>
    <row r="21" spans="1:20" x14ac:dyDescent="0.3">
      <c r="A21" s="581"/>
      <c r="B21" s="583"/>
      <c r="C21" s="583"/>
      <c r="D21" s="583"/>
      <c r="E21" s="583"/>
      <c r="F21" s="583"/>
      <c r="G21" s="583"/>
      <c r="H21" s="583"/>
      <c r="I21" s="583"/>
      <c r="J21" s="583"/>
      <c r="K21" s="583"/>
      <c r="L21" s="583"/>
      <c r="M21" s="583"/>
      <c r="N21" s="583"/>
      <c r="O21" s="583"/>
      <c r="P21" s="583"/>
      <c r="Q21" s="583"/>
      <c r="R21" s="604"/>
      <c r="S21" s="584"/>
      <c r="T21" s="579"/>
    </row>
    <row r="22" spans="1:20" x14ac:dyDescent="0.3">
      <c r="A22" s="605"/>
      <c r="B22" s="606"/>
      <c r="C22" s="607"/>
      <c r="D22" s="608" t="s">
        <v>159</v>
      </c>
      <c r="E22" s="608"/>
      <c r="F22" s="608" t="s">
        <v>160</v>
      </c>
      <c r="G22" s="608"/>
      <c r="H22" s="608" t="s">
        <v>182</v>
      </c>
      <c r="I22" s="608"/>
      <c r="J22" s="608" t="s">
        <v>183</v>
      </c>
      <c r="K22" s="608"/>
      <c r="L22" s="608" t="s">
        <v>133</v>
      </c>
      <c r="M22" s="608"/>
      <c r="N22" s="608" t="s">
        <v>134</v>
      </c>
      <c r="O22" s="609"/>
      <c r="P22" s="609"/>
      <c r="Q22" s="606"/>
      <c r="R22" s="606"/>
      <c r="S22" s="610"/>
      <c r="T22" s="579"/>
    </row>
    <row r="23" spans="1:20" s="616" customFormat="1" x14ac:dyDescent="0.3">
      <c r="A23" s="611"/>
      <c r="B23" s="612" t="s">
        <v>7</v>
      </c>
      <c r="C23" s="613"/>
      <c r="D23" s="613" t="s">
        <v>162</v>
      </c>
      <c r="E23" s="613"/>
      <c r="F23" s="613" t="s">
        <v>162</v>
      </c>
      <c r="G23" s="613"/>
      <c r="H23" s="613" t="s">
        <v>162</v>
      </c>
      <c r="I23" s="613"/>
      <c r="J23" s="613" t="s">
        <v>162</v>
      </c>
      <c r="K23" s="613"/>
      <c r="L23" s="613" t="s">
        <v>163</v>
      </c>
      <c r="M23" s="613"/>
      <c r="N23" s="613" t="s">
        <v>163</v>
      </c>
      <c r="O23" s="613"/>
      <c r="P23" s="613"/>
      <c r="Q23" s="612"/>
      <c r="R23" s="612"/>
      <c r="S23" s="614"/>
      <c r="T23" s="615"/>
    </row>
    <row r="24" spans="1:20" s="616" customFormat="1" x14ac:dyDescent="0.3">
      <c r="A24" s="617"/>
      <c r="B24" s="618" t="s">
        <v>8</v>
      </c>
      <c r="C24" s="619"/>
      <c r="D24" s="619" t="s">
        <v>164</v>
      </c>
      <c r="E24" s="619"/>
      <c r="F24" s="619" t="s">
        <v>164</v>
      </c>
      <c r="G24" s="619"/>
      <c r="H24" s="619" t="s">
        <v>164</v>
      </c>
      <c r="I24" s="619"/>
      <c r="J24" s="619" t="s">
        <v>164</v>
      </c>
      <c r="K24" s="619"/>
      <c r="L24" s="619" t="s">
        <v>165</v>
      </c>
      <c r="M24" s="619"/>
      <c r="N24" s="619" t="s">
        <v>165</v>
      </c>
      <c r="O24" s="619"/>
      <c r="P24" s="619"/>
      <c r="Q24" s="618"/>
      <c r="R24" s="618"/>
      <c r="S24" s="620"/>
      <c r="T24" s="615"/>
    </row>
    <row r="25" spans="1:20" s="616" customFormat="1" x14ac:dyDescent="0.3">
      <c r="A25" s="617"/>
      <c r="B25" s="618" t="s">
        <v>135</v>
      </c>
      <c r="C25" s="619"/>
      <c r="D25" s="619" t="s">
        <v>164</v>
      </c>
      <c r="E25" s="619"/>
      <c r="F25" s="619" t="s">
        <v>164</v>
      </c>
      <c r="G25" s="619"/>
      <c r="H25" s="619" t="s">
        <v>164</v>
      </c>
      <c r="I25" s="619"/>
      <c r="J25" s="619" t="s">
        <v>164</v>
      </c>
      <c r="K25" s="619"/>
      <c r="L25" s="619" t="s">
        <v>165</v>
      </c>
      <c r="M25" s="619"/>
      <c r="N25" s="619" t="s">
        <v>165</v>
      </c>
      <c r="O25" s="619"/>
      <c r="P25" s="619"/>
      <c r="Q25" s="618"/>
      <c r="R25" s="618"/>
      <c r="S25" s="620"/>
      <c r="T25" s="615"/>
    </row>
    <row r="26" spans="1:20" s="616" customFormat="1" x14ac:dyDescent="0.3">
      <c r="A26" s="621"/>
      <c r="B26" s="622" t="s">
        <v>9</v>
      </c>
      <c r="C26" s="623"/>
      <c r="D26" s="623" t="s">
        <v>162</v>
      </c>
      <c r="E26" s="623"/>
      <c r="F26" s="623" t="s">
        <v>162</v>
      </c>
      <c r="G26" s="623"/>
      <c r="H26" s="623" t="s">
        <v>162</v>
      </c>
      <c r="I26" s="623"/>
      <c r="J26" s="623" t="s">
        <v>162</v>
      </c>
      <c r="K26" s="623"/>
      <c r="L26" s="623" t="s">
        <v>163</v>
      </c>
      <c r="M26" s="623"/>
      <c r="N26" s="623" t="s">
        <v>163</v>
      </c>
      <c r="O26" s="623"/>
      <c r="P26" s="619"/>
      <c r="Q26" s="618"/>
      <c r="R26" s="618"/>
      <c r="S26" s="620"/>
      <c r="T26" s="615"/>
    </row>
    <row r="27" spans="1:20" s="616" customFormat="1" x14ac:dyDescent="0.3">
      <c r="A27" s="621"/>
      <c r="B27" s="622" t="s">
        <v>10</v>
      </c>
      <c r="C27" s="623"/>
      <c r="D27" s="623" t="s">
        <v>164</v>
      </c>
      <c r="E27" s="623"/>
      <c r="F27" s="623" t="s">
        <v>164</v>
      </c>
      <c r="G27" s="623"/>
      <c r="H27" s="623" t="s">
        <v>310</v>
      </c>
      <c r="I27" s="623"/>
      <c r="J27" s="623" t="s">
        <v>310</v>
      </c>
      <c r="K27" s="623"/>
      <c r="L27" s="623" t="s">
        <v>312</v>
      </c>
      <c r="M27" s="623"/>
      <c r="N27" s="623" t="s">
        <v>312</v>
      </c>
      <c r="O27" s="623"/>
      <c r="P27" s="619"/>
      <c r="Q27" s="618"/>
      <c r="R27" s="618"/>
      <c r="S27" s="620"/>
      <c r="T27" s="615"/>
    </row>
    <row r="28" spans="1:20" s="616" customFormat="1" x14ac:dyDescent="0.3">
      <c r="A28" s="621"/>
      <c r="B28" s="622" t="s">
        <v>136</v>
      </c>
      <c r="C28" s="623"/>
      <c r="D28" s="623" t="s">
        <v>164</v>
      </c>
      <c r="E28" s="623"/>
      <c r="F28" s="623" t="s">
        <v>164</v>
      </c>
      <c r="G28" s="623"/>
      <c r="H28" s="623" t="s">
        <v>164</v>
      </c>
      <c r="I28" s="623"/>
      <c r="J28" s="623" t="s">
        <v>164</v>
      </c>
      <c r="K28" s="623"/>
      <c r="L28" s="623" t="s">
        <v>165</v>
      </c>
      <c r="M28" s="623"/>
      <c r="N28" s="623" t="s">
        <v>165</v>
      </c>
      <c r="O28" s="623"/>
      <c r="P28" s="619"/>
      <c r="Q28" s="618"/>
      <c r="R28" s="618"/>
      <c r="S28" s="620"/>
      <c r="T28" s="615"/>
    </row>
    <row r="29" spans="1:20" s="616" customFormat="1" x14ac:dyDescent="0.3">
      <c r="A29" s="617"/>
      <c r="B29" s="618" t="s">
        <v>11</v>
      </c>
      <c r="C29" s="619"/>
      <c r="D29" s="619" t="s">
        <v>184</v>
      </c>
      <c r="E29" s="619"/>
      <c r="F29" s="624" t="s">
        <v>224</v>
      </c>
      <c r="G29" s="619"/>
      <c r="H29" s="619" t="s">
        <v>185</v>
      </c>
      <c r="I29" s="619"/>
      <c r="J29" s="619" t="s">
        <v>186</v>
      </c>
      <c r="K29" s="619"/>
      <c r="L29" s="619" t="s">
        <v>187</v>
      </c>
      <c r="M29" s="619"/>
      <c r="N29" s="619" t="s">
        <v>188</v>
      </c>
      <c r="O29" s="619"/>
      <c r="P29" s="624"/>
      <c r="Q29" s="618"/>
      <c r="R29" s="618"/>
      <c r="S29" s="620"/>
      <c r="T29" s="615"/>
    </row>
    <row r="30" spans="1:20" s="616" customFormat="1" x14ac:dyDescent="0.3">
      <c r="A30" s="617"/>
      <c r="B30" s="618" t="s">
        <v>152</v>
      </c>
      <c r="C30" s="625"/>
      <c r="D30" s="626">
        <v>50000</v>
      </c>
      <c r="E30" s="625"/>
      <c r="F30" s="627">
        <v>330000</v>
      </c>
      <c r="G30" s="626"/>
      <c r="H30" s="628">
        <v>305000</v>
      </c>
      <c r="I30" s="626"/>
      <c r="J30" s="627">
        <v>453000</v>
      </c>
      <c r="K30" s="626"/>
      <c r="L30" s="628">
        <v>65000</v>
      </c>
      <c r="M30" s="626"/>
      <c r="N30" s="627">
        <v>50000</v>
      </c>
      <c r="O30" s="626"/>
      <c r="P30" s="626"/>
      <c r="Q30" s="625"/>
      <c r="R30" s="626"/>
      <c r="S30" s="629"/>
      <c r="T30" s="615"/>
    </row>
    <row r="31" spans="1:20" s="616" customFormat="1" x14ac:dyDescent="0.3">
      <c r="A31" s="617"/>
      <c r="B31" s="618" t="s">
        <v>151</v>
      </c>
      <c r="C31" s="625"/>
      <c r="D31" s="626">
        <f>D37*D30</f>
        <v>0</v>
      </c>
      <c r="E31" s="625"/>
      <c r="F31" s="627">
        <f>F37*F30</f>
        <v>0</v>
      </c>
      <c r="G31" s="626"/>
      <c r="H31" s="628">
        <f>H30*H37</f>
        <v>135458.003</v>
      </c>
      <c r="I31" s="626"/>
      <c r="J31" s="627">
        <f>J30*J37</f>
        <v>201188.44379999998</v>
      </c>
      <c r="K31" s="626"/>
      <c r="L31" s="628">
        <f>L30*L37</f>
        <v>44745.375999999997</v>
      </c>
      <c r="M31" s="626"/>
      <c r="N31" s="627">
        <f>N30*N37</f>
        <v>34419.519999999997</v>
      </c>
      <c r="O31" s="626"/>
      <c r="P31" s="626"/>
      <c r="Q31" s="625"/>
      <c r="R31" s="626"/>
      <c r="S31" s="629"/>
      <c r="T31" s="615"/>
    </row>
    <row r="32" spans="1:20" s="616" customFormat="1" x14ac:dyDescent="0.3">
      <c r="A32" s="621"/>
      <c r="B32" s="622" t="s">
        <v>153</v>
      </c>
      <c r="C32" s="630"/>
      <c r="D32" s="631">
        <f>D36*D30</f>
        <v>0</v>
      </c>
      <c r="E32" s="630"/>
      <c r="F32" s="632">
        <f>F36*F30</f>
        <v>0</v>
      </c>
      <c r="G32" s="631"/>
      <c r="H32" s="631">
        <f>H36*H30</f>
        <v>0</v>
      </c>
      <c r="I32" s="630"/>
      <c r="J32" s="632">
        <f>J36*J30</f>
        <v>0</v>
      </c>
      <c r="K32" s="631"/>
      <c r="L32" s="631">
        <f>L36*L30</f>
        <v>0</v>
      </c>
      <c r="M32" s="631"/>
      <c r="N32" s="632">
        <f>N36*N30</f>
        <v>0</v>
      </c>
      <c r="O32" s="631"/>
      <c r="P32" s="631"/>
      <c r="Q32" s="630"/>
      <c r="R32" s="631"/>
      <c r="S32" s="629"/>
      <c r="T32" s="615"/>
    </row>
    <row r="33" spans="1:20" s="616" customFormat="1" x14ac:dyDescent="0.3">
      <c r="A33" s="617"/>
      <c r="B33" s="618" t="s">
        <v>285</v>
      </c>
      <c r="C33" s="625"/>
      <c r="D33" s="626">
        <v>50000</v>
      </c>
      <c r="E33" s="625"/>
      <c r="F33" s="626">
        <v>230000</v>
      </c>
      <c r="G33" s="626"/>
      <c r="H33" s="626">
        <v>305000</v>
      </c>
      <c r="I33" s="626"/>
      <c r="J33" s="626">
        <v>315000</v>
      </c>
      <c r="K33" s="626"/>
      <c r="L33" s="626">
        <v>65000</v>
      </c>
      <c r="M33" s="626"/>
      <c r="N33" s="626">
        <v>35000</v>
      </c>
      <c r="O33" s="626"/>
      <c r="P33" s="626"/>
      <c r="Q33" s="625"/>
      <c r="R33" s="626">
        <f>SUM(C33:N33)</f>
        <v>1000000</v>
      </c>
      <c r="S33" s="629"/>
      <c r="T33" s="615"/>
    </row>
    <row r="34" spans="1:20" s="616" customFormat="1" x14ac:dyDescent="0.3">
      <c r="A34" s="617"/>
      <c r="B34" s="618" t="s">
        <v>286</v>
      </c>
      <c r="C34" s="625"/>
      <c r="D34" s="626">
        <f>+D31</f>
        <v>0</v>
      </c>
      <c r="E34" s="625"/>
      <c r="F34" s="626">
        <f>+F31*0.696969697</f>
        <v>0</v>
      </c>
      <c r="G34" s="626"/>
      <c r="H34" s="626">
        <f>H33*H37</f>
        <v>135458.003</v>
      </c>
      <c r="I34" s="626"/>
      <c r="J34" s="626">
        <f>J33*J37</f>
        <v>139899.24899999998</v>
      </c>
      <c r="K34" s="626"/>
      <c r="L34" s="626">
        <f>L33*L37</f>
        <v>44745.375999999997</v>
      </c>
      <c r="M34" s="626"/>
      <c r="N34" s="626">
        <f>N33*N37</f>
        <v>24093.663999999997</v>
      </c>
      <c r="O34" s="626"/>
      <c r="P34" s="626"/>
      <c r="Q34" s="625"/>
      <c r="R34" s="626">
        <f>SUM(C34:N34)</f>
        <v>344196.29199999996</v>
      </c>
      <c r="S34" s="629"/>
      <c r="T34" s="615"/>
    </row>
    <row r="35" spans="1:20" s="616" customFormat="1" x14ac:dyDescent="0.3">
      <c r="A35" s="621"/>
      <c r="B35" s="622" t="s">
        <v>287</v>
      </c>
      <c r="C35" s="630"/>
      <c r="D35" s="631">
        <f>D36*D33</f>
        <v>0</v>
      </c>
      <c r="E35" s="630"/>
      <c r="F35" s="631">
        <f>F36*F33</f>
        <v>0</v>
      </c>
      <c r="G35" s="631"/>
      <c r="H35" s="631">
        <f>H36*H33</f>
        <v>0</v>
      </c>
      <c r="I35" s="630"/>
      <c r="J35" s="631">
        <f>J36*J33</f>
        <v>0</v>
      </c>
      <c r="K35" s="631"/>
      <c r="L35" s="631">
        <f>L36*L33</f>
        <v>0</v>
      </c>
      <c r="M35" s="631"/>
      <c r="N35" s="631">
        <f>N36*N33</f>
        <v>0</v>
      </c>
      <c r="O35" s="631"/>
      <c r="P35" s="631"/>
      <c r="Q35" s="630"/>
      <c r="R35" s="631">
        <f>SUM(C35:N35)</f>
        <v>0</v>
      </c>
      <c r="S35" s="629"/>
      <c r="T35" s="615"/>
    </row>
    <row r="36" spans="1:20" x14ac:dyDescent="0.3">
      <c r="A36" s="633"/>
      <c r="B36" s="634" t="s">
        <v>149</v>
      </c>
      <c r="C36" s="635"/>
      <c r="D36" s="636">
        <v>0</v>
      </c>
      <c r="E36" s="637"/>
      <c r="F36" s="636">
        <v>0</v>
      </c>
      <c r="G36" s="638"/>
      <c r="H36" s="636">
        <v>0</v>
      </c>
      <c r="I36" s="636"/>
      <c r="J36" s="636">
        <v>0</v>
      </c>
      <c r="K36" s="638"/>
      <c r="L36" s="636">
        <v>0</v>
      </c>
      <c r="M36" s="636"/>
      <c r="N36" s="636">
        <v>0</v>
      </c>
      <c r="O36" s="639"/>
      <c r="P36" s="639"/>
      <c r="Q36" s="640"/>
      <c r="R36" s="639"/>
      <c r="S36" s="641"/>
      <c r="T36" s="579"/>
    </row>
    <row r="37" spans="1:20" x14ac:dyDescent="0.3">
      <c r="A37" s="633"/>
      <c r="B37" s="642" t="s">
        <v>150</v>
      </c>
      <c r="C37" s="640"/>
      <c r="D37" s="643">
        <v>0</v>
      </c>
      <c r="E37" s="644"/>
      <c r="F37" s="643">
        <v>0</v>
      </c>
      <c r="G37" s="645"/>
      <c r="H37" s="643">
        <v>0.44412459999999998</v>
      </c>
      <c r="I37" s="643"/>
      <c r="J37" s="643">
        <v>0.44412459999999998</v>
      </c>
      <c r="K37" s="645"/>
      <c r="L37" s="643">
        <v>0.68839039999999996</v>
      </c>
      <c r="M37" s="643"/>
      <c r="N37" s="643">
        <v>0.68839039999999996</v>
      </c>
      <c r="O37" s="646"/>
      <c r="P37" s="646"/>
      <c r="Q37" s="640"/>
      <c r="R37" s="639"/>
      <c r="S37" s="641"/>
      <c r="T37" s="579"/>
    </row>
    <row r="38" spans="1:20" s="616" customFormat="1" x14ac:dyDescent="0.3">
      <c r="A38" s="617"/>
      <c r="B38" s="618" t="s">
        <v>12</v>
      </c>
      <c r="C38" s="618"/>
      <c r="D38" s="624" t="s">
        <v>191</v>
      </c>
      <c r="E38" s="618"/>
      <c r="F38" s="624" t="s">
        <v>191</v>
      </c>
      <c r="G38" s="624"/>
      <c r="H38" s="624" t="s">
        <v>198</v>
      </c>
      <c r="I38" s="624"/>
      <c r="J38" s="624" t="s">
        <v>197</v>
      </c>
      <c r="K38" s="624"/>
      <c r="L38" s="624" t="s">
        <v>196</v>
      </c>
      <c r="M38" s="624"/>
      <c r="N38" s="624" t="s">
        <v>195</v>
      </c>
      <c r="O38" s="624"/>
      <c r="P38" s="624"/>
      <c r="Q38" s="618"/>
      <c r="R38" s="618"/>
      <c r="S38" s="647"/>
      <c r="T38" s="615"/>
    </row>
    <row r="39" spans="1:20" s="616" customFormat="1" x14ac:dyDescent="0.3">
      <c r="A39" s="617"/>
      <c r="B39" s="618" t="s">
        <v>13</v>
      </c>
      <c r="C39" s="618"/>
      <c r="D39" s="648">
        <v>0</v>
      </c>
      <c r="E39" s="618"/>
      <c r="F39" s="648">
        <v>0</v>
      </c>
      <c r="G39" s="649"/>
      <c r="H39" s="648">
        <v>7.5874999999999996E-3</v>
      </c>
      <c r="I39" s="649"/>
      <c r="J39" s="648">
        <v>3.1E-4</v>
      </c>
      <c r="K39" s="649"/>
      <c r="L39" s="648">
        <v>1.67875E-2</v>
      </c>
      <c r="M39" s="649"/>
      <c r="N39" s="648">
        <v>8.7100000000000007E-3</v>
      </c>
      <c r="O39" s="649"/>
      <c r="P39" s="648"/>
      <c r="Q39" s="618"/>
      <c r="R39" s="649"/>
      <c r="S39" s="647"/>
      <c r="T39" s="615"/>
    </row>
    <row r="40" spans="1:20" s="616" customFormat="1" x14ac:dyDescent="0.3">
      <c r="A40" s="617"/>
      <c r="B40" s="618" t="s">
        <v>14</v>
      </c>
      <c r="C40" s="618"/>
      <c r="D40" s="648">
        <v>0</v>
      </c>
      <c r="E40" s="618"/>
      <c r="F40" s="648">
        <v>0</v>
      </c>
      <c r="G40" s="649"/>
      <c r="H40" s="648">
        <v>6.7469000000000001E-3</v>
      </c>
      <c r="I40" s="649"/>
      <c r="J40" s="648">
        <v>2.9E-4</v>
      </c>
      <c r="K40" s="649"/>
      <c r="L40" s="648">
        <v>1.59469E-2</v>
      </c>
      <c r="M40" s="649"/>
      <c r="N40" s="648">
        <v>8.6899999999999998E-3</v>
      </c>
      <c r="O40" s="649"/>
      <c r="P40" s="648"/>
      <c r="Q40" s="618"/>
      <c r="R40" s="618"/>
      <c r="S40" s="647"/>
      <c r="T40" s="615"/>
    </row>
    <row r="41" spans="1:20" s="616" customFormat="1" x14ac:dyDescent="0.3">
      <c r="A41" s="617"/>
      <c r="B41" s="618" t="s">
        <v>288</v>
      </c>
      <c r="C41" s="618"/>
      <c r="D41" s="624" t="s">
        <v>191</v>
      </c>
      <c r="E41" s="618"/>
      <c r="F41" s="624" t="s">
        <v>225</v>
      </c>
      <c r="G41" s="624"/>
      <c r="H41" s="624" t="s">
        <v>198</v>
      </c>
      <c r="I41" s="624"/>
      <c r="J41" s="624" t="s">
        <v>226</v>
      </c>
      <c r="K41" s="624"/>
      <c r="L41" s="624" t="s">
        <v>196</v>
      </c>
      <c r="M41" s="624"/>
      <c r="N41" s="624" t="s">
        <v>227</v>
      </c>
      <c r="O41" s="649"/>
      <c r="P41" s="648"/>
      <c r="Q41" s="618"/>
      <c r="R41" s="649"/>
      <c r="S41" s="647"/>
      <c r="T41" s="615"/>
    </row>
    <row r="42" spans="1:20" s="616" customFormat="1" x14ac:dyDescent="0.3">
      <c r="A42" s="617"/>
      <c r="B42" s="618" t="s">
        <v>289</v>
      </c>
      <c r="C42" s="618"/>
      <c r="D42" s="648">
        <f>+D39</f>
        <v>0</v>
      </c>
      <c r="E42" s="618"/>
      <c r="F42" s="648">
        <v>0</v>
      </c>
      <c r="G42" s="649"/>
      <c r="H42" s="648">
        <f>+H39</f>
        <v>7.5874999999999996E-3</v>
      </c>
      <c r="I42" s="649"/>
      <c r="J42" s="648">
        <v>8.3835000000000003E-3</v>
      </c>
      <c r="K42" s="649"/>
      <c r="L42" s="648">
        <f>+L39</f>
        <v>1.67875E-2</v>
      </c>
      <c r="M42" s="649"/>
      <c r="N42" s="648">
        <v>1.7541500000000002E-2</v>
      </c>
      <c r="O42" s="649"/>
      <c r="P42" s="648"/>
      <c r="Q42" s="618"/>
      <c r="R42" s="649">
        <f>SUMPRODUCT(D42:N42,D34:N34)/R34</f>
        <v>9.8038097354343386E-3</v>
      </c>
      <c r="S42" s="647"/>
      <c r="T42" s="615"/>
    </row>
    <row r="43" spans="1:20" s="616" customFormat="1" x14ac:dyDescent="0.3">
      <c r="A43" s="617"/>
      <c r="B43" s="618" t="s">
        <v>290</v>
      </c>
      <c r="C43" s="618"/>
      <c r="D43" s="648">
        <f>+D40</f>
        <v>0</v>
      </c>
      <c r="E43" s="618"/>
      <c r="F43" s="648">
        <v>0</v>
      </c>
      <c r="G43" s="649"/>
      <c r="H43" s="648">
        <f>+H40</f>
        <v>6.7469000000000001E-3</v>
      </c>
      <c r="I43" s="649"/>
      <c r="J43" s="648">
        <v>7.5429E-3</v>
      </c>
      <c r="K43" s="649"/>
      <c r="L43" s="648">
        <f>+L40</f>
        <v>1.59469E-2</v>
      </c>
      <c r="M43" s="649"/>
      <c r="N43" s="648">
        <v>1.6700900000000001E-2</v>
      </c>
      <c r="O43" s="649"/>
      <c r="P43" s="648"/>
      <c r="Q43" s="618"/>
      <c r="R43" s="618"/>
      <c r="S43" s="647"/>
      <c r="T43" s="615"/>
    </row>
    <row r="44" spans="1:20" s="616" customFormat="1" x14ac:dyDescent="0.3">
      <c r="A44" s="617"/>
      <c r="B44" s="618" t="s">
        <v>15</v>
      </c>
      <c r="C44" s="650"/>
      <c r="D44" s="650">
        <v>39736</v>
      </c>
      <c r="E44" s="650"/>
      <c r="F44" s="650">
        <v>39736</v>
      </c>
      <c r="G44" s="650"/>
      <c r="H44" s="650">
        <v>39736</v>
      </c>
      <c r="I44" s="650"/>
      <c r="J44" s="650">
        <v>39736</v>
      </c>
      <c r="K44" s="650"/>
      <c r="L44" s="650">
        <v>39736</v>
      </c>
      <c r="M44" s="650"/>
      <c r="N44" s="650">
        <v>39736</v>
      </c>
      <c r="O44" s="624"/>
      <c r="P44" s="624"/>
      <c r="Q44" s="618"/>
      <c r="R44" s="618"/>
      <c r="S44" s="647"/>
      <c r="T44" s="615"/>
    </row>
    <row r="45" spans="1:20" s="616" customFormat="1" x14ac:dyDescent="0.3">
      <c r="A45" s="617"/>
      <c r="B45" s="618" t="s">
        <v>16</v>
      </c>
      <c r="C45" s="650"/>
      <c r="D45" s="650">
        <v>40466</v>
      </c>
      <c r="E45" s="650"/>
      <c r="F45" s="650">
        <v>40466</v>
      </c>
      <c r="G45" s="650"/>
      <c r="H45" s="650">
        <v>40466</v>
      </c>
      <c r="I45" s="624"/>
      <c r="J45" s="650">
        <v>40466</v>
      </c>
      <c r="K45" s="624"/>
      <c r="L45" s="650">
        <v>40466</v>
      </c>
      <c r="M45" s="624"/>
      <c r="N45" s="650">
        <v>40466</v>
      </c>
      <c r="O45" s="624"/>
      <c r="P45" s="624"/>
      <c r="Q45" s="618"/>
      <c r="R45" s="618"/>
      <c r="S45" s="647"/>
      <c r="T45" s="615"/>
    </row>
    <row r="46" spans="1:20" s="616" customFormat="1" x14ac:dyDescent="0.3">
      <c r="A46" s="617"/>
      <c r="B46" s="618" t="s">
        <v>138</v>
      </c>
      <c r="C46" s="618"/>
      <c r="D46" s="624" t="s">
        <v>191</v>
      </c>
      <c r="E46" s="618"/>
      <c r="F46" s="624" t="s">
        <v>191</v>
      </c>
      <c r="G46" s="624"/>
      <c r="H46" s="624" t="s">
        <v>198</v>
      </c>
      <c r="I46" s="624"/>
      <c r="J46" s="624" t="s">
        <v>197</v>
      </c>
      <c r="K46" s="624"/>
      <c r="L46" s="624" t="s">
        <v>196</v>
      </c>
      <c r="M46" s="624"/>
      <c r="N46" s="624" t="s">
        <v>195</v>
      </c>
      <c r="O46" s="624"/>
      <c r="P46" s="624"/>
      <c r="Q46" s="618"/>
      <c r="R46" s="618"/>
      <c r="S46" s="647"/>
      <c r="T46" s="615"/>
    </row>
    <row r="47" spans="1:20" s="616" customFormat="1" x14ac:dyDescent="0.3">
      <c r="A47" s="617"/>
      <c r="B47" s="618" t="s">
        <v>291</v>
      </c>
      <c r="C47" s="618"/>
      <c r="D47" s="624" t="s">
        <v>191</v>
      </c>
      <c r="E47" s="618"/>
      <c r="F47" s="624" t="s">
        <v>225</v>
      </c>
      <c r="G47" s="624"/>
      <c r="H47" s="624" t="s">
        <v>198</v>
      </c>
      <c r="I47" s="624"/>
      <c r="J47" s="624" t="s">
        <v>226</v>
      </c>
      <c r="K47" s="624"/>
      <c r="L47" s="624" t="s">
        <v>196</v>
      </c>
      <c r="M47" s="624"/>
      <c r="N47" s="624" t="s">
        <v>227</v>
      </c>
      <c r="O47" s="624"/>
      <c r="P47" s="624"/>
      <c r="Q47" s="618"/>
      <c r="R47" s="618"/>
      <c r="S47" s="647"/>
      <c r="T47" s="615"/>
    </row>
    <row r="48" spans="1:20" s="616" customFormat="1" x14ac:dyDescent="0.3">
      <c r="A48" s="617"/>
      <c r="B48" s="618"/>
      <c r="C48" s="618"/>
      <c r="D48" s="618"/>
      <c r="E48" s="618"/>
      <c r="F48" s="624"/>
      <c r="G48" s="624"/>
      <c r="H48" s="651"/>
      <c r="I48" s="652"/>
      <c r="J48" s="651"/>
      <c r="K48" s="652"/>
      <c r="L48" s="651"/>
      <c r="M48" s="652"/>
      <c r="N48" s="651"/>
      <c r="O48" s="652"/>
      <c r="P48" s="652"/>
      <c r="Q48" s="652"/>
      <c r="R48" s="652"/>
      <c r="S48" s="647"/>
      <c r="T48" s="615"/>
    </row>
    <row r="49" spans="1:21" s="616" customFormat="1" x14ac:dyDescent="0.3">
      <c r="A49" s="617"/>
      <c r="B49" s="618" t="s">
        <v>17</v>
      </c>
      <c r="C49" s="618"/>
      <c r="D49" s="618"/>
      <c r="E49" s="618"/>
      <c r="F49" s="653"/>
      <c r="G49" s="618"/>
      <c r="H49" s="651"/>
      <c r="I49" s="652"/>
      <c r="J49" s="651"/>
      <c r="K49" s="652"/>
      <c r="L49" s="651"/>
      <c r="M49" s="652"/>
      <c r="N49" s="651"/>
      <c r="O49" s="618"/>
      <c r="P49" s="618"/>
      <c r="Q49" s="618"/>
      <c r="R49" s="649">
        <f>SUM(L33:N33)/SUM(D33:J33)</f>
        <v>0.1111111111111111</v>
      </c>
      <c r="S49" s="647"/>
      <c r="T49" s="615"/>
    </row>
    <row r="50" spans="1:21" s="616" customFormat="1" x14ac:dyDescent="0.3">
      <c r="A50" s="617"/>
      <c r="B50" s="618" t="s">
        <v>18</v>
      </c>
      <c r="C50" s="618"/>
      <c r="D50" s="618"/>
      <c r="E50" s="618"/>
      <c r="F50" s="653"/>
      <c r="G50" s="618"/>
      <c r="H50" s="618"/>
      <c r="I50" s="618"/>
      <c r="J50" s="618"/>
      <c r="K50" s="618"/>
      <c r="L50" s="618"/>
      <c r="M50" s="618"/>
      <c r="N50" s="618"/>
      <c r="O50" s="618"/>
      <c r="P50" s="618"/>
      <c r="Q50" s="618"/>
      <c r="R50" s="649" t="s">
        <v>122</v>
      </c>
      <c r="S50" s="647"/>
      <c r="T50" s="615"/>
    </row>
    <row r="51" spans="1:21" s="616" customFormat="1" x14ac:dyDescent="0.3">
      <c r="A51" s="617"/>
      <c r="B51" s="618" t="s">
        <v>19</v>
      </c>
      <c r="C51" s="618"/>
      <c r="D51" s="618"/>
      <c r="E51" s="618"/>
      <c r="F51" s="618"/>
      <c r="G51" s="618"/>
      <c r="H51" s="618"/>
      <c r="I51" s="618"/>
      <c r="J51" s="618"/>
      <c r="K51" s="618"/>
      <c r="L51" s="618"/>
      <c r="M51" s="618"/>
      <c r="N51" s="618"/>
      <c r="O51" s="618"/>
      <c r="P51" s="624" t="s">
        <v>117</v>
      </c>
      <c r="Q51" s="624" t="s">
        <v>124</v>
      </c>
      <c r="R51" s="626">
        <f>+R33/2-SUM(L33:N33)</f>
        <v>400000</v>
      </c>
      <c r="S51" s="647"/>
      <c r="T51" s="615"/>
    </row>
    <row r="52" spans="1:21" s="616" customFormat="1" x14ac:dyDescent="0.3">
      <c r="A52" s="617"/>
      <c r="B52" s="618"/>
      <c r="C52" s="618"/>
      <c r="D52" s="618"/>
      <c r="E52" s="618"/>
      <c r="F52" s="618"/>
      <c r="G52" s="618"/>
      <c r="H52" s="618"/>
      <c r="I52" s="618"/>
      <c r="J52" s="618"/>
      <c r="K52" s="618"/>
      <c r="L52" s="618"/>
      <c r="M52" s="618"/>
      <c r="N52" s="618"/>
      <c r="O52" s="618"/>
      <c r="P52" s="618" t="s">
        <v>282</v>
      </c>
      <c r="Q52" s="618"/>
      <c r="R52" s="654"/>
      <c r="S52" s="647"/>
      <c r="T52" s="615"/>
    </row>
    <row r="53" spans="1:21" s="616" customFormat="1" x14ac:dyDescent="0.3">
      <c r="A53" s="617"/>
      <c r="B53" s="618" t="s">
        <v>166</v>
      </c>
      <c r="C53" s="618"/>
      <c r="D53" s="618"/>
      <c r="E53" s="618"/>
      <c r="F53" s="618"/>
      <c r="G53" s="618"/>
      <c r="H53" s="618"/>
      <c r="I53" s="618"/>
      <c r="J53" s="618"/>
      <c r="K53" s="618"/>
      <c r="L53" s="618"/>
      <c r="M53" s="618"/>
      <c r="N53" s="618"/>
      <c r="O53" s="618"/>
      <c r="P53" s="624"/>
      <c r="Q53" s="624"/>
      <c r="R53" s="624" t="s">
        <v>126</v>
      </c>
      <c r="S53" s="647"/>
      <c r="T53" s="615"/>
    </row>
    <row r="54" spans="1:21" s="616" customFormat="1" x14ac:dyDescent="0.3">
      <c r="A54" s="617"/>
      <c r="B54" s="622" t="s">
        <v>167</v>
      </c>
      <c r="C54" s="622"/>
      <c r="D54" s="622"/>
      <c r="E54" s="622"/>
      <c r="F54" s="622"/>
      <c r="G54" s="622"/>
      <c r="H54" s="622"/>
      <c r="I54" s="622"/>
      <c r="J54" s="622"/>
      <c r="K54" s="622"/>
      <c r="L54" s="622"/>
      <c r="M54" s="622"/>
      <c r="N54" s="622"/>
      <c r="O54" s="622"/>
      <c r="P54" s="655"/>
      <c r="Q54" s="655"/>
      <c r="R54" s="656">
        <v>43115</v>
      </c>
      <c r="S54" s="647"/>
      <c r="T54" s="615"/>
    </row>
    <row r="55" spans="1:21" s="616" customFormat="1" x14ac:dyDescent="0.3">
      <c r="A55" s="617"/>
      <c r="B55" s="618" t="s">
        <v>140</v>
      </c>
      <c r="C55" s="618"/>
      <c r="D55" s="618"/>
      <c r="E55" s="618"/>
      <c r="F55" s="618"/>
      <c r="G55" s="618"/>
      <c r="H55" s="657"/>
      <c r="I55" s="657"/>
      <c r="J55" s="657"/>
      <c r="K55" s="657"/>
      <c r="L55" s="657"/>
      <c r="M55" s="657"/>
      <c r="N55" s="618">
        <f>+R55-P55+1</f>
        <v>91</v>
      </c>
      <c r="O55" s="657"/>
      <c r="P55" s="658">
        <v>42933</v>
      </c>
      <c r="Q55" s="659"/>
      <c r="R55" s="658">
        <v>43023</v>
      </c>
      <c r="S55" s="647"/>
      <c r="T55" s="615"/>
    </row>
    <row r="56" spans="1:21" s="616" customFormat="1" x14ac:dyDescent="0.3">
      <c r="A56" s="617"/>
      <c r="B56" s="618" t="s">
        <v>141</v>
      </c>
      <c r="C56" s="618"/>
      <c r="D56" s="618"/>
      <c r="E56" s="618"/>
      <c r="F56" s="618"/>
      <c r="G56" s="618"/>
      <c r="H56" s="618"/>
      <c r="I56" s="618"/>
      <c r="J56" s="618"/>
      <c r="K56" s="618"/>
      <c r="L56" s="618"/>
      <c r="M56" s="618"/>
      <c r="N56" s="618">
        <f>+R56-P56+1</f>
        <v>91</v>
      </c>
      <c r="O56" s="618"/>
      <c r="P56" s="658">
        <v>43024</v>
      </c>
      <c r="Q56" s="659"/>
      <c r="R56" s="658">
        <v>43114</v>
      </c>
      <c r="S56" s="647"/>
      <c r="T56" s="615"/>
    </row>
    <row r="57" spans="1:21" s="616" customFormat="1" x14ac:dyDescent="0.3">
      <c r="A57" s="617"/>
      <c r="B57" s="618" t="s">
        <v>229</v>
      </c>
      <c r="C57" s="618"/>
      <c r="D57" s="618"/>
      <c r="E57" s="618"/>
      <c r="F57" s="618"/>
      <c r="G57" s="618"/>
      <c r="H57" s="618"/>
      <c r="I57" s="618"/>
      <c r="J57" s="618"/>
      <c r="K57" s="618"/>
      <c r="L57" s="618"/>
      <c r="M57" s="618"/>
      <c r="N57" s="618"/>
      <c r="O57" s="618"/>
      <c r="P57" s="658"/>
      <c r="Q57" s="659"/>
      <c r="R57" s="658" t="s">
        <v>139</v>
      </c>
      <c r="S57" s="647"/>
      <c r="T57" s="615"/>
    </row>
    <row r="58" spans="1:21" s="616" customFormat="1" x14ac:dyDescent="0.3">
      <c r="A58" s="617"/>
      <c r="B58" s="618" t="s">
        <v>228</v>
      </c>
      <c r="C58" s="618"/>
      <c r="D58" s="618"/>
      <c r="E58" s="618"/>
      <c r="F58" s="618"/>
      <c r="G58" s="618"/>
      <c r="H58" s="618"/>
      <c r="I58" s="618"/>
      <c r="J58" s="618"/>
      <c r="K58" s="618"/>
      <c r="L58" s="618"/>
      <c r="M58" s="618"/>
      <c r="N58" s="618"/>
      <c r="O58" s="618"/>
      <c r="P58" s="658"/>
      <c r="Q58" s="659"/>
      <c r="R58" s="658" t="s">
        <v>204</v>
      </c>
      <c r="S58" s="647"/>
      <c r="T58" s="615"/>
      <c r="U58" s="660"/>
    </row>
    <row r="59" spans="1:21" s="616" customFormat="1" x14ac:dyDescent="0.3">
      <c r="A59" s="617"/>
      <c r="B59" s="618" t="s">
        <v>20</v>
      </c>
      <c r="C59" s="618"/>
      <c r="D59" s="618"/>
      <c r="E59" s="618"/>
      <c r="F59" s="618"/>
      <c r="G59" s="618"/>
      <c r="H59" s="618"/>
      <c r="I59" s="618"/>
      <c r="J59" s="618"/>
      <c r="K59" s="618"/>
      <c r="L59" s="618"/>
      <c r="M59" s="618"/>
      <c r="N59" s="618"/>
      <c r="O59" s="618"/>
      <c r="P59" s="658"/>
      <c r="Q59" s="659"/>
      <c r="R59" s="658">
        <v>43102</v>
      </c>
      <c r="S59" s="647"/>
      <c r="T59" s="615"/>
    </row>
    <row r="60" spans="1:21" s="616" customFormat="1" x14ac:dyDescent="0.3">
      <c r="A60" s="611"/>
      <c r="B60" s="661"/>
      <c r="C60" s="661"/>
      <c r="D60" s="661"/>
      <c r="E60" s="661"/>
      <c r="F60" s="661"/>
      <c r="G60" s="661"/>
      <c r="H60" s="661"/>
      <c r="I60" s="661"/>
      <c r="J60" s="661"/>
      <c r="K60" s="661"/>
      <c r="L60" s="661"/>
      <c r="M60" s="661"/>
      <c r="N60" s="661"/>
      <c r="O60" s="661"/>
      <c r="P60" s="662"/>
      <c r="Q60" s="663"/>
      <c r="R60" s="662"/>
      <c r="S60" s="664"/>
      <c r="T60" s="665"/>
    </row>
    <row r="61" spans="1:21" s="616" customFormat="1" x14ac:dyDescent="0.3">
      <c r="A61" s="611"/>
      <c r="B61" s="600"/>
      <c r="C61" s="600"/>
      <c r="D61" s="600"/>
      <c r="E61" s="600"/>
      <c r="F61" s="600"/>
      <c r="G61" s="600"/>
      <c r="H61" s="600"/>
      <c r="I61" s="600"/>
      <c r="J61" s="600"/>
      <c r="K61" s="600"/>
      <c r="L61" s="600"/>
      <c r="M61" s="600"/>
      <c r="N61" s="600"/>
      <c r="O61" s="600"/>
      <c r="P61" s="666"/>
      <c r="Q61" s="667"/>
      <c r="R61" s="666"/>
      <c r="S61" s="668"/>
      <c r="T61" s="665"/>
    </row>
    <row r="62" spans="1:21" s="616" customFormat="1" ht="18.600000000000001" thickBot="1" x14ac:dyDescent="0.4">
      <c r="A62" s="669"/>
      <c r="B62" s="670" t="s">
        <v>345</v>
      </c>
      <c r="C62" s="671"/>
      <c r="D62" s="671"/>
      <c r="E62" s="671"/>
      <c r="F62" s="671"/>
      <c r="G62" s="671"/>
      <c r="H62" s="671"/>
      <c r="I62" s="671"/>
      <c r="J62" s="671"/>
      <c r="K62" s="671"/>
      <c r="L62" s="671"/>
      <c r="M62" s="671"/>
      <c r="N62" s="671"/>
      <c r="O62" s="671"/>
      <c r="P62" s="671"/>
      <c r="Q62" s="671"/>
      <c r="R62" s="672"/>
      <c r="S62" s="673"/>
      <c r="T62" s="615"/>
    </row>
    <row r="63" spans="1:21" x14ac:dyDescent="0.3">
      <c r="A63" s="674"/>
      <c r="B63" s="675" t="s">
        <v>21</v>
      </c>
      <c r="C63" s="676"/>
      <c r="D63" s="676"/>
      <c r="E63" s="676"/>
      <c r="F63" s="676"/>
      <c r="G63" s="676"/>
      <c r="H63" s="676"/>
      <c r="I63" s="676"/>
      <c r="J63" s="676"/>
      <c r="K63" s="676"/>
      <c r="L63" s="676"/>
      <c r="M63" s="676"/>
      <c r="N63" s="676"/>
      <c r="O63" s="676"/>
      <c r="P63" s="676"/>
      <c r="Q63" s="676"/>
      <c r="R63" s="677"/>
      <c r="S63" s="678"/>
      <c r="T63" s="579"/>
    </row>
    <row r="64" spans="1:21" x14ac:dyDescent="0.3">
      <c r="A64" s="581"/>
      <c r="B64" s="591"/>
      <c r="C64" s="583"/>
      <c r="D64" s="583"/>
      <c r="E64" s="583"/>
      <c r="F64" s="583"/>
      <c r="G64" s="583"/>
      <c r="H64" s="583"/>
      <c r="I64" s="583"/>
      <c r="J64" s="583"/>
      <c r="K64" s="583"/>
      <c r="L64" s="583"/>
      <c r="M64" s="583"/>
      <c r="N64" s="583"/>
      <c r="O64" s="583"/>
      <c r="P64" s="583"/>
      <c r="Q64" s="583"/>
      <c r="R64" s="679"/>
      <c r="S64" s="584"/>
      <c r="T64" s="579"/>
    </row>
    <row r="65" spans="1:20" ht="46.8" x14ac:dyDescent="0.3">
      <c r="A65" s="581"/>
      <c r="B65" s="680" t="s">
        <v>22</v>
      </c>
      <c r="C65" s="681"/>
      <c r="D65" s="681"/>
      <c r="E65" s="681"/>
      <c r="F65" s="681"/>
      <c r="G65" s="681"/>
      <c r="H65" s="682" t="s">
        <v>105</v>
      </c>
      <c r="I65" s="682"/>
      <c r="J65" s="682" t="s">
        <v>107</v>
      </c>
      <c r="K65" s="682"/>
      <c r="L65" s="682" t="s">
        <v>109</v>
      </c>
      <c r="M65" s="682"/>
      <c r="N65" s="682" t="s">
        <v>111</v>
      </c>
      <c r="O65" s="682"/>
      <c r="P65" s="682" t="s">
        <v>118</v>
      </c>
      <c r="Q65" s="682"/>
      <c r="R65" s="683" t="s">
        <v>127</v>
      </c>
      <c r="S65" s="684"/>
      <c r="T65" s="579"/>
    </row>
    <row r="66" spans="1:20" s="616" customFormat="1" x14ac:dyDescent="0.3">
      <c r="A66" s="685"/>
      <c r="B66" s="686" t="s">
        <v>23</v>
      </c>
      <c r="C66" s="687"/>
      <c r="D66" s="687"/>
      <c r="E66" s="687"/>
      <c r="F66" s="687"/>
      <c r="G66" s="687"/>
      <c r="H66" s="687">
        <v>729883</v>
      </c>
      <c r="I66" s="687"/>
      <c r="J66" s="688">
        <v>344196</v>
      </c>
      <c r="K66" s="687"/>
      <c r="L66" s="687">
        <v>344615</v>
      </c>
      <c r="M66" s="687"/>
      <c r="N66" s="687">
        <f>419</f>
        <v>419</v>
      </c>
      <c r="O66" s="687"/>
      <c r="P66" s="687">
        <v>0</v>
      </c>
      <c r="Q66" s="687"/>
      <c r="R66" s="688">
        <f>+J66-L66+N66-P66</f>
        <v>0</v>
      </c>
      <c r="S66" s="689"/>
      <c r="T66" s="615"/>
    </row>
    <row r="67" spans="1:20" s="616" customFormat="1" x14ac:dyDescent="0.3">
      <c r="A67" s="685"/>
      <c r="B67" s="686" t="s">
        <v>24</v>
      </c>
      <c r="C67" s="687"/>
      <c r="D67" s="687"/>
      <c r="E67" s="687"/>
      <c r="F67" s="687"/>
      <c r="G67" s="687"/>
      <c r="H67" s="687">
        <v>184</v>
      </c>
      <c r="I67" s="687"/>
      <c r="J67" s="688">
        <v>0</v>
      </c>
      <c r="K67" s="687"/>
      <c r="L67" s="687">
        <v>0</v>
      </c>
      <c r="M67" s="687"/>
      <c r="N67" s="687">
        <v>0</v>
      </c>
      <c r="O67" s="687"/>
      <c r="P67" s="687">
        <v>0</v>
      </c>
      <c r="Q67" s="687"/>
      <c r="R67" s="688">
        <f>+J67-L67</f>
        <v>0</v>
      </c>
      <c r="S67" s="689"/>
      <c r="T67" s="615"/>
    </row>
    <row r="68" spans="1:20" s="616" customFormat="1" x14ac:dyDescent="0.3">
      <c r="A68" s="685"/>
      <c r="B68" s="686"/>
      <c r="C68" s="687"/>
      <c r="D68" s="687"/>
      <c r="E68" s="687"/>
      <c r="F68" s="687"/>
      <c r="G68" s="687"/>
      <c r="H68" s="687"/>
      <c r="I68" s="687"/>
      <c r="J68" s="688"/>
      <c r="K68" s="687"/>
      <c r="L68" s="687"/>
      <c r="M68" s="687"/>
      <c r="N68" s="687"/>
      <c r="O68" s="687"/>
      <c r="P68" s="687"/>
      <c r="Q68" s="687"/>
      <c r="R68" s="688"/>
      <c r="S68" s="689"/>
      <c r="T68" s="615"/>
    </row>
    <row r="69" spans="1:20" s="616" customFormat="1" x14ac:dyDescent="0.3">
      <c r="A69" s="685"/>
      <c r="B69" s="686" t="s">
        <v>25</v>
      </c>
      <c r="C69" s="687"/>
      <c r="D69" s="687"/>
      <c r="E69" s="687"/>
      <c r="F69" s="687"/>
      <c r="G69" s="687"/>
      <c r="H69" s="687">
        <f>SUM(H66:H68)</f>
        <v>730067</v>
      </c>
      <c r="I69" s="687"/>
      <c r="J69" s="687">
        <f>J66+J67</f>
        <v>344196</v>
      </c>
      <c r="K69" s="687"/>
      <c r="L69" s="687">
        <f>SUM(L66:L68)</f>
        <v>344615</v>
      </c>
      <c r="M69" s="687"/>
      <c r="N69" s="687">
        <f>SUM(N66:N68)</f>
        <v>419</v>
      </c>
      <c r="O69" s="687"/>
      <c r="P69" s="687">
        <f>SUM(P66:P68)</f>
        <v>0</v>
      </c>
      <c r="Q69" s="687"/>
      <c r="R69" s="687">
        <f>SUM(R66:R68)</f>
        <v>0</v>
      </c>
      <c r="S69" s="689"/>
      <c r="T69" s="615"/>
    </row>
    <row r="70" spans="1:20" x14ac:dyDescent="0.3">
      <c r="A70" s="581"/>
      <c r="B70" s="690"/>
      <c r="C70" s="691"/>
      <c r="D70" s="691"/>
      <c r="E70" s="691"/>
      <c r="F70" s="691"/>
      <c r="G70" s="691"/>
      <c r="H70" s="691"/>
      <c r="I70" s="691"/>
      <c r="J70" s="691"/>
      <c r="K70" s="691"/>
      <c r="L70" s="691"/>
      <c r="M70" s="691"/>
      <c r="N70" s="691"/>
      <c r="O70" s="691"/>
      <c r="P70" s="691"/>
      <c r="Q70" s="691"/>
      <c r="R70" s="692"/>
      <c r="S70" s="693"/>
      <c r="T70" s="694"/>
    </row>
    <row r="71" spans="1:20" x14ac:dyDescent="0.3">
      <c r="A71" s="581"/>
      <c r="B71" s="586" t="s">
        <v>26</v>
      </c>
      <c r="C71" s="695"/>
      <c r="D71" s="695"/>
      <c r="E71" s="695"/>
      <c r="F71" s="695"/>
      <c r="G71" s="695"/>
      <c r="H71" s="695"/>
      <c r="I71" s="695"/>
      <c r="J71" s="695"/>
      <c r="K71" s="695"/>
      <c r="L71" s="695"/>
      <c r="M71" s="695"/>
      <c r="N71" s="695"/>
      <c r="O71" s="695"/>
      <c r="P71" s="695"/>
      <c r="Q71" s="695"/>
      <c r="R71" s="696"/>
      <c r="S71" s="697"/>
      <c r="T71" s="694"/>
    </row>
    <row r="72" spans="1:20" x14ac:dyDescent="0.3">
      <c r="A72" s="581"/>
      <c r="B72" s="583"/>
      <c r="C72" s="695"/>
      <c r="D72" s="695"/>
      <c r="E72" s="695"/>
      <c r="F72" s="695"/>
      <c r="G72" s="695"/>
      <c r="H72" s="695"/>
      <c r="I72" s="695"/>
      <c r="J72" s="695"/>
      <c r="K72" s="695"/>
      <c r="L72" s="695"/>
      <c r="M72" s="695"/>
      <c r="N72" s="695"/>
      <c r="O72" s="695"/>
      <c r="P72" s="695"/>
      <c r="Q72" s="695"/>
      <c r="R72" s="696"/>
      <c r="S72" s="698"/>
      <c r="T72" s="694"/>
    </row>
    <row r="73" spans="1:20" s="616" customFormat="1" x14ac:dyDescent="0.3">
      <c r="A73" s="685"/>
      <c r="B73" s="686" t="s">
        <v>23</v>
      </c>
      <c r="C73" s="699"/>
      <c r="D73" s="699"/>
      <c r="E73" s="699"/>
      <c r="F73" s="699"/>
      <c r="G73" s="699"/>
      <c r="H73" s="699"/>
      <c r="I73" s="699"/>
      <c r="J73" s="699"/>
      <c r="K73" s="699"/>
      <c r="L73" s="699"/>
      <c r="M73" s="699"/>
      <c r="N73" s="699"/>
      <c r="O73" s="699"/>
      <c r="P73" s="699"/>
      <c r="Q73" s="699"/>
      <c r="R73" s="699"/>
      <c r="S73" s="689"/>
      <c r="T73" s="615"/>
    </row>
    <row r="74" spans="1:20" s="616" customFormat="1" x14ac:dyDescent="0.3">
      <c r="A74" s="685"/>
      <c r="B74" s="686" t="s">
        <v>24</v>
      </c>
      <c r="C74" s="699"/>
      <c r="D74" s="699"/>
      <c r="E74" s="699"/>
      <c r="F74" s="699"/>
      <c r="G74" s="699"/>
      <c r="H74" s="699"/>
      <c r="I74" s="699"/>
      <c r="J74" s="699"/>
      <c r="K74" s="699"/>
      <c r="L74" s="699"/>
      <c r="M74" s="699"/>
      <c r="N74" s="699"/>
      <c r="O74" s="699"/>
      <c r="P74" s="699"/>
      <c r="Q74" s="699"/>
      <c r="R74" s="699"/>
      <c r="S74" s="689"/>
      <c r="T74" s="615"/>
    </row>
    <row r="75" spans="1:20" s="616" customFormat="1" x14ac:dyDescent="0.3">
      <c r="A75" s="685"/>
      <c r="B75" s="700"/>
      <c r="C75" s="699"/>
      <c r="D75" s="699"/>
      <c r="E75" s="699"/>
      <c r="F75" s="699"/>
      <c r="G75" s="699"/>
      <c r="H75" s="699"/>
      <c r="I75" s="699"/>
      <c r="J75" s="699"/>
      <c r="K75" s="699"/>
      <c r="L75" s="699"/>
      <c r="M75" s="699"/>
      <c r="N75" s="699"/>
      <c r="O75" s="699"/>
      <c r="P75" s="699"/>
      <c r="Q75" s="699"/>
      <c r="R75" s="699"/>
      <c r="S75" s="689"/>
      <c r="T75" s="615"/>
    </row>
    <row r="76" spans="1:20" s="616" customFormat="1" x14ac:dyDescent="0.3">
      <c r="A76" s="685"/>
      <c r="B76" s="686" t="s">
        <v>25</v>
      </c>
      <c r="C76" s="687"/>
      <c r="D76" s="687"/>
      <c r="E76" s="687"/>
      <c r="F76" s="687"/>
      <c r="G76" s="687"/>
      <c r="H76" s="687"/>
      <c r="I76" s="687"/>
      <c r="J76" s="687"/>
      <c r="K76" s="687"/>
      <c r="L76" s="687"/>
      <c r="M76" s="687"/>
      <c r="N76" s="687"/>
      <c r="O76" s="687"/>
      <c r="P76" s="687"/>
      <c r="Q76" s="687"/>
      <c r="R76" s="687"/>
      <c r="S76" s="689"/>
      <c r="T76" s="615"/>
    </row>
    <row r="77" spans="1:20" s="616" customFormat="1" x14ac:dyDescent="0.3">
      <c r="A77" s="685"/>
      <c r="B77" s="686"/>
      <c r="C77" s="687"/>
      <c r="D77" s="687"/>
      <c r="E77" s="687"/>
      <c r="F77" s="687"/>
      <c r="G77" s="687"/>
      <c r="H77" s="687"/>
      <c r="I77" s="687"/>
      <c r="J77" s="687"/>
      <c r="K77" s="687"/>
      <c r="L77" s="687"/>
      <c r="M77" s="687"/>
      <c r="N77" s="687"/>
      <c r="O77" s="687"/>
      <c r="P77" s="687"/>
      <c r="Q77" s="687"/>
      <c r="R77" s="687"/>
      <c r="S77" s="689"/>
      <c r="T77" s="615"/>
    </row>
    <row r="78" spans="1:20" s="616" customFormat="1" x14ac:dyDescent="0.3">
      <c r="A78" s="685"/>
      <c r="B78" s="686" t="s">
        <v>27</v>
      </c>
      <c r="C78" s="687"/>
      <c r="D78" s="687"/>
      <c r="E78" s="687"/>
      <c r="F78" s="687"/>
      <c r="G78" s="687"/>
      <c r="H78" s="687">
        <v>0</v>
      </c>
      <c r="I78" s="687"/>
      <c r="J78" s="687">
        <v>0</v>
      </c>
      <c r="K78" s="687"/>
      <c r="L78" s="687"/>
      <c r="M78" s="687"/>
      <c r="N78" s="687"/>
      <c r="O78" s="687"/>
      <c r="P78" s="687"/>
      <c r="Q78" s="687"/>
      <c r="R78" s="688">
        <v>0</v>
      </c>
      <c r="S78" s="689"/>
      <c r="T78" s="615"/>
    </row>
    <row r="79" spans="1:20" s="616" customFormat="1" x14ac:dyDescent="0.3">
      <c r="A79" s="685"/>
      <c r="B79" s="686" t="s">
        <v>132</v>
      </c>
      <c r="C79" s="687"/>
      <c r="D79" s="687"/>
      <c r="E79" s="687"/>
      <c r="F79" s="687"/>
      <c r="G79" s="687"/>
      <c r="H79" s="687">
        <v>269933</v>
      </c>
      <c r="I79" s="687"/>
      <c r="J79" s="687">
        <v>0</v>
      </c>
      <c r="K79" s="687"/>
      <c r="L79" s="687"/>
      <c r="M79" s="687"/>
      <c r="N79" s="687"/>
      <c r="O79" s="687"/>
      <c r="P79" s="687"/>
      <c r="Q79" s="687"/>
      <c r="R79" s="687">
        <f>SUM(J79:N79)</f>
        <v>0</v>
      </c>
      <c r="S79" s="689"/>
      <c r="T79" s="615"/>
    </row>
    <row r="80" spans="1:20" s="616" customFormat="1" x14ac:dyDescent="0.3">
      <c r="A80" s="685"/>
      <c r="B80" s="686" t="s">
        <v>170</v>
      </c>
      <c r="C80" s="687"/>
      <c r="D80" s="687"/>
      <c r="E80" s="687"/>
      <c r="F80" s="687"/>
      <c r="G80" s="687"/>
      <c r="H80" s="687">
        <v>0</v>
      </c>
      <c r="I80" s="687"/>
      <c r="J80" s="687">
        <v>0</v>
      </c>
      <c r="K80" s="687"/>
      <c r="L80" s="687"/>
      <c r="M80" s="687"/>
      <c r="N80" s="687"/>
      <c r="O80" s="687"/>
      <c r="P80" s="687"/>
      <c r="Q80" s="687"/>
      <c r="R80" s="687">
        <v>0</v>
      </c>
      <c r="S80" s="689"/>
      <c r="T80" s="615"/>
    </row>
    <row r="81" spans="1:20" s="616" customFormat="1" x14ac:dyDescent="0.3">
      <c r="A81" s="685"/>
      <c r="B81" s="686" t="s">
        <v>29</v>
      </c>
      <c r="C81" s="687"/>
      <c r="D81" s="687"/>
      <c r="E81" s="687"/>
      <c r="F81" s="687"/>
      <c r="G81" s="687"/>
      <c r="H81" s="687">
        <v>0</v>
      </c>
      <c r="I81" s="687"/>
      <c r="J81" s="687">
        <v>0</v>
      </c>
      <c r="K81" s="687"/>
      <c r="L81" s="687"/>
      <c r="M81" s="687"/>
      <c r="N81" s="687"/>
      <c r="O81" s="687"/>
      <c r="P81" s="687"/>
      <c r="Q81" s="687"/>
      <c r="R81" s="687">
        <v>0</v>
      </c>
      <c r="S81" s="689"/>
      <c r="T81" s="615"/>
    </row>
    <row r="82" spans="1:20" s="616" customFormat="1" x14ac:dyDescent="0.3">
      <c r="A82" s="685"/>
      <c r="B82" s="686" t="s">
        <v>30</v>
      </c>
      <c r="C82" s="687"/>
      <c r="D82" s="687"/>
      <c r="E82" s="687"/>
      <c r="F82" s="687"/>
      <c r="G82" s="687"/>
      <c r="H82" s="687">
        <f>SUM(H69:H81)</f>
        <v>1000000</v>
      </c>
      <c r="I82" s="687"/>
      <c r="J82" s="687">
        <f>SUM(J69:J81)</f>
        <v>344196</v>
      </c>
      <c r="K82" s="687"/>
      <c r="L82" s="687"/>
      <c r="M82" s="687"/>
      <c r="N82" s="687"/>
      <c r="O82" s="687"/>
      <c r="P82" s="687"/>
      <c r="Q82" s="687"/>
      <c r="R82" s="687">
        <f>SUM(R69:R81)</f>
        <v>0</v>
      </c>
      <c r="S82" s="689"/>
      <c r="T82" s="615"/>
    </row>
    <row r="83" spans="1:20" x14ac:dyDescent="0.3">
      <c r="A83" s="581"/>
      <c r="B83" s="690"/>
      <c r="C83" s="691"/>
      <c r="D83" s="691"/>
      <c r="E83" s="691"/>
      <c r="F83" s="691"/>
      <c r="G83" s="691"/>
      <c r="H83" s="691"/>
      <c r="I83" s="691"/>
      <c r="J83" s="691"/>
      <c r="K83" s="691"/>
      <c r="L83" s="691"/>
      <c r="M83" s="691"/>
      <c r="N83" s="691"/>
      <c r="O83" s="691"/>
      <c r="P83" s="691"/>
      <c r="Q83" s="691"/>
      <c r="R83" s="692"/>
      <c r="S83" s="693"/>
      <c r="T83" s="694"/>
    </row>
    <row r="84" spans="1:20" x14ac:dyDescent="0.3">
      <c r="A84" s="581"/>
      <c r="B84" s="583"/>
      <c r="C84" s="583"/>
      <c r="D84" s="583"/>
      <c r="E84" s="583"/>
      <c r="F84" s="583"/>
      <c r="G84" s="583"/>
      <c r="H84" s="583"/>
      <c r="I84" s="583"/>
      <c r="J84" s="583"/>
      <c r="K84" s="583"/>
      <c r="L84" s="583"/>
      <c r="M84" s="583"/>
      <c r="N84" s="583"/>
      <c r="O84" s="583"/>
      <c r="P84" s="583"/>
      <c r="Q84" s="583"/>
      <c r="R84" s="583"/>
      <c r="S84" s="697"/>
      <c r="T84" s="694"/>
    </row>
    <row r="85" spans="1:20" x14ac:dyDescent="0.3">
      <c r="A85" s="674"/>
      <c r="B85" s="701" t="s">
        <v>31</v>
      </c>
      <c r="C85" s="701"/>
      <c r="D85" s="701"/>
      <c r="E85" s="701"/>
      <c r="F85" s="701"/>
      <c r="G85" s="701"/>
      <c r="H85" s="702" t="s">
        <v>106</v>
      </c>
      <c r="I85" s="703"/>
      <c r="J85" s="704">
        <f>+P191</f>
        <v>43098</v>
      </c>
      <c r="K85" s="703"/>
      <c r="L85" s="703"/>
      <c r="M85" s="703"/>
      <c r="N85" s="703"/>
      <c r="O85" s="703"/>
      <c r="P85" s="703" t="s">
        <v>119</v>
      </c>
      <c r="Q85" s="703"/>
      <c r="R85" s="703" t="s">
        <v>128</v>
      </c>
      <c r="S85" s="705"/>
      <c r="T85" s="579"/>
    </row>
    <row r="86" spans="1:20" s="616" customFormat="1" x14ac:dyDescent="0.3">
      <c r="A86" s="611"/>
      <c r="B86" s="612" t="s">
        <v>32</v>
      </c>
      <c r="C86" s="612"/>
      <c r="D86" s="612"/>
      <c r="E86" s="612"/>
      <c r="F86" s="612"/>
      <c r="G86" s="612"/>
      <c r="H86" s="612"/>
      <c r="I86" s="612"/>
      <c r="J86" s="612"/>
      <c r="K86" s="612"/>
      <c r="L86" s="612"/>
      <c r="M86" s="612"/>
      <c r="N86" s="612"/>
      <c r="O86" s="612"/>
      <c r="P86" s="706">
        <v>0</v>
      </c>
      <c r="Q86" s="612"/>
      <c r="R86" s="707">
        <v>0</v>
      </c>
      <c r="S86" s="661"/>
      <c r="T86" s="615"/>
    </row>
    <row r="87" spans="1:20" s="616" customFormat="1" x14ac:dyDescent="0.3">
      <c r="A87" s="685"/>
      <c r="B87" s="686" t="s">
        <v>33</v>
      </c>
      <c r="C87" s="686"/>
      <c r="D87" s="686"/>
      <c r="E87" s="686"/>
      <c r="F87" s="686"/>
      <c r="G87" s="686"/>
      <c r="H87" s="708" t="s">
        <v>255</v>
      </c>
      <c r="I87" s="709"/>
      <c r="J87" s="710" t="s">
        <v>255</v>
      </c>
      <c r="K87" s="686"/>
      <c r="L87" s="686"/>
      <c r="M87" s="686"/>
      <c r="N87" s="686"/>
      <c r="O87" s="686"/>
      <c r="P87" s="687">
        <f>L66-166</f>
        <v>344449</v>
      </c>
      <c r="Q87" s="686"/>
      <c r="R87" s="688"/>
      <c r="S87" s="689"/>
      <c r="T87" s="615"/>
    </row>
    <row r="88" spans="1:20" s="616" customFormat="1" x14ac:dyDescent="0.3">
      <c r="A88" s="685"/>
      <c r="B88" s="686" t="s">
        <v>254</v>
      </c>
      <c r="C88" s="686"/>
      <c r="D88" s="686"/>
      <c r="E88" s="686"/>
      <c r="F88" s="686"/>
      <c r="G88" s="686"/>
      <c r="H88" s="708"/>
      <c r="I88" s="709"/>
      <c r="J88" s="710"/>
      <c r="K88" s="686"/>
      <c r="L88" s="686"/>
      <c r="M88" s="686"/>
      <c r="N88" s="686"/>
      <c r="O88" s="686"/>
      <c r="P88" s="687"/>
      <c r="Q88" s="686"/>
      <c r="R88" s="688">
        <f>2675+373-1010-143</f>
        <v>1895</v>
      </c>
      <c r="S88" s="689"/>
      <c r="T88" s="615"/>
    </row>
    <row r="89" spans="1:20" s="616" customFormat="1" x14ac:dyDescent="0.3">
      <c r="A89" s="685"/>
      <c r="B89" s="686" t="s">
        <v>252</v>
      </c>
      <c r="C89" s="686"/>
      <c r="D89" s="686"/>
      <c r="E89" s="686"/>
      <c r="F89" s="686"/>
      <c r="G89" s="686"/>
      <c r="H89" s="708"/>
      <c r="I89" s="709"/>
      <c r="J89" s="710"/>
      <c r="K89" s="686"/>
      <c r="L89" s="686"/>
      <c r="M89" s="686"/>
      <c r="N89" s="686"/>
      <c r="O89" s="686"/>
      <c r="P89" s="687"/>
      <c r="Q89" s="686"/>
      <c r="R89" s="688">
        <f>57+44</f>
        <v>101</v>
      </c>
      <c r="S89" s="689"/>
      <c r="T89" s="615"/>
    </row>
    <row r="90" spans="1:20" s="616" customFormat="1" x14ac:dyDescent="0.3">
      <c r="A90" s="685"/>
      <c r="B90" s="686" t="s">
        <v>253</v>
      </c>
      <c r="C90" s="686"/>
      <c r="D90" s="686"/>
      <c r="E90" s="686"/>
      <c r="F90" s="686"/>
      <c r="G90" s="686"/>
      <c r="H90" s="708"/>
      <c r="I90" s="709"/>
      <c r="J90" s="710"/>
      <c r="K90" s="686"/>
      <c r="L90" s="686"/>
      <c r="M90" s="686"/>
      <c r="N90" s="686"/>
      <c r="O90" s="686"/>
      <c r="P90" s="687"/>
      <c r="Q90" s="686"/>
      <c r="R90" s="688">
        <v>18</v>
      </c>
      <c r="S90" s="689"/>
      <c r="T90" s="615"/>
    </row>
    <row r="91" spans="1:20" s="616" customFormat="1" x14ac:dyDescent="0.3">
      <c r="A91" s="685"/>
      <c r="B91" s="686" t="s">
        <v>269</v>
      </c>
      <c r="C91" s="686"/>
      <c r="D91" s="686"/>
      <c r="E91" s="686"/>
      <c r="F91" s="686"/>
      <c r="G91" s="686"/>
      <c r="H91" s="708"/>
      <c r="I91" s="709"/>
      <c r="J91" s="710"/>
      <c r="K91" s="686"/>
      <c r="L91" s="686"/>
      <c r="M91" s="686"/>
      <c r="N91" s="686"/>
      <c r="O91" s="686"/>
      <c r="P91" s="687"/>
      <c r="Q91" s="686"/>
      <c r="R91" s="688">
        <v>0</v>
      </c>
      <c r="S91" s="689"/>
      <c r="T91" s="615"/>
    </row>
    <row r="92" spans="1:20" s="616" customFormat="1" x14ac:dyDescent="0.3">
      <c r="A92" s="685"/>
      <c r="B92" s="686" t="s">
        <v>154</v>
      </c>
      <c r="C92" s="686"/>
      <c r="D92" s="686"/>
      <c r="E92" s="686"/>
      <c r="F92" s="686"/>
      <c r="G92" s="686"/>
      <c r="H92" s="686"/>
      <c r="I92" s="686"/>
      <c r="J92" s="686"/>
      <c r="K92" s="686"/>
      <c r="L92" s="686"/>
      <c r="M92" s="686"/>
      <c r="N92" s="686"/>
      <c r="O92" s="686"/>
      <c r="P92" s="687"/>
      <c r="Q92" s="686"/>
      <c r="R92" s="688">
        <v>0</v>
      </c>
      <c r="S92" s="689"/>
      <c r="T92" s="615"/>
    </row>
    <row r="93" spans="1:20" s="616" customFormat="1" x14ac:dyDescent="0.3">
      <c r="A93" s="685"/>
      <c r="B93" s="686" t="s">
        <v>199</v>
      </c>
      <c r="C93" s="686"/>
      <c r="D93" s="686"/>
      <c r="E93" s="686"/>
      <c r="F93" s="686"/>
      <c r="G93" s="686"/>
      <c r="H93" s="686"/>
      <c r="I93" s="686"/>
      <c r="J93" s="686"/>
      <c r="K93" s="686"/>
      <c r="L93" s="686"/>
      <c r="M93" s="686"/>
      <c r="N93" s="686"/>
      <c r="O93" s="686"/>
      <c r="P93" s="687"/>
      <c r="Q93" s="686"/>
      <c r="R93" s="688">
        <v>167</v>
      </c>
      <c r="S93" s="689"/>
      <c r="T93" s="615"/>
    </row>
    <row r="94" spans="1:20" s="616" customFormat="1" x14ac:dyDescent="0.3">
      <c r="A94" s="685"/>
      <c r="B94" s="686" t="s">
        <v>346</v>
      </c>
      <c r="C94" s="686"/>
      <c r="D94" s="686"/>
      <c r="E94" s="686"/>
      <c r="F94" s="686"/>
      <c r="G94" s="686"/>
      <c r="H94" s="686"/>
      <c r="I94" s="686"/>
      <c r="J94" s="686"/>
      <c r="K94" s="686"/>
      <c r="L94" s="686"/>
      <c r="M94" s="686"/>
      <c r="N94" s="686"/>
      <c r="O94" s="686"/>
      <c r="P94" s="687"/>
      <c r="Q94" s="686"/>
      <c r="R94" s="688">
        <f>-R139</f>
        <v>19000</v>
      </c>
      <c r="S94" s="689"/>
      <c r="T94" s="615"/>
    </row>
    <row r="95" spans="1:20" s="616" customFormat="1" x14ac:dyDescent="0.3">
      <c r="A95" s="685"/>
      <c r="B95" s="686" t="s">
        <v>35</v>
      </c>
      <c r="C95" s="686"/>
      <c r="D95" s="686"/>
      <c r="E95" s="686"/>
      <c r="F95" s="686"/>
      <c r="G95" s="686"/>
      <c r="H95" s="686"/>
      <c r="I95" s="686"/>
      <c r="J95" s="686"/>
      <c r="K95" s="686"/>
      <c r="L95" s="686"/>
      <c r="M95" s="686"/>
      <c r="N95" s="686"/>
      <c r="O95" s="686"/>
      <c r="P95" s="687">
        <f>SUM(P86:P93)</f>
        <v>344449</v>
      </c>
      <c r="Q95" s="686"/>
      <c r="R95" s="687">
        <f>SUM(R86:R94)</f>
        <v>21181</v>
      </c>
      <c r="S95" s="689"/>
      <c r="T95" s="615"/>
    </row>
    <row r="96" spans="1:20" s="616" customFormat="1" x14ac:dyDescent="0.3">
      <c r="A96" s="685"/>
      <c r="B96" s="686" t="s">
        <v>235</v>
      </c>
      <c r="C96" s="686"/>
      <c r="D96" s="686"/>
      <c r="E96" s="686"/>
      <c r="F96" s="686"/>
      <c r="G96" s="686"/>
      <c r="H96" s="686"/>
      <c r="I96" s="686"/>
      <c r="J96" s="686"/>
      <c r="K96" s="686"/>
      <c r="L96" s="686"/>
      <c r="M96" s="686"/>
      <c r="N96" s="686"/>
      <c r="O96" s="686"/>
      <c r="P96" s="687">
        <v>0</v>
      </c>
      <c r="Q96" s="686"/>
      <c r="R96" s="687">
        <f>-P96</f>
        <v>0</v>
      </c>
      <c r="S96" s="689"/>
      <c r="T96" s="615"/>
    </row>
    <row r="97" spans="1:21" s="616" customFormat="1" x14ac:dyDescent="0.3">
      <c r="A97" s="685"/>
      <c r="B97" s="686" t="s">
        <v>36</v>
      </c>
      <c r="C97" s="686"/>
      <c r="D97" s="686"/>
      <c r="E97" s="686"/>
      <c r="F97" s="686"/>
      <c r="G97" s="686"/>
      <c r="H97" s="686"/>
      <c r="I97" s="686"/>
      <c r="J97" s="686"/>
      <c r="K97" s="686"/>
      <c r="L97" s="686"/>
      <c r="M97" s="686"/>
      <c r="N97" s="686"/>
      <c r="O97" s="686"/>
      <c r="P97" s="687">
        <f>-R97</f>
        <v>0</v>
      </c>
      <c r="Q97" s="686"/>
      <c r="R97" s="688">
        <v>0</v>
      </c>
      <c r="S97" s="689"/>
      <c r="T97" s="615"/>
    </row>
    <row r="98" spans="1:21" s="616" customFormat="1" x14ac:dyDescent="0.3">
      <c r="A98" s="685"/>
      <c r="B98" s="686" t="s">
        <v>276</v>
      </c>
      <c r="C98" s="686"/>
      <c r="D98" s="686"/>
      <c r="E98" s="686"/>
      <c r="F98" s="686"/>
      <c r="G98" s="686"/>
      <c r="H98" s="686"/>
      <c r="I98" s="686"/>
      <c r="J98" s="686"/>
      <c r="K98" s="686"/>
      <c r="L98" s="686"/>
      <c r="M98" s="686"/>
      <c r="N98" s="686"/>
      <c r="O98" s="686"/>
      <c r="P98" s="687"/>
      <c r="Q98" s="686"/>
      <c r="R98" s="688">
        <v>107</v>
      </c>
      <c r="S98" s="689"/>
      <c r="T98" s="615"/>
    </row>
    <row r="99" spans="1:21" s="616" customFormat="1" x14ac:dyDescent="0.3">
      <c r="A99" s="685"/>
      <c r="B99" s="686" t="s">
        <v>37</v>
      </c>
      <c r="C99" s="686"/>
      <c r="D99" s="686"/>
      <c r="E99" s="686"/>
      <c r="F99" s="686"/>
      <c r="G99" s="686"/>
      <c r="H99" s="686"/>
      <c r="I99" s="686"/>
      <c r="J99" s="686"/>
      <c r="K99" s="686"/>
      <c r="L99" s="686"/>
      <c r="M99" s="686"/>
      <c r="N99" s="686"/>
      <c r="O99" s="686"/>
      <c r="P99" s="687">
        <f>P95+P97+P96</f>
        <v>344449</v>
      </c>
      <c r="Q99" s="686"/>
      <c r="R99" s="687">
        <f>R95+R97+R96+R98</f>
        <v>21288</v>
      </c>
      <c r="S99" s="689"/>
      <c r="T99" s="615"/>
    </row>
    <row r="100" spans="1:21" x14ac:dyDescent="0.3">
      <c r="A100" s="711"/>
      <c r="B100" s="712" t="s">
        <v>38</v>
      </c>
      <c r="C100" s="713"/>
      <c r="D100" s="713"/>
      <c r="E100" s="713"/>
      <c r="F100" s="713"/>
      <c r="G100" s="713"/>
      <c r="H100" s="713"/>
      <c r="I100" s="713"/>
      <c r="J100" s="713"/>
      <c r="K100" s="713"/>
      <c r="L100" s="713"/>
      <c r="M100" s="713"/>
      <c r="N100" s="713"/>
      <c r="O100" s="713"/>
      <c r="P100" s="714"/>
      <c r="Q100" s="713"/>
      <c r="R100" s="715"/>
      <c r="S100" s="716"/>
      <c r="T100" s="579"/>
    </row>
    <row r="101" spans="1:21" s="616" customFormat="1" x14ac:dyDescent="0.3">
      <c r="A101" s="717">
        <v>1</v>
      </c>
      <c r="B101" s="686" t="s">
        <v>39</v>
      </c>
      <c r="C101" s="686"/>
      <c r="D101" s="686"/>
      <c r="E101" s="686"/>
      <c r="F101" s="686"/>
      <c r="G101" s="686"/>
      <c r="H101" s="686"/>
      <c r="I101" s="686"/>
      <c r="J101" s="686"/>
      <c r="K101" s="686"/>
      <c r="L101" s="686"/>
      <c r="M101" s="686"/>
      <c r="N101" s="686"/>
      <c r="O101" s="686"/>
      <c r="P101" s="686"/>
      <c r="Q101" s="686"/>
      <c r="R101" s="688">
        <v>0</v>
      </c>
      <c r="S101" s="689"/>
      <c r="T101" s="615"/>
    </row>
    <row r="102" spans="1:21" s="616" customFormat="1" x14ac:dyDescent="0.3">
      <c r="A102" s="717">
        <f>+A101+1</f>
        <v>2</v>
      </c>
      <c r="B102" s="618" t="s">
        <v>316</v>
      </c>
      <c r="C102" s="686"/>
      <c r="D102" s="686"/>
      <c r="E102" s="686"/>
      <c r="F102" s="686"/>
      <c r="G102" s="686"/>
      <c r="H102" s="686"/>
      <c r="I102" s="686"/>
      <c r="J102" s="686"/>
      <c r="K102" s="686"/>
      <c r="L102" s="686"/>
      <c r="M102" s="686"/>
      <c r="N102" s="686"/>
      <c r="O102" s="686"/>
      <c r="P102" s="686"/>
      <c r="Q102" s="686"/>
      <c r="R102" s="688">
        <v>-2</v>
      </c>
      <c r="S102" s="689"/>
      <c r="T102" s="615"/>
    </row>
    <row r="103" spans="1:21" s="616" customFormat="1" x14ac:dyDescent="0.3">
      <c r="A103" s="717">
        <f>+A102+1</f>
        <v>3</v>
      </c>
      <c r="B103" s="618" t="s">
        <v>318</v>
      </c>
      <c r="C103" s="686"/>
      <c r="D103" s="686"/>
      <c r="E103" s="686"/>
      <c r="F103" s="686"/>
      <c r="G103" s="686"/>
      <c r="H103" s="686"/>
      <c r="I103" s="686"/>
      <c r="J103" s="686"/>
      <c r="K103" s="686"/>
      <c r="L103" s="686"/>
      <c r="M103" s="686"/>
      <c r="N103" s="686"/>
      <c r="O103" s="686"/>
      <c r="P103" s="686"/>
      <c r="Q103" s="686"/>
      <c r="R103" s="688">
        <f>-88-86-4</f>
        <v>-178</v>
      </c>
      <c r="S103" s="689"/>
      <c r="T103" s="615"/>
    </row>
    <row r="104" spans="1:21" s="616" customFormat="1" x14ac:dyDescent="0.3">
      <c r="A104" s="717" t="s">
        <v>146</v>
      </c>
      <c r="B104" s="686" t="s">
        <v>131</v>
      </c>
      <c r="C104" s="686"/>
      <c r="D104" s="686"/>
      <c r="E104" s="686"/>
      <c r="F104" s="686"/>
      <c r="G104" s="686"/>
      <c r="H104" s="686"/>
      <c r="I104" s="686"/>
      <c r="J104" s="686"/>
      <c r="K104" s="686"/>
      <c r="L104" s="686"/>
      <c r="M104" s="686"/>
      <c r="N104" s="686"/>
      <c r="O104" s="686"/>
      <c r="P104" s="686"/>
      <c r="Q104" s="686"/>
      <c r="R104" s="688">
        <v>0</v>
      </c>
      <c r="S104" s="689"/>
      <c r="T104" s="615"/>
    </row>
    <row r="105" spans="1:21" s="616" customFormat="1" x14ac:dyDescent="0.3">
      <c r="A105" s="717" t="s">
        <v>147</v>
      </c>
      <c r="B105" s="686" t="s">
        <v>218</v>
      </c>
      <c r="C105" s="686"/>
      <c r="D105" s="686"/>
      <c r="E105" s="686"/>
      <c r="F105" s="686"/>
      <c r="G105" s="686"/>
      <c r="H105" s="686"/>
      <c r="I105" s="686"/>
      <c r="J105" s="686"/>
      <c r="K105" s="686"/>
      <c r="L105" s="686"/>
      <c r="M105" s="686"/>
      <c r="N105" s="686"/>
      <c r="O105" s="686"/>
      <c r="P105" s="686"/>
      <c r="Q105" s="686"/>
      <c r="R105" s="688">
        <v>0</v>
      </c>
      <c r="S105" s="689"/>
      <c r="T105" s="615"/>
    </row>
    <row r="106" spans="1:21" s="616" customFormat="1" x14ac:dyDescent="0.3">
      <c r="A106" s="717" t="s">
        <v>176</v>
      </c>
      <c r="B106" s="686" t="s">
        <v>230</v>
      </c>
      <c r="C106" s="686"/>
      <c r="D106" s="686"/>
      <c r="E106" s="686"/>
      <c r="F106" s="686"/>
      <c r="G106" s="686"/>
      <c r="H106" s="686"/>
      <c r="I106" s="686"/>
      <c r="J106" s="686"/>
      <c r="K106" s="686"/>
      <c r="L106" s="686"/>
      <c r="M106" s="686"/>
      <c r="N106" s="686"/>
      <c r="O106" s="686"/>
      <c r="P106" s="686"/>
      <c r="Q106" s="686"/>
      <c r="R106" s="688">
        <v>0</v>
      </c>
      <c r="S106" s="689"/>
      <c r="T106" s="615"/>
      <c r="U106" s="718"/>
    </row>
    <row r="107" spans="1:21" s="616" customFormat="1" x14ac:dyDescent="0.3">
      <c r="A107" s="717" t="s">
        <v>177</v>
      </c>
      <c r="B107" s="686" t="s">
        <v>231</v>
      </c>
      <c r="C107" s="686"/>
      <c r="D107" s="686"/>
      <c r="E107" s="686"/>
      <c r="F107" s="686"/>
      <c r="G107" s="686"/>
      <c r="H107" s="686"/>
      <c r="I107" s="686"/>
      <c r="J107" s="686"/>
      <c r="K107" s="686"/>
      <c r="L107" s="686"/>
      <c r="M107" s="686"/>
      <c r="N107" s="686"/>
      <c r="O107" s="686"/>
      <c r="P107" s="686"/>
      <c r="Q107" s="686"/>
      <c r="R107" s="688">
        <v>0</v>
      </c>
      <c r="S107" s="689"/>
      <c r="T107" s="615"/>
      <c r="U107" s="718"/>
    </row>
    <row r="108" spans="1:21" s="616" customFormat="1" x14ac:dyDescent="0.3">
      <c r="A108" s="717" t="s">
        <v>248</v>
      </c>
      <c r="B108" s="686" t="s">
        <v>232</v>
      </c>
      <c r="C108" s="686"/>
      <c r="D108" s="686"/>
      <c r="E108" s="686"/>
      <c r="F108" s="686"/>
      <c r="G108" s="686"/>
      <c r="H108" s="686"/>
      <c r="I108" s="686"/>
      <c r="J108" s="686"/>
      <c r="K108" s="686"/>
      <c r="L108" s="686"/>
      <c r="M108" s="686"/>
      <c r="N108" s="686"/>
      <c r="O108" s="686"/>
      <c r="P108" s="686"/>
      <c r="Q108" s="686"/>
      <c r="R108" s="688">
        <v>-256</v>
      </c>
      <c r="S108" s="689"/>
      <c r="T108" s="615"/>
    </row>
    <row r="109" spans="1:21" s="616" customFormat="1" x14ac:dyDescent="0.3">
      <c r="A109" s="717" t="s">
        <v>205</v>
      </c>
      <c r="B109" s="686" t="s">
        <v>233</v>
      </c>
      <c r="C109" s="686"/>
      <c r="D109" s="686"/>
      <c r="E109" s="686"/>
      <c r="F109" s="686"/>
      <c r="G109" s="686"/>
      <c r="H109" s="686"/>
      <c r="I109" s="686"/>
      <c r="J109" s="686"/>
      <c r="K109" s="686"/>
      <c r="L109" s="686"/>
      <c r="M109" s="686"/>
      <c r="N109" s="686"/>
      <c r="O109" s="686"/>
      <c r="P109" s="686"/>
      <c r="Q109" s="686"/>
      <c r="R109" s="688">
        <v>-292</v>
      </c>
      <c r="S109" s="689"/>
      <c r="T109" s="615"/>
      <c r="U109" s="718"/>
    </row>
    <row r="110" spans="1:21" s="616" customFormat="1" x14ac:dyDescent="0.3">
      <c r="A110" s="717" t="s">
        <v>249</v>
      </c>
      <c r="B110" s="686" t="s">
        <v>234</v>
      </c>
      <c r="C110" s="686"/>
      <c r="D110" s="686"/>
      <c r="E110" s="686"/>
      <c r="F110" s="686"/>
      <c r="G110" s="686"/>
      <c r="H110" s="686"/>
      <c r="I110" s="686"/>
      <c r="J110" s="686"/>
      <c r="K110" s="686"/>
      <c r="L110" s="686"/>
      <c r="M110" s="686"/>
      <c r="N110" s="686"/>
      <c r="O110" s="686"/>
      <c r="P110" s="686"/>
      <c r="Q110" s="686"/>
      <c r="R110" s="688">
        <v>-188</v>
      </c>
      <c r="S110" s="689"/>
      <c r="T110" s="615"/>
      <c r="U110" s="718"/>
    </row>
    <row r="111" spans="1:21" s="616" customFormat="1" x14ac:dyDescent="0.3">
      <c r="A111" s="717" t="s">
        <v>250</v>
      </c>
      <c r="B111" s="686" t="s">
        <v>168</v>
      </c>
      <c r="C111" s="686"/>
      <c r="D111" s="686"/>
      <c r="E111" s="686"/>
      <c r="F111" s="686"/>
      <c r="G111" s="686"/>
      <c r="H111" s="686"/>
      <c r="I111" s="686"/>
      <c r="J111" s="686"/>
      <c r="K111" s="686"/>
      <c r="L111" s="686"/>
      <c r="M111" s="686"/>
      <c r="N111" s="686"/>
      <c r="O111" s="686"/>
      <c r="P111" s="686"/>
      <c r="Q111" s="686"/>
      <c r="R111" s="688">
        <v>-105</v>
      </c>
      <c r="S111" s="689"/>
      <c r="T111" s="615"/>
      <c r="U111" s="718"/>
    </row>
    <row r="112" spans="1:21" s="616" customFormat="1" x14ac:dyDescent="0.3">
      <c r="A112" s="719">
        <v>6</v>
      </c>
      <c r="B112" s="618" t="s">
        <v>317</v>
      </c>
      <c r="C112" s="618"/>
      <c r="D112" s="618"/>
      <c r="E112" s="618"/>
      <c r="F112" s="618"/>
      <c r="G112" s="686"/>
      <c r="H112" s="686"/>
      <c r="I112" s="686"/>
      <c r="J112" s="686"/>
      <c r="K112" s="686"/>
      <c r="L112" s="686"/>
      <c r="M112" s="686"/>
      <c r="N112" s="686"/>
      <c r="O112" s="686"/>
      <c r="P112" s="686"/>
      <c r="Q112" s="686"/>
      <c r="R112" s="688">
        <v>0</v>
      </c>
      <c r="S112" s="689"/>
      <c r="T112" s="615"/>
      <c r="U112" s="718"/>
    </row>
    <row r="113" spans="1:20" s="616" customFormat="1" x14ac:dyDescent="0.3">
      <c r="A113" s="717">
        <f t="shared" ref="A113:A119" si="0">+A112+1</f>
        <v>7</v>
      </c>
      <c r="B113" s="686" t="s">
        <v>41</v>
      </c>
      <c r="C113" s="686"/>
      <c r="D113" s="686"/>
      <c r="E113" s="686"/>
      <c r="F113" s="686"/>
      <c r="G113" s="686"/>
      <c r="H113" s="686"/>
      <c r="I113" s="686"/>
      <c r="J113" s="686"/>
      <c r="K113" s="686"/>
      <c r="L113" s="686"/>
      <c r="M113" s="686"/>
      <c r="N113" s="686"/>
      <c r="O113" s="686"/>
      <c r="P113" s="686"/>
      <c r="Q113" s="686"/>
      <c r="R113" s="688">
        <v>-8</v>
      </c>
      <c r="S113" s="689"/>
      <c r="T113" s="615"/>
    </row>
    <row r="114" spans="1:20" s="616" customFormat="1" x14ac:dyDescent="0.3">
      <c r="A114" s="717">
        <f t="shared" si="0"/>
        <v>8</v>
      </c>
      <c r="B114" s="686" t="s">
        <v>53</v>
      </c>
      <c r="C114" s="686"/>
      <c r="D114" s="686"/>
      <c r="E114" s="686"/>
      <c r="F114" s="686"/>
      <c r="G114" s="686"/>
      <c r="H114" s="686"/>
      <c r="I114" s="686"/>
      <c r="J114" s="686"/>
      <c r="K114" s="686"/>
      <c r="L114" s="686"/>
      <c r="M114" s="686"/>
      <c r="N114" s="686"/>
      <c r="O114" s="686"/>
      <c r="P114" s="687">
        <f>-R114</f>
        <v>166</v>
      </c>
      <c r="Q114" s="686"/>
      <c r="R114" s="688">
        <v>-166</v>
      </c>
      <c r="S114" s="689"/>
      <c r="T114" s="615"/>
    </row>
    <row r="115" spans="1:20" s="616" customFormat="1" x14ac:dyDescent="0.3">
      <c r="A115" s="717">
        <f t="shared" si="0"/>
        <v>9</v>
      </c>
      <c r="B115" s="686" t="s">
        <v>144</v>
      </c>
      <c r="C115" s="686"/>
      <c r="D115" s="686"/>
      <c r="E115" s="686"/>
      <c r="F115" s="686"/>
      <c r="G115" s="686"/>
      <c r="H115" s="686"/>
      <c r="I115" s="686"/>
      <c r="J115" s="686"/>
      <c r="K115" s="686"/>
      <c r="L115" s="686"/>
      <c r="M115" s="686"/>
      <c r="N115" s="686"/>
      <c r="O115" s="686"/>
      <c r="P115" s="687"/>
      <c r="Q115" s="686"/>
      <c r="R115" s="688">
        <v>0</v>
      </c>
      <c r="S115" s="689"/>
      <c r="T115" s="615"/>
    </row>
    <row r="116" spans="1:20" s="616" customFormat="1" x14ac:dyDescent="0.3">
      <c r="A116" s="717">
        <f t="shared" si="0"/>
        <v>10</v>
      </c>
      <c r="B116" s="686" t="s">
        <v>42</v>
      </c>
      <c r="C116" s="686"/>
      <c r="D116" s="686"/>
      <c r="E116" s="686"/>
      <c r="F116" s="686"/>
      <c r="G116" s="686"/>
      <c r="H116" s="686"/>
      <c r="I116" s="686"/>
      <c r="J116" s="686"/>
      <c r="K116" s="686"/>
      <c r="L116" s="686"/>
      <c r="M116" s="686"/>
      <c r="N116" s="686"/>
      <c r="O116" s="686"/>
      <c r="P116" s="686"/>
      <c r="Q116" s="686"/>
      <c r="R116" s="688">
        <v>0</v>
      </c>
      <c r="S116" s="689"/>
      <c r="T116" s="615"/>
    </row>
    <row r="117" spans="1:20" s="616" customFormat="1" x14ac:dyDescent="0.3">
      <c r="A117" s="717">
        <f t="shared" si="0"/>
        <v>11</v>
      </c>
      <c r="B117" s="686" t="s">
        <v>43</v>
      </c>
      <c r="C117" s="686"/>
      <c r="D117" s="686"/>
      <c r="E117" s="686"/>
      <c r="F117" s="686"/>
      <c r="G117" s="686"/>
      <c r="H117" s="686"/>
      <c r="I117" s="686"/>
      <c r="J117" s="686"/>
      <c r="K117" s="686"/>
      <c r="L117" s="686"/>
      <c r="M117" s="686"/>
      <c r="N117" s="686"/>
      <c r="O117" s="686"/>
      <c r="P117" s="686"/>
      <c r="Q117" s="686"/>
      <c r="R117" s="688">
        <v>0</v>
      </c>
      <c r="S117" s="689"/>
      <c r="T117" s="615"/>
    </row>
    <row r="118" spans="1:20" s="616" customFormat="1" x14ac:dyDescent="0.3">
      <c r="A118" s="717">
        <f t="shared" si="0"/>
        <v>12</v>
      </c>
      <c r="B118" s="686" t="s">
        <v>175</v>
      </c>
      <c r="C118" s="686"/>
      <c r="D118" s="686"/>
      <c r="E118" s="686"/>
      <c r="F118" s="686"/>
      <c r="G118" s="686"/>
      <c r="H118" s="686"/>
      <c r="I118" s="686"/>
      <c r="J118" s="686"/>
      <c r="K118" s="686"/>
      <c r="L118" s="686"/>
      <c r="M118" s="686"/>
      <c r="N118" s="686"/>
      <c r="O118" s="686"/>
      <c r="P118" s="686"/>
      <c r="Q118" s="686"/>
      <c r="R118" s="688">
        <v>-178</v>
      </c>
      <c r="S118" s="689"/>
      <c r="T118" s="615"/>
    </row>
    <row r="119" spans="1:20" s="616" customFormat="1" x14ac:dyDescent="0.3">
      <c r="A119" s="717">
        <f t="shared" si="0"/>
        <v>13</v>
      </c>
      <c r="B119" s="686" t="s">
        <v>145</v>
      </c>
      <c r="C119" s="686"/>
      <c r="D119" s="686"/>
      <c r="E119" s="686"/>
      <c r="F119" s="686"/>
      <c r="G119" s="686"/>
      <c r="H119" s="686"/>
      <c r="I119" s="686"/>
      <c r="J119" s="686"/>
      <c r="K119" s="686"/>
      <c r="L119" s="686"/>
      <c r="M119" s="686"/>
      <c r="N119" s="686"/>
      <c r="O119" s="686"/>
      <c r="P119" s="686"/>
      <c r="Q119" s="686"/>
      <c r="R119" s="688">
        <f>-R99-SUM(R101:R118)</f>
        <v>-19915</v>
      </c>
      <c r="S119" s="689"/>
      <c r="T119" s="615"/>
    </row>
    <row r="120" spans="1:20" x14ac:dyDescent="0.3">
      <c r="A120" s="711"/>
      <c r="B120" s="712" t="s">
        <v>44</v>
      </c>
      <c r="C120" s="713"/>
      <c r="D120" s="713"/>
      <c r="E120" s="713"/>
      <c r="F120" s="713"/>
      <c r="G120" s="713"/>
      <c r="H120" s="713"/>
      <c r="I120" s="713"/>
      <c r="J120" s="713"/>
      <c r="K120" s="713"/>
      <c r="L120" s="713"/>
      <c r="M120" s="713"/>
      <c r="N120" s="713"/>
      <c r="O120" s="713"/>
      <c r="P120" s="713"/>
      <c r="Q120" s="713"/>
      <c r="R120" s="720"/>
      <c r="S120" s="716"/>
      <c r="T120" s="579"/>
    </row>
    <row r="121" spans="1:20" s="616" customFormat="1" x14ac:dyDescent="0.3">
      <c r="A121" s="685"/>
      <c r="B121" s="686" t="s">
        <v>45</v>
      </c>
      <c r="C121" s="686"/>
      <c r="D121" s="686"/>
      <c r="E121" s="686"/>
      <c r="F121" s="686"/>
      <c r="G121" s="686"/>
      <c r="H121" s="686"/>
      <c r="I121" s="686"/>
      <c r="J121" s="686"/>
      <c r="K121" s="686"/>
      <c r="L121" s="686"/>
      <c r="M121" s="686"/>
      <c r="N121" s="686"/>
      <c r="O121" s="686"/>
      <c r="P121" s="687">
        <v>0</v>
      </c>
      <c r="Q121" s="687"/>
      <c r="R121" s="688"/>
      <c r="S121" s="689"/>
      <c r="T121" s="615"/>
    </row>
    <row r="122" spans="1:20" s="616" customFormat="1" x14ac:dyDescent="0.3">
      <c r="A122" s="685"/>
      <c r="B122" s="686" t="s">
        <v>46</v>
      </c>
      <c r="C122" s="686"/>
      <c r="D122" s="686"/>
      <c r="E122" s="686"/>
      <c r="F122" s="686"/>
      <c r="G122" s="686"/>
      <c r="H122" s="686"/>
      <c r="I122" s="686"/>
      <c r="J122" s="686"/>
      <c r="K122" s="686"/>
      <c r="L122" s="686"/>
      <c r="M122" s="686"/>
      <c r="N122" s="686"/>
      <c r="O122" s="686"/>
      <c r="P122" s="687">
        <f>-O177</f>
        <v>-419</v>
      </c>
      <c r="Q122" s="687"/>
      <c r="R122" s="688"/>
      <c r="S122" s="689"/>
      <c r="T122" s="615"/>
    </row>
    <row r="123" spans="1:20" s="616" customFormat="1" x14ac:dyDescent="0.3">
      <c r="A123" s="685"/>
      <c r="B123" s="686" t="s">
        <v>219</v>
      </c>
      <c r="C123" s="686"/>
      <c r="D123" s="686"/>
      <c r="E123" s="686"/>
      <c r="F123" s="686"/>
      <c r="G123" s="686"/>
      <c r="H123" s="686"/>
      <c r="I123" s="686"/>
      <c r="J123" s="686"/>
      <c r="K123" s="686"/>
      <c r="L123" s="686"/>
      <c r="M123" s="686"/>
      <c r="N123" s="686"/>
      <c r="O123" s="686"/>
      <c r="P123" s="687">
        <v>0</v>
      </c>
      <c r="Q123" s="687"/>
      <c r="R123" s="688"/>
      <c r="S123" s="689"/>
      <c r="T123" s="615"/>
    </row>
    <row r="124" spans="1:20" s="616" customFormat="1" x14ac:dyDescent="0.3">
      <c r="A124" s="685"/>
      <c r="B124" s="686" t="s">
        <v>220</v>
      </c>
      <c r="C124" s="686"/>
      <c r="D124" s="686"/>
      <c r="E124" s="686"/>
      <c r="F124" s="686"/>
      <c r="G124" s="686"/>
      <c r="H124" s="686"/>
      <c r="I124" s="686"/>
      <c r="J124" s="686"/>
      <c r="K124" s="686"/>
      <c r="L124" s="686"/>
      <c r="M124" s="686"/>
      <c r="N124" s="686"/>
      <c r="O124" s="686"/>
      <c r="P124" s="687">
        <v>0</v>
      </c>
      <c r="Q124" s="687"/>
      <c r="R124" s="688"/>
      <c r="S124" s="689"/>
      <c r="T124" s="615"/>
    </row>
    <row r="125" spans="1:20" s="616" customFormat="1" x14ac:dyDescent="0.3">
      <c r="A125" s="685"/>
      <c r="B125" s="686" t="s">
        <v>221</v>
      </c>
      <c r="C125" s="686"/>
      <c r="D125" s="686"/>
      <c r="E125" s="686"/>
      <c r="F125" s="686"/>
      <c r="G125" s="686"/>
      <c r="H125" s="686"/>
      <c r="I125" s="686"/>
      <c r="J125" s="686"/>
      <c r="K125" s="686"/>
      <c r="L125" s="686"/>
      <c r="M125" s="686"/>
      <c r="N125" s="686"/>
      <c r="O125" s="686"/>
      <c r="P125" s="687">
        <v>-135458</v>
      </c>
      <c r="Q125" s="687"/>
      <c r="R125" s="688"/>
      <c r="S125" s="689"/>
      <c r="T125" s="615"/>
    </row>
    <row r="126" spans="1:20" s="616" customFormat="1" x14ac:dyDescent="0.3">
      <c r="A126" s="685"/>
      <c r="B126" s="686" t="s">
        <v>222</v>
      </c>
      <c r="C126" s="686"/>
      <c r="D126" s="686"/>
      <c r="E126" s="686"/>
      <c r="F126" s="686"/>
      <c r="G126" s="686"/>
      <c r="H126" s="686"/>
      <c r="I126" s="686"/>
      <c r="J126" s="686"/>
      <c r="K126" s="686"/>
      <c r="L126" s="686"/>
      <c r="M126" s="686"/>
      <c r="N126" s="686"/>
      <c r="O126" s="686"/>
      <c r="P126" s="687">
        <v>-139899</v>
      </c>
      <c r="Q126" s="687"/>
      <c r="R126" s="688"/>
      <c r="S126" s="689"/>
      <c r="T126" s="615"/>
    </row>
    <row r="127" spans="1:20" s="616" customFormat="1" x14ac:dyDescent="0.3">
      <c r="A127" s="685"/>
      <c r="B127" s="686" t="s">
        <v>223</v>
      </c>
      <c r="C127" s="686"/>
      <c r="D127" s="686"/>
      <c r="E127" s="686"/>
      <c r="F127" s="686"/>
      <c r="G127" s="686"/>
      <c r="H127" s="686"/>
      <c r="I127" s="686"/>
      <c r="J127" s="686"/>
      <c r="K127" s="686"/>
      <c r="L127" s="686"/>
      <c r="M127" s="686"/>
      <c r="N127" s="686"/>
      <c r="O127" s="686"/>
      <c r="P127" s="687">
        <v>-44745</v>
      </c>
      <c r="Q127" s="687"/>
      <c r="R127" s="688"/>
      <c r="S127" s="689"/>
      <c r="T127" s="615"/>
    </row>
    <row r="128" spans="1:20" s="616" customFormat="1" x14ac:dyDescent="0.3">
      <c r="A128" s="685"/>
      <c r="B128" s="686" t="s">
        <v>173</v>
      </c>
      <c r="C128" s="686"/>
      <c r="D128" s="686"/>
      <c r="E128" s="686"/>
      <c r="F128" s="686"/>
      <c r="G128" s="686"/>
      <c r="H128" s="686"/>
      <c r="I128" s="686"/>
      <c r="J128" s="686"/>
      <c r="K128" s="686"/>
      <c r="L128" s="686"/>
      <c r="M128" s="686"/>
      <c r="N128" s="686"/>
      <c r="O128" s="686"/>
      <c r="P128" s="687">
        <v>-24094</v>
      </c>
      <c r="Q128" s="687"/>
      <c r="R128" s="688"/>
      <c r="S128" s="689"/>
      <c r="T128" s="615"/>
    </row>
    <row r="129" spans="1:21" s="616" customFormat="1" x14ac:dyDescent="0.3">
      <c r="A129" s="685"/>
      <c r="B129" s="686" t="s">
        <v>47</v>
      </c>
      <c r="C129" s="686"/>
      <c r="D129" s="686"/>
      <c r="E129" s="686"/>
      <c r="F129" s="686"/>
      <c r="G129" s="686"/>
      <c r="H129" s="686"/>
      <c r="I129" s="686"/>
      <c r="J129" s="686"/>
      <c r="K129" s="686"/>
      <c r="L129" s="686"/>
      <c r="M129" s="686"/>
      <c r="N129" s="686"/>
      <c r="O129" s="686"/>
      <c r="P129" s="687">
        <f>SUM(P121:P128)</f>
        <v>-344615</v>
      </c>
      <c r="Q129" s="687"/>
      <c r="R129" s="687">
        <f>SUM(R100:R128)</f>
        <v>-21288</v>
      </c>
      <c r="S129" s="689"/>
      <c r="T129" s="615"/>
    </row>
    <row r="130" spans="1:21" s="616" customFormat="1" x14ac:dyDescent="0.3">
      <c r="A130" s="685"/>
      <c r="B130" s="686" t="s">
        <v>48</v>
      </c>
      <c r="C130" s="686"/>
      <c r="D130" s="686"/>
      <c r="E130" s="686"/>
      <c r="F130" s="686"/>
      <c r="G130" s="686"/>
      <c r="H130" s="686"/>
      <c r="I130" s="686"/>
      <c r="J130" s="686"/>
      <c r="K130" s="686"/>
      <c r="L130" s="686"/>
      <c r="M130" s="686"/>
      <c r="N130" s="686"/>
      <c r="O130" s="686"/>
      <c r="P130" s="687">
        <f>P99+P129+P114</f>
        <v>0</v>
      </c>
      <c r="Q130" s="687"/>
      <c r="R130" s="687">
        <f>R99+R129</f>
        <v>0</v>
      </c>
      <c r="S130" s="689"/>
      <c r="T130" s="615"/>
    </row>
    <row r="131" spans="1:21" s="616" customFormat="1" x14ac:dyDescent="0.3">
      <c r="A131" s="611"/>
      <c r="B131" s="661"/>
      <c r="C131" s="661"/>
      <c r="D131" s="661"/>
      <c r="E131" s="661"/>
      <c r="F131" s="661"/>
      <c r="G131" s="661"/>
      <c r="H131" s="661"/>
      <c r="I131" s="661"/>
      <c r="J131" s="661"/>
      <c r="K131" s="661"/>
      <c r="L131" s="661"/>
      <c r="M131" s="661"/>
      <c r="N131" s="661"/>
      <c r="O131" s="661"/>
      <c r="P131" s="721"/>
      <c r="Q131" s="721"/>
      <c r="R131" s="721"/>
      <c r="S131" s="722"/>
      <c r="T131" s="665"/>
    </row>
    <row r="132" spans="1:21" s="616" customFormat="1" x14ac:dyDescent="0.3">
      <c r="A132" s="611"/>
      <c r="B132" s="600"/>
      <c r="C132" s="600"/>
      <c r="D132" s="600"/>
      <c r="E132" s="600"/>
      <c r="F132" s="600"/>
      <c r="G132" s="600"/>
      <c r="H132" s="600"/>
      <c r="I132" s="600"/>
      <c r="J132" s="600"/>
      <c r="K132" s="600"/>
      <c r="L132" s="600"/>
      <c r="M132" s="600"/>
      <c r="N132" s="600"/>
      <c r="O132" s="600"/>
      <c r="P132" s="600"/>
      <c r="Q132" s="600"/>
      <c r="R132" s="723"/>
      <c r="S132" s="724"/>
      <c r="T132" s="665"/>
    </row>
    <row r="133" spans="1:21" s="616" customFormat="1" ht="18.600000000000001" thickBot="1" x14ac:dyDescent="0.4">
      <c r="A133" s="669"/>
      <c r="B133" s="670" t="str">
        <f>B62</f>
        <v>PM8 INVESTOR REPORT QUARTER ENDING DECEMBER 2017</v>
      </c>
      <c r="C133" s="671"/>
      <c r="D133" s="671"/>
      <c r="E133" s="671"/>
      <c r="F133" s="671"/>
      <c r="G133" s="671"/>
      <c r="H133" s="671"/>
      <c r="I133" s="671"/>
      <c r="J133" s="671"/>
      <c r="K133" s="671"/>
      <c r="L133" s="671"/>
      <c r="M133" s="671"/>
      <c r="N133" s="671"/>
      <c r="O133" s="671"/>
      <c r="P133" s="671"/>
      <c r="Q133" s="671"/>
      <c r="R133" s="725"/>
      <c r="S133" s="673"/>
      <c r="T133" s="615"/>
    </row>
    <row r="134" spans="1:21" x14ac:dyDescent="0.3">
      <c r="A134" s="726"/>
      <c r="B134" s="727" t="s">
        <v>49</v>
      </c>
      <c r="C134" s="728"/>
      <c r="D134" s="728"/>
      <c r="E134" s="728"/>
      <c r="F134" s="728"/>
      <c r="G134" s="728"/>
      <c r="H134" s="728"/>
      <c r="I134" s="728"/>
      <c r="J134" s="728"/>
      <c r="K134" s="728"/>
      <c r="L134" s="728"/>
      <c r="M134" s="728"/>
      <c r="N134" s="728"/>
      <c r="O134" s="728"/>
      <c r="P134" s="728"/>
      <c r="Q134" s="728"/>
      <c r="R134" s="729"/>
      <c r="S134" s="728"/>
      <c r="T134" s="579"/>
    </row>
    <row r="135" spans="1:21" x14ac:dyDescent="0.3">
      <c r="A135" s="581"/>
      <c r="B135" s="730"/>
      <c r="C135" s="583"/>
      <c r="D135" s="583"/>
      <c r="E135" s="583"/>
      <c r="F135" s="583"/>
      <c r="G135" s="583"/>
      <c r="H135" s="583"/>
      <c r="I135" s="583"/>
      <c r="J135" s="583"/>
      <c r="K135" s="583"/>
      <c r="L135" s="583"/>
      <c r="M135" s="583"/>
      <c r="N135" s="583"/>
      <c r="O135" s="583"/>
      <c r="P135" s="583"/>
      <c r="Q135" s="583"/>
      <c r="R135" s="679"/>
      <c r="S135" s="584"/>
      <c r="T135" s="579"/>
    </row>
    <row r="136" spans="1:21" x14ac:dyDescent="0.3">
      <c r="A136" s="581"/>
      <c r="B136" s="731" t="s">
        <v>50</v>
      </c>
      <c r="C136" s="583"/>
      <c r="D136" s="583"/>
      <c r="E136" s="583"/>
      <c r="F136" s="583"/>
      <c r="G136" s="583"/>
      <c r="H136" s="583"/>
      <c r="I136" s="583"/>
      <c r="J136" s="583"/>
      <c r="K136" s="583"/>
      <c r="L136" s="583"/>
      <c r="M136" s="583"/>
      <c r="N136" s="583"/>
      <c r="O136" s="583"/>
      <c r="P136" s="583"/>
      <c r="Q136" s="583"/>
      <c r="R136" s="679"/>
      <c r="S136" s="584"/>
      <c r="T136" s="579"/>
    </row>
    <row r="137" spans="1:21" s="616" customFormat="1" x14ac:dyDescent="0.3">
      <c r="A137" s="685"/>
      <c r="B137" s="686" t="s">
        <v>51</v>
      </c>
      <c r="C137" s="686"/>
      <c r="D137" s="686"/>
      <c r="E137" s="686"/>
      <c r="F137" s="686"/>
      <c r="G137" s="686"/>
      <c r="H137" s="686"/>
      <c r="I137" s="686"/>
      <c r="J137" s="686"/>
      <c r="K137" s="686"/>
      <c r="L137" s="686"/>
      <c r="M137" s="686"/>
      <c r="N137" s="686"/>
      <c r="O137" s="686"/>
      <c r="P137" s="686"/>
      <c r="Q137" s="686"/>
      <c r="R137" s="688">
        <f>+R33*0.019</f>
        <v>19000</v>
      </c>
      <c r="S137" s="689"/>
      <c r="T137" s="615"/>
    </row>
    <row r="138" spans="1:21" s="616" customFormat="1" x14ac:dyDescent="0.3">
      <c r="A138" s="685"/>
      <c r="B138" s="686" t="s">
        <v>52</v>
      </c>
      <c r="C138" s="686"/>
      <c r="D138" s="686"/>
      <c r="E138" s="686"/>
      <c r="F138" s="686"/>
      <c r="G138" s="686"/>
      <c r="H138" s="686"/>
      <c r="I138" s="686"/>
      <c r="J138" s="686"/>
      <c r="K138" s="686"/>
      <c r="L138" s="686"/>
      <c r="M138" s="686"/>
      <c r="N138" s="686"/>
      <c r="O138" s="686"/>
      <c r="P138" s="686"/>
      <c r="Q138" s="686"/>
      <c r="R138" s="688">
        <v>19000</v>
      </c>
      <c r="S138" s="689"/>
      <c r="T138" s="615"/>
    </row>
    <row r="139" spans="1:21" s="616" customFormat="1" x14ac:dyDescent="0.3">
      <c r="A139" s="685"/>
      <c r="B139" s="686" t="s">
        <v>347</v>
      </c>
      <c r="C139" s="686"/>
      <c r="D139" s="686"/>
      <c r="E139" s="686"/>
      <c r="F139" s="686"/>
      <c r="G139" s="686"/>
      <c r="H139" s="686"/>
      <c r="I139" s="686"/>
      <c r="J139" s="686"/>
      <c r="K139" s="686"/>
      <c r="L139" s="686"/>
      <c r="M139" s="686"/>
      <c r="N139" s="686"/>
      <c r="O139" s="686"/>
      <c r="P139" s="686"/>
      <c r="Q139" s="686"/>
      <c r="R139" s="688">
        <v>-19000</v>
      </c>
      <c r="S139" s="689"/>
      <c r="T139" s="615"/>
    </row>
    <row r="140" spans="1:21" s="616" customFormat="1" x14ac:dyDescent="0.3">
      <c r="A140" s="685"/>
      <c r="B140" s="686" t="s">
        <v>142</v>
      </c>
      <c r="C140" s="686"/>
      <c r="D140" s="686"/>
      <c r="E140" s="686"/>
      <c r="F140" s="686"/>
      <c r="G140" s="686"/>
      <c r="H140" s="686"/>
      <c r="I140" s="686"/>
      <c r="J140" s="686"/>
      <c r="K140" s="686"/>
      <c r="L140" s="686"/>
      <c r="M140" s="686"/>
      <c r="N140" s="686"/>
      <c r="O140" s="686"/>
      <c r="P140" s="686"/>
      <c r="Q140" s="686"/>
      <c r="R140" s="688">
        <v>0</v>
      </c>
      <c r="S140" s="689"/>
      <c r="T140" s="615"/>
    </row>
    <row r="141" spans="1:21" s="616" customFormat="1" x14ac:dyDescent="0.3">
      <c r="A141" s="685"/>
      <c r="B141" s="686" t="s">
        <v>143</v>
      </c>
      <c r="C141" s="686"/>
      <c r="D141" s="686"/>
      <c r="E141" s="686"/>
      <c r="F141" s="686"/>
      <c r="G141" s="686"/>
      <c r="H141" s="686"/>
      <c r="I141" s="686"/>
      <c r="J141" s="686"/>
      <c r="K141" s="686"/>
      <c r="L141" s="686"/>
      <c r="M141" s="686"/>
      <c r="N141" s="686"/>
      <c r="O141" s="686"/>
      <c r="P141" s="686"/>
      <c r="Q141" s="686"/>
      <c r="R141" s="688">
        <v>0</v>
      </c>
      <c r="S141" s="689"/>
      <c r="T141" s="615"/>
    </row>
    <row r="142" spans="1:21" s="616" customFormat="1" x14ac:dyDescent="0.3">
      <c r="A142" s="685"/>
      <c r="B142" s="686" t="s">
        <v>53</v>
      </c>
      <c r="C142" s="686"/>
      <c r="D142" s="686"/>
      <c r="E142" s="686"/>
      <c r="F142" s="686"/>
      <c r="G142" s="686"/>
      <c r="H142" s="686"/>
      <c r="I142" s="686"/>
      <c r="J142" s="686"/>
      <c r="K142" s="686"/>
      <c r="L142" s="686"/>
      <c r="M142" s="686"/>
      <c r="N142" s="686"/>
      <c r="O142" s="686"/>
      <c r="P142" s="686"/>
      <c r="Q142" s="686"/>
      <c r="R142" s="688">
        <v>0</v>
      </c>
      <c r="S142" s="689"/>
      <c r="T142" s="615"/>
    </row>
    <row r="143" spans="1:21" s="616" customFormat="1" x14ac:dyDescent="0.3">
      <c r="A143" s="685"/>
      <c r="B143" s="686" t="s">
        <v>148</v>
      </c>
      <c r="C143" s="686"/>
      <c r="D143" s="686"/>
      <c r="E143" s="686"/>
      <c r="F143" s="686"/>
      <c r="G143" s="686"/>
      <c r="H143" s="686"/>
      <c r="I143" s="686"/>
      <c r="J143" s="686"/>
      <c r="K143" s="686"/>
      <c r="L143" s="686"/>
      <c r="M143" s="686"/>
      <c r="N143" s="686"/>
      <c r="O143" s="686"/>
      <c r="P143" s="686"/>
      <c r="Q143" s="686"/>
      <c r="R143" s="688">
        <v>0</v>
      </c>
      <c r="S143" s="689"/>
      <c r="T143" s="615"/>
    </row>
    <row r="144" spans="1:21" s="616" customFormat="1" x14ac:dyDescent="0.3">
      <c r="A144" s="685"/>
      <c r="B144" s="686" t="s">
        <v>203</v>
      </c>
      <c r="C144" s="686"/>
      <c r="D144" s="686"/>
      <c r="E144" s="686"/>
      <c r="F144" s="686"/>
      <c r="G144" s="686"/>
      <c r="H144" s="686"/>
      <c r="I144" s="686"/>
      <c r="J144" s="686"/>
      <c r="K144" s="686"/>
      <c r="L144" s="686"/>
      <c r="M144" s="686"/>
      <c r="N144" s="686"/>
      <c r="O144" s="686"/>
      <c r="P144" s="686"/>
      <c r="Q144" s="686"/>
      <c r="R144" s="688">
        <v>0</v>
      </c>
      <c r="S144" s="689"/>
      <c r="T144" s="615"/>
      <c r="U144" s="718"/>
    </row>
    <row r="145" spans="1:20" s="616" customFormat="1" x14ac:dyDescent="0.3">
      <c r="A145" s="685"/>
      <c r="B145" s="686" t="s">
        <v>54</v>
      </c>
      <c r="C145" s="686"/>
      <c r="D145" s="686"/>
      <c r="E145" s="686"/>
      <c r="F145" s="686"/>
      <c r="G145" s="686"/>
      <c r="H145" s="686"/>
      <c r="I145" s="686"/>
      <c r="J145" s="686"/>
      <c r="K145" s="686"/>
      <c r="L145" s="686"/>
      <c r="M145" s="686"/>
      <c r="N145" s="686"/>
      <c r="O145" s="686"/>
      <c r="P145" s="686"/>
      <c r="Q145" s="686"/>
      <c r="R145" s="688">
        <f>SUM(R138:R144)</f>
        <v>0</v>
      </c>
      <c r="S145" s="689"/>
      <c r="T145" s="615"/>
    </row>
    <row r="146" spans="1:20" s="616" customFormat="1" x14ac:dyDescent="0.3">
      <c r="A146" s="685"/>
      <c r="B146" s="700"/>
      <c r="C146" s="700"/>
      <c r="D146" s="700"/>
      <c r="E146" s="700"/>
      <c r="F146" s="700"/>
      <c r="G146" s="700"/>
      <c r="H146" s="700"/>
      <c r="I146" s="700"/>
      <c r="J146" s="700"/>
      <c r="K146" s="700"/>
      <c r="L146" s="700"/>
      <c r="M146" s="700"/>
      <c r="N146" s="700"/>
      <c r="O146" s="700"/>
      <c r="P146" s="700"/>
      <c r="Q146" s="700"/>
      <c r="R146" s="732"/>
      <c r="S146" s="689"/>
      <c r="T146" s="615"/>
    </row>
    <row r="147" spans="1:20" x14ac:dyDescent="0.3">
      <c r="A147" s="711"/>
      <c r="B147" s="712" t="s">
        <v>264</v>
      </c>
      <c r="C147" s="713"/>
      <c r="D147" s="713"/>
      <c r="E147" s="713"/>
      <c r="F147" s="713"/>
      <c r="G147" s="713"/>
      <c r="H147" s="713"/>
      <c r="I147" s="713"/>
      <c r="J147" s="713"/>
      <c r="K147" s="713"/>
      <c r="L147" s="713"/>
      <c r="M147" s="713"/>
      <c r="N147" s="713"/>
      <c r="O147" s="713"/>
      <c r="P147" s="713"/>
      <c r="Q147" s="713"/>
      <c r="R147" s="715"/>
      <c r="S147" s="716"/>
      <c r="T147" s="579"/>
    </row>
    <row r="148" spans="1:20" s="616" customFormat="1" x14ac:dyDescent="0.3">
      <c r="A148" s="685"/>
      <c r="B148" s="686" t="s">
        <v>206</v>
      </c>
      <c r="C148" s="686"/>
      <c r="D148" s="686"/>
      <c r="E148" s="686"/>
      <c r="F148" s="686"/>
      <c r="G148" s="686"/>
      <c r="H148" s="686"/>
      <c r="I148" s="686"/>
      <c r="J148" s="686"/>
      <c r="K148" s="686"/>
      <c r="L148" s="686"/>
      <c r="M148" s="686"/>
      <c r="N148" s="686"/>
      <c r="O148" s="686"/>
      <c r="P148" s="686"/>
      <c r="Q148" s="686"/>
      <c r="R148" s="688">
        <f>+R33*0.005</f>
        <v>5000</v>
      </c>
      <c r="S148" s="689"/>
      <c r="T148" s="615"/>
    </row>
    <row r="149" spans="1:20" s="616" customFormat="1" x14ac:dyDescent="0.3">
      <c r="A149" s="685"/>
      <c r="B149" s="686" t="s">
        <v>260</v>
      </c>
      <c r="C149" s="686"/>
      <c r="D149" s="686"/>
      <c r="E149" s="686"/>
      <c r="F149" s="686"/>
      <c r="G149" s="686"/>
      <c r="H149" s="686"/>
      <c r="I149" s="686"/>
      <c r="J149" s="686"/>
      <c r="K149" s="686"/>
      <c r="L149" s="686"/>
      <c r="M149" s="686"/>
      <c r="N149" s="686"/>
      <c r="O149" s="686"/>
      <c r="P149" s="686"/>
      <c r="Q149" s="686"/>
      <c r="R149" s="688">
        <v>0</v>
      </c>
      <c r="S149" s="689"/>
      <c r="T149" s="615"/>
    </row>
    <row r="150" spans="1:20" s="616" customFormat="1" x14ac:dyDescent="0.3">
      <c r="A150" s="685"/>
      <c r="B150" s="686" t="s">
        <v>326</v>
      </c>
      <c r="C150" s="686"/>
      <c r="D150" s="686"/>
      <c r="E150" s="686"/>
      <c r="F150" s="686"/>
      <c r="G150" s="686"/>
      <c r="H150" s="686"/>
      <c r="I150" s="686"/>
      <c r="J150" s="686"/>
      <c r="K150" s="686"/>
      <c r="L150" s="686"/>
      <c r="M150" s="686"/>
      <c r="N150" s="686"/>
      <c r="O150" s="686"/>
      <c r="P150" s="686"/>
      <c r="Q150" s="686"/>
      <c r="R150" s="688">
        <v>0</v>
      </c>
      <c r="S150" s="689"/>
      <c r="T150" s="615"/>
    </row>
    <row r="151" spans="1:20" s="616" customFormat="1" x14ac:dyDescent="0.3">
      <c r="A151" s="685"/>
      <c r="B151" s="700"/>
      <c r="C151" s="700"/>
      <c r="D151" s="700"/>
      <c r="E151" s="700"/>
      <c r="F151" s="700"/>
      <c r="G151" s="700"/>
      <c r="H151" s="700"/>
      <c r="I151" s="700"/>
      <c r="J151" s="700"/>
      <c r="K151" s="700"/>
      <c r="L151" s="700"/>
      <c r="M151" s="700"/>
      <c r="N151" s="700"/>
      <c r="O151" s="700"/>
      <c r="P151" s="700"/>
      <c r="Q151" s="700"/>
      <c r="R151" s="732"/>
      <c r="S151" s="689"/>
      <c r="T151" s="615"/>
    </row>
    <row r="152" spans="1:20" s="616" customFormat="1" x14ac:dyDescent="0.3">
      <c r="A152" s="611"/>
      <c r="B152" s="661"/>
      <c r="C152" s="661"/>
      <c r="D152" s="661"/>
      <c r="E152" s="661"/>
      <c r="F152" s="661"/>
      <c r="G152" s="661"/>
      <c r="H152" s="661"/>
      <c r="I152" s="661"/>
      <c r="J152" s="661"/>
      <c r="K152" s="661"/>
      <c r="L152" s="661"/>
      <c r="M152" s="661"/>
      <c r="N152" s="661"/>
      <c r="O152" s="661"/>
      <c r="P152" s="661"/>
      <c r="Q152" s="661"/>
      <c r="R152" s="733"/>
      <c r="S152" s="734"/>
      <c r="T152" s="615"/>
    </row>
    <row r="153" spans="1:20" x14ac:dyDescent="0.3">
      <c r="A153" s="581"/>
      <c r="B153" s="731" t="s">
        <v>28</v>
      </c>
      <c r="C153" s="583"/>
      <c r="D153" s="583"/>
      <c r="E153" s="583"/>
      <c r="F153" s="583"/>
      <c r="G153" s="583"/>
      <c r="H153" s="583"/>
      <c r="I153" s="583"/>
      <c r="J153" s="583"/>
      <c r="K153" s="583"/>
      <c r="L153" s="583"/>
      <c r="M153" s="583"/>
      <c r="N153" s="583"/>
      <c r="O153" s="583"/>
      <c r="P153" s="583"/>
      <c r="Q153" s="583"/>
      <c r="R153" s="679"/>
      <c r="S153" s="584"/>
      <c r="T153" s="579"/>
    </row>
    <row r="154" spans="1:20" s="616" customFormat="1" x14ac:dyDescent="0.3">
      <c r="A154" s="685"/>
      <c r="B154" s="686" t="s">
        <v>55</v>
      </c>
      <c r="C154" s="686"/>
      <c r="D154" s="686"/>
      <c r="E154" s="686"/>
      <c r="F154" s="686"/>
      <c r="G154" s="686"/>
      <c r="H154" s="686"/>
      <c r="I154" s="686"/>
      <c r="J154" s="686"/>
      <c r="K154" s="686"/>
      <c r="L154" s="686"/>
      <c r="M154" s="686"/>
      <c r="N154" s="686"/>
      <c r="O154" s="686"/>
      <c r="P154" s="686"/>
      <c r="Q154" s="686"/>
      <c r="R154" s="735" t="s">
        <v>137</v>
      </c>
      <c r="S154" s="689"/>
      <c r="T154" s="615"/>
    </row>
    <row r="155" spans="1:20" s="616" customFormat="1" x14ac:dyDescent="0.3">
      <c r="A155" s="685"/>
      <c r="B155" s="686" t="s">
        <v>56</v>
      </c>
      <c r="C155" s="686"/>
      <c r="D155" s="686"/>
      <c r="E155" s="686"/>
      <c r="F155" s="686"/>
      <c r="G155" s="686"/>
      <c r="H155" s="686"/>
      <c r="I155" s="686"/>
      <c r="J155" s="686"/>
      <c r="K155" s="686"/>
      <c r="L155" s="686"/>
      <c r="M155" s="686"/>
      <c r="N155" s="686"/>
      <c r="O155" s="686"/>
      <c r="P155" s="686"/>
      <c r="Q155" s="686"/>
      <c r="R155" s="735" t="s">
        <v>137</v>
      </c>
      <c r="S155" s="689"/>
      <c r="T155" s="615"/>
    </row>
    <row r="156" spans="1:20" s="616" customFormat="1" x14ac:dyDescent="0.3">
      <c r="A156" s="685"/>
      <c r="B156" s="686" t="s">
        <v>57</v>
      </c>
      <c r="C156" s="686"/>
      <c r="D156" s="686"/>
      <c r="E156" s="686"/>
      <c r="F156" s="686"/>
      <c r="G156" s="686"/>
      <c r="H156" s="686"/>
      <c r="I156" s="686"/>
      <c r="J156" s="686"/>
      <c r="K156" s="686"/>
      <c r="L156" s="686"/>
      <c r="M156" s="686"/>
      <c r="N156" s="686"/>
      <c r="O156" s="686"/>
      <c r="P156" s="686"/>
      <c r="Q156" s="686"/>
      <c r="R156" s="735" t="s">
        <v>137</v>
      </c>
      <c r="S156" s="689"/>
      <c r="T156" s="615"/>
    </row>
    <row r="157" spans="1:20" s="616" customFormat="1" x14ac:dyDescent="0.3">
      <c r="A157" s="685"/>
      <c r="B157" s="686" t="s">
        <v>58</v>
      </c>
      <c r="C157" s="686"/>
      <c r="D157" s="686"/>
      <c r="E157" s="686"/>
      <c r="F157" s="686"/>
      <c r="G157" s="686"/>
      <c r="H157" s="686"/>
      <c r="I157" s="686"/>
      <c r="J157" s="686"/>
      <c r="K157" s="686"/>
      <c r="L157" s="686"/>
      <c r="M157" s="686"/>
      <c r="N157" s="686"/>
      <c r="O157" s="686"/>
      <c r="P157" s="686"/>
      <c r="Q157" s="686"/>
      <c r="R157" s="735" t="s">
        <v>137</v>
      </c>
      <c r="S157" s="689"/>
      <c r="T157" s="615"/>
    </row>
    <row r="158" spans="1:20" x14ac:dyDescent="0.3">
      <c r="A158" s="581"/>
      <c r="B158" s="690"/>
      <c r="C158" s="690"/>
      <c r="D158" s="690"/>
      <c r="E158" s="690"/>
      <c r="F158" s="690"/>
      <c r="G158" s="690"/>
      <c r="H158" s="690"/>
      <c r="I158" s="690"/>
      <c r="J158" s="690"/>
      <c r="K158" s="690"/>
      <c r="L158" s="690"/>
      <c r="M158" s="690"/>
      <c r="N158" s="690"/>
      <c r="O158" s="690"/>
      <c r="P158" s="690"/>
      <c r="Q158" s="690"/>
      <c r="R158" s="736"/>
      <c r="S158" s="584"/>
      <c r="T158" s="579"/>
    </row>
    <row r="159" spans="1:20" x14ac:dyDescent="0.3">
      <c r="A159" s="581"/>
      <c r="B159" s="731" t="s">
        <v>59</v>
      </c>
      <c r="C159" s="583"/>
      <c r="D159" s="583"/>
      <c r="E159" s="583"/>
      <c r="F159" s="583"/>
      <c r="G159" s="583"/>
      <c r="H159" s="583"/>
      <c r="I159" s="583"/>
      <c r="J159" s="583"/>
      <c r="K159" s="583"/>
      <c r="L159" s="583"/>
      <c r="M159" s="583"/>
      <c r="N159" s="583"/>
      <c r="O159" s="583"/>
      <c r="P159" s="583"/>
      <c r="Q159" s="583"/>
      <c r="R159" s="737"/>
      <c r="S159" s="584"/>
      <c r="T159" s="579"/>
    </row>
    <row r="160" spans="1:20" s="616" customFormat="1" x14ac:dyDescent="0.3">
      <c r="A160" s="685"/>
      <c r="B160" s="686" t="s">
        <v>60</v>
      </c>
      <c r="C160" s="686"/>
      <c r="D160" s="686"/>
      <c r="E160" s="686"/>
      <c r="F160" s="686"/>
      <c r="G160" s="686"/>
      <c r="H160" s="686"/>
      <c r="I160" s="686"/>
      <c r="J160" s="686"/>
      <c r="K160" s="686"/>
      <c r="L160" s="686"/>
      <c r="M160" s="686"/>
      <c r="N160" s="686"/>
      <c r="O160" s="686"/>
      <c r="P160" s="686"/>
      <c r="Q160" s="686"/>
      <c r="R160" s="688">
        <v>0</v>
      </c>
      <c r="S160" s="689"/>
      <c r="T160" s="615"/>
    </row>
    <row r="161" spans="1:20" s="616" customFormat="1" x14ac:dyDescent="0.3">
      <c r="A161" s="685"/>
      <c r="B161" s="686" t="s">
        <v>61</v>
      </c>
      <c r="C161" s="686"/>
      <c r="D161" s="686"/>
      <c r="E161" s="686"/>
      <c r="F161" s="686"/>
      <c r="G161" s="686"/>
      <c r="H161" s="686"/>
      <c r="I161" s="686"/>
      <c r="J161" s="686"/>
      <c r="K161" s="686"/>
      <c r="L161" s="686"/>
      <c r="M161" s="686"/>
      <c r="N161" s="686"/>
      <c r="O161" s="686"/>
      <c r="P161" s="686"/>
      <c r="Q161" s="686"/>
      <c r="R161" s="688">
        <f>P114</f>
        <v>166</v>
      </c>
      <c r="S161" s="689"/>
      <c r="T161" s="615"/>
    </row>
    <row r="162" spans="1:20" s="616" customFormat="1" x14ac:dyDescent="0.3">
      <c r="A162" s="685"/>
      <c r="B162" s="686" t="s">
        <v>62</v>
      </c>
      <c r="C162" s="686"/>
      <c r="D162" s="686"/>
      <c r="E162" s="686"/>
      <c r="F162" s="686"/>
      <c r="G162" s="686"/>
      <c r="H162" s="686"/>
      <c r="I162" s="686"/>
      <c r="J162" s="686"/>
      <c r="K162" s="686"/>
      <c r="L162" s="686"/>
      <c r="M162" s="686"/>
      <c r="N162" s="686"/>
      <c r="O162" s="686"/>
      <c r="P162" s="686"/>
      <c r="Q162" s="686"/>
      <c r="R162" s="688">
        <f>R161+R160</f>
        <v>166</v>
      </c>
      <c r="S162" s="689"/>
      <c r="T162" s="615"/>
    </row>
    <row r="163" spans="1:20" s="616" customFormat="1" x14ac:dyDescent="0.3">
      <c r="A163" s="685"/>
      <c r="B163" s="686" t="s">
        <v>308</v>
      </c>
      <c r="C163" s="686"/>
      <c r="D163" s="686"/>
      <c r="E163" s="686"/>
      <c r="F163" s="686"/>
      <c r="G163" s="686"/>
      <c r="H163" s="686"/>
      <c r="I163" s="686"/>
      <c r="J163" s="686"/>
      <c r="K163" s="686"/>
      <c r="L163" s="686"/>
      <c r="M163" s="686"/>
      <c r="N163" s="686"/>
      <c r="O163" s="686"/>
      <c r="P163" s="686"/>
      <c r="Q163" s="686"/>
      <c r="R163" s="688">
        <f>R114</f>
        <v>-166</v>
      </c>
      <c r="S163" s="689"/>
      <c r="T163" s="615"/>
    </row>
    <row r="164" spans="1:20" s="616" customFormat="1" x14ac:dyDescent="0.3">
      <c r="A164" s="685"/>
      <c r="B164" s="686" t="s">
        <v>63</v>
      </c>
      <c r="C164" s="686"/>
      <c r="D164" s="686"/>
      <c r="E164" s="686"/>
      <c r="F164" s="686"/>
      <c r="G164" s="686"/>
      <c r="H164" s="686"/>
      <c r="I164" s="686"/>
      <c r="J164" s="686"/>
      <c r="K164" s="686"/>
      <c r="L164" s="686"/>
      <c r="M164" s="686"/>
      <c r="N164" s="686"/>
      <c r="O164" s="686"/>
      <c r="P164" s="686"/>
      <c r="Q164" s="686"/>
      <c r="R164" s="688">
        <f>R162+R163</f>
        <v>0</v>
      </c>
      <c r="S164" s="689"/>
      <c r="T164" s="615"/>
    </row>
    <row r="165" spans="1:20" s="616" customFormat="1" x14ac:dyDescent="0.3">
      <c r="A165" s="685"/>
      <c r="B165" s="686" t="s">
        <v>276</v>
      </c>
      <c r="C165" s="686"/>
      <c r="D165" s="686"/>
      <c r="E165" s="686"/>
      <c r="F165" s="686"/>
      <c r="G165" s="686"/>
      <c r="H165" s="686"/>
      <c r="I165" s="686"/>
      <c r="J165" s="686"/>
      <c r="K165" s="686"/>
      <c r="L165" s="686"/>
      <c r="M165" s="686"/>
      <c r="N165" s="686"/>
      <c r="O165" s="686"/>
      <c r="P165" s="686"/>
      <c r="Q165" s="686"/>
      <c r="R165" s="688">
        <v>0</v>
      </c>
      <c r="S165" s="689"/>
      <c r="T165" s="615"/>
    </row>
    <row r="166" spans="1:20" s="616" customFormat="1" ht="16.2" thickBot="1" x14ac:dyDescent="0.35">
      <c r="A166" s="611"/>
      <c r="B166" s="661"/>
      <c r="C166" s="661"/>
      <c r="D166" s="661"/>
      <c r="E166" s="661"/>
      <c r="F166" s="661"/>
      <c r="G166" s="661"/>
      <c r="H166" s="661"/>
      <c r="I166" s="661"/>
      <c r="J166" s="661"/>
      <c r="K166" s="661"/>
      <c r="L166" s="661"/>
      <c r="M166" s="661"/>
      <c r="N166" s="661"/>
      <c r="O166" s="661"/>
      <c r="P166" s="661"/>
      <c r="Q166" s="661"/>
      <c r="R166" s="733"/>
      <c r="S166" s="734"/>
      <c r="T166" s="615"/>
    </row>
    <row r="167" spans="1:20" x14ac:dyDescent="0.3">
      <c r="A167" s="575"/>
      <c r="B167" s="577"/>
      <c r="C167" s="577"/>
      <c r="D167" s="577"/>
      <c r="E167" s="577"/>
      <c r="F167" s="577"/>
      <c r="G167" s="577"/>
      <c r="H167" s="577"/>
      <c r="I167" s="577"/>
      <c r="J167" s="577"/>
      <c r="K167" s="577"/>
      <c r="L167" s="577"/>
      <c r="M167" s="577"/>
      <c r="N167" s="577"/>
      <c r="O167" s="577"/>
      <c r="P167" s="577"/>
      <c r="Q167" s="577"/>
      <c r="R167" s="738"/>
      <c r="S167" s="578"/>
      <c r="T167" s="579"/>
    </row>
    <row r="168" spans="1:20" x14ac:dyDescent="0.3">
      <c r="A168" s="581"/>
      <c r="B168" s="731" t="s">
        <v>64</v>
      </c>
      <c r="C168" s="583"/>
      <c r="D168" s="583"/>
      <c r="E168" s="583"/>
      <c r="F168" s="583"/>
      <c r="G168" s="583"/>
      <c r="H168" s="583"/>
      <c r="I168" s="583"/>
      <c r="J168" s="583"/>
      <c r="K168" s="583"/>
      <c r="L168" s="583"/>
      <c r="M168" s="583"/>
      <c r="N168" s="583"/>
      <c r="O168" s="583"/>
      <c r="P168" s="583"/>
      <c r="Q168" s="583"/>
      <c r="R168" s="679"/>
      <c r="S168" s="584"/>
      <c r="T168" s="579"/>
    </row>
    <row r="169" spans="1:20" x14ac:dyDescent="0.3">
      <c r="A169" s="581"/>
      <c r="B169" s="730"/>
      <c r="C169" s="583"/>
      <c r="D169" s="583"/>
      <c r="E169" s="583"/>
      <c r="F169" s="583"/>
      <c r="G169" s="583"/>
      <c r="H169" s="583"/>
      <c r="I169" s="583"/>
      <c r="J169" s="583"/>
      <c r="K169" s="583"/>
      <c r="L169" s="583"/>
      <c r="M169" s="583"/>
      <c r="N169" s="583"/>
      <c r="O169" s="583"/>
      <c r="P169" s="583"/>
      <c r="Q169" s="583"/>
      <c r="R169" s="679"/>
      <c r="S169" s="584"/>
      <c r="T169" s="579"/>
    </row>
    <row r="170" spans="1:20" s="616" customFormat="1" x14ac:dyDescent="0.3">
      <c r="A170" s="685"/>
      <c r="B170" s="686" t="s">
        <v>65</v>
      </c>
      <c r="C170" s="686"/>
      <c r="D170" s="686"/>
      <c r="E170" s="686"/>
      <c r="F170" s="686"/>
      <c r="G170" s="686"/>
      <c r="H170" s="686"/>
      <c r="I170" s="686"/>
      <c r="J170" s="686"/>
      <c r="K170" s="686"/>
      <c r="L170" s="686"/>
      <c r="M170" s="686"/>
      <c r="N170" s="686"/>
      <c r="O170" s="686"/>
      <c r="P170" s="686"/>
      <c r="Q170" s="686"/>
      <c r="R170" s="688">
        <f>R69</f>
        <v>0</v>
      </c>
      <c r="S170" s="689"/>
      <c r="T170" s="615"/>
    </row>
    <row r="171" spans="1:20" s="616" customFormat="1" x14ac:dyDescent="0.3">
      <c r="A171" s="685"/>
      <c r="B171" s="686" t="s">
        <v>66</v>
      </c>
      <c r="C171" s="686"/>
      <c r="D171" s="686"/>
      <c r="E171" s="686"/>
      <c r="F171" s="686"/>
      <c r="G171" s="686"/>
      <c r="H171" s="686"/>
      <c r="I171" s="686"/>
      <c r="J171" s="686"/>
      <c r="K171" s="686"/>
      <c r="L171" s="686"/>
      <c r="M171" s="686"/>
      <c r="N171" s="686"/>
      <c r="O171" s="686"/>
      <c r="P171" s="686"/>
      <c r="Q171" s="686"/>
      <c r="R171" s="688">
        <f>R82</f>
        <v>0</v>
      </c>
      <c r="S171" s="689"/>
      <c r="T171" s="615"/>
    </row>
    <row r="172" spans="1:20" ht="16.2" thickBot="1" x14ac:dyDescent="0.35">
      <c r="A172" s="581"/>
      <c r="B172" s="690"/>
      <c r="C172" s="690"/>
      <c r="D172" s="690"/>
      <c r="E172" s="690"/>
      <c r="F172" s="690"/>
      <c r="G172" s="690"/>
      <c r="H172" s="690"/>
      <c r="I172" s="690"/>
      <c r="J172" s="690"/>
      <c r="K172" s="690"/>
      <c r="L172" s="690"/>
      <c r="M172" s="690"/>
      <c r="N172" s="690"/>
      <c r="O172" s="690"/>
      <c r="P172" s="690"/>
      <c r="Q172" s="690"/>
      <c r="R172" s="736"/>
      <c r="S172" s="584"/>
      <c r="T172" s="579"/>
    </row>
    <row r="173" spans="1:20" x14ac:dyDescent="0.3">
      <c r="A173" s="575"/>
      <c r="B173" s="577"/>
      <c r="C173" s="577"/>
      <c r="D173" s="577"/>
      <c r="E173" s="577"/>
      <c r="F173" s="577"/>
      <c r="G173" s="577"/>
      <c r="H173" s="577"/>
      <c r="I173" s="577"/>
      <c r="J173" s="577"/>
      <c r="K173" s="577"/>
      <c r="L173" s="577"/>
      <c r="M173" s="577"/>
      <c r="N173" s="577"/>
      <c r="O173" s="577"/>
      <c r="P173" s="577"/>
      <c r="Q173" s="577"/>
      <c r="R173" s="738"/>
      <c r="S173" s="578"/>
      <c r="T173" s="579"/>
    </row>
    <row r="174" spans="1:20" x14ac:dyDescent="0.3">
      <c r="A174" s="581"/>
      <c r="B174" s="731" t="s">
        <v>67</v>
      </c>
      <c r="C174" s="739"/>
      <c r="D174" s="739"/>
      <c r="E174" s="739"/>
      <c r="F174" s="739"/>
      <c r="G174" s="739"/>
      <c r="H174" s="740"/>
      <c r="I174" s="740"/>
      <c r="J174" s="740"/>
      <c r="K174" s="740"/>
      <c r="L174" s="740"/>
      <c r="M174" s="740"/>
      <c r="N174" s="740"/>
      <c r="O174" s="741" t="s">
        <v>112</v>
      </c>
      <c r="P174" s="741" t="s">
        <v>120</v>
      </c>
      <c r="Q174" s="586"/>
      <c r="R174" s="742" t="s">
        <v>129</v>
      </c>
      <c r="S174" s="743"/>
      <c r="T174" s="579"/>
    </row>
    <row r="175" spans="1:20" s="616" customFormat="1" x14ac:dyDescent="0.3">
      <c r="A175" s="685"/>
      <c r="B175" s="686" t="s">
        <v>68</v>
      </c>
      <c r="C175" s="686"/>
      <c r="D175" s="686"/>
      <c r="E175" s="686"/>
      <c r="F175" s="686"/>
      <c r="G175" s="686"/>
      <c r="H175" s="686"/>
      <c r="I175" s="686"/>
      <c r="J175" s="686"/>
      <c r="K175" s="686"/>
      <c r="L175" s="686"/>
      <c r="M175" s="686"/>
      <c r="N175" s="686"/>
      <c r="O175" s="688">
        <v>160000</v>
      </c>
      <c r="P175" s="708"/>
      <c r="Q175" s="686"/>
      <c r="R175" s="688"/>
      <c r="S175" s="689"/>
      <c r="T175" s="615"/>
    </row>
    <row r="176" spans="1:20" s="616" customFormat="1" x14ac:dyDescent="0.3">
      <c r="A176" s="685"/>
      <c r="B176" s="686" t="s">
        <v>69</v>
      </c>
      <c r="C176" s="686"/>
      <c r="D176" s="686"/>
      <c r="E176" s="686"/>
      <c r="F176" s="686"/>
      <c r="G176" s="686"/>
      <c r="H176" s="686"/>
      <c r="I176" s="686"/>
      <c r="J176" s="686"/>
      <c r="K176" s="686"/>
      <c r="L176" s="686"/>
      <c r="M176" s="686"/>
      <c r="N176" s="686"/>
      <c r="O176" s="688">
        <f>+'Sept 17'!O177</f>
        <v>92086</v>
      </c>
      <c r="P176" s="688">
        <f>+'Sept 17'!P177</f>
        <v>8496</v>
      </c>
      <c r="Q176" s="686"/>
      <c r="R176" s="688">
        <f>O176+P176</f>
        <v>100582</v>
      </c>
      <c r="S176" s="689"/>
      <c r="T176" s="615"/>
    </row>
    <row r="177" spans="1:20" s="616" customFormat="1" x14ac:dyDescent="0.3">
      <c r="A177" s="685"/>
      <c r="B177" s="686" t="s">
        <v>70</v>
      </c>
      <c r="C177" s="686"/>
      <c r="D177" s="686"/>
      <c r="E177" s="686"/>
      <c r="F177" s="686"/>
      <c r="G177" s="686"/>
      <c r="H177" s="686"/>
      <c r="I177" s="686"/>
      <c r="J177" s="686"/>
      <c r="K177" s="686"/>
      <c r="L177" s="686"/>
      <c r="M177" s="686"/>
      <c r="N177" s="686"/>
      <c r="O177" s="687">
        <v>419</v>
      </c>
      <c r="P177" s="687">
        <f>-P96-P121</f>
        <v>0</v>
      </c>
      <c r="Q177" s="686"/>
      <c r="R177" s="688">
        <f>O177+P177</f>
        <v>419</v>
      </c>
      <c r="S177" s="689"/>
      <c r="T177" s="615"/>
    </row>
    <row r="178" spans="1:20" s="616" customFormat="1" x14ac:dyDescent="0.3">
      <c r="A178" s="685"/>
      <c r="B178" s="686" t="s">
        <v>71</v>
      </c>
      <c r="C178" s="686"/>
      <c r="D178" s="686"/>
      <c r="E178" s="686"/>
      <c r="F178" s="686"/>
      <c r="G178" s="686"/>
      <c r="H178" s="686"/>
      <c r="I178" s="686"/>
      <c r="J178" s="686"/>
      <c r="K178" s="686"/>
      <c r="L178" s="686"/>
      <c r="M178" s="686"/>
      <c r="N178" s="686"/>
      <c r="O178" s="688">
        <f>O176+O177</f>
        <v>92505</v>
      </c>
      <c r="P178" s="688">
        <f>P177+P176</f>
        <v>8496</v>
      </c>
      <c r="Q178" s="686"/>
      <c r="R178" s="688">
        <f>O178+P178</f>
        <v>101001</v>
      </c>
      <c r="S178" s="689"/>
      <c r="T178" s="615"/>
    </row>
    <row r="179" spans="1:20" s="616" customFormat="1" x14ac:dyDescent="0.3">
      <c r="A179" s="685"/>
      <c r="B179" s="686" t="s">
        <v>72</v>
      </c>
      <c r="C179" s="686"/>
      <c r="D179" s="686"/>
      <c r="E179" s="686"/>
      <c r="F179" s="686"/>
      <c r="G179" s="686"/>
      <c r="H179" s="686"/>
      <c r="I179" s="686"/>
      <c r="J179" s="686"/>
      <c r="K179" s="686"/>
      <c r="L179" s="686"/>
      <c r="M179" s="686"/>
      <c r="N179" s="686"/>
      <c r="O179" s="688">
        <f>O175-O178-P178</f>
        <v>58999</v>
      </c>
      <c r="P179" s="708"/>
      <c r="Q179" s="686"/>
      <c r="R179" s="688"/>
      <c r="S179" s="689"/>
      <c r="T179" s="615"/>
    </row>
    <row r="180" spans="1:20" ht="16.2" thickBot="1" x14ac:dyDescent="0.35">
      <c r="A180" s="581"/>
      <c r="B180" s="690"/>
      <c r="C180" s="690"/>
      <c r="D180" s="690"/>
      <c r="E180" s="690"/>
      <c r="F180" s="690"/>
      <c r="G180" s="690"/>
      <c r="H180" s="690"/>
      <c r="I180" s="690"/>
      <c r="J180" s="690"/>
      <c r="K180" s="690"/>
      <c r="L180" s="690"/>
      <c r="M180" s="690"/>
      <c r="N180" s="690"/>
      <c r="O180" s="690"/>
      <c r="P180" s="690"/>
      <c r="Q180" s="690"/>
      <c r="R180" s="736"/>
      <c r="S180" s="584"/>
      <c r="T180" s="579"/>
    </row>
    <row r="181" spans="1:20" x14ac:dyDescent="0.3">
      <c r="A181" s="575"/>
      <c r="B181" s="577"/>
      <c r="C181" s="577"/>
      <c r="D181" s="577"/>
      <c r="E181" s="577"/>
      <c r="F181" s="577"/>
      <c r="G181" s="577"/>
      <c r="H181" s="577"/>
      <c r="I181" s="577"/>
      <c r="J181" s="577"/>
      <c r="K181" s="577"/>
      <c r="L181" s="577"/>
      <c r="M181" s="577"/>
      <c r="N181" s="577"/>
      <c r="O181" s="577"/>
      <c r="P181" s="577"/>
      <c r="Q181" s="577"/>
      <c r="R181" s="738"/>
      <c r="S181" s="578"/>
      <c r="T181" s="579"/>
    </row>
    <row r="182" spans="1:20" x14ac:dyDescent="0.3">
      <c r="A182" s="581"/>
      <c r="B182" s="731" t="s">
        <v>73</v>
      </c>
      <c r="C182" s="583"/>
      <c r="D182" s="583"/>
      <c r="E182" s="583"/>
      <c r="F182" s="583"/>
      <c r="G182" s="583"/>
      <c r="H182" s="583"/>
      <c r="I182" s="583"/>
      <c r="J182" s="583"/>
      <c r="K182" s="583"/>
      <c r="L182" s="583"/>
      <c r="M182" s="583"/>
      <c r="N182" s="583"/>
      <c r="O182" s="583"/>
      <c r="P182" s="583"/>
      <c r="Q182" s="583"/>
      <c r="R182" s="744"/>
      <c r="S182" s="584"/>
      <c r="T182" s="579"/>
    </row>
    <row r="183" spans="1:20" s="616" customFormat="1" x14ac:dyDescent="0.3">
      <c r="A183" s="685"/>
      <c r="B183" s="686" t="s">
        <v>74</v>
      </c>
      <c r="C183" s="686"/>
      <c r="D183" s="686"/>
      <c r="E183" s="686"/>
      <c r="F183" s="686"/>
      <c r="G183" s="686"/>
      <c r="H183" s="686"/>
      <c r="I183" s="686"/>
      <c r="J183" s="686"/>
      <c r="K183" s="686"/>
      <c r="L183" s="686"/>
      <c r="M183" s="686"/>
      <c r="N183" s="686"/>
      <c r="O183" s="686"/>
      <c r="P183" s="686"/>
      <c r="Q183" s="686"/>
      <c r="R183" s="735">
        <v>0</v>
      </c>
      <c r="S183" s="689"/>
      <c r="T183" s="615"/>
    </row>
    <row r="184" spans="1:20" s="616" customFormat="1" x14ac:dyDescent="0.3">
      <c r="A184" s="685"/>
      <c r="B184" s="686" t="s">
        <v>75</v>
      </c>
      <c r="C184" s="686"/>
      <c r="D184" s="686"/>
      <c r="E184" s="686"/>
      <c r="F184" s="686"/>
      <c r="G184" s="686"/>
      <c r="H184" s="686"/>
      <c r="I184" s="686"/>
      <c r="J184" s="686"/>
      <c r="K184" s="686"/>
      <c r="L184" s="686"/>
      <c r="M184" s="686"/>
      <c r="N184" s="686"/>
      <c r="O184" s="686"/>
      <c r="P184" s="686"/>
      <c r="Q184" s="686"/>
      <c r="R184" s="735">
        <v>0</v>
      </c>
      <c r="S184" s="689"/>
      <c r="T184" s="615"/>
    </row>
    <row r="185" spans="1:20" s="616" customFormat="1" x14ac:dyDescent="0.3">
      <c r="A185" s="685"/>
      <c r="B185" s="686" t="s">
        <v>76</v>
      </c>
      <c r="C185" s="686"/>
      <c r="D185" s="686"/>
      <c r="E185" s="686"/>
      <c r="F185" s="686"/>
      <c r="G185" s="686"/>
      <c r="H185" s="686"/>
      <c r="I185" s="686"/>
      <c r="J185" s="686"/>
      <c r="K185" s="686"/>
      <c r="L185" s="686"/>
      <c r="M185" s="686"/>
      <c r="N185" s="686"/>
      <c r="O185" s="686"/>
      <c r="P185" s="686"/>
      <c r="Q185" s="686"/>
      <c r="R185" s="735">
        <v>0</v>
      </c>
      <c r="S185" s="689"/>
      <c r="T185" s="615"/>
    </row>
    <row r="186" spans="1:20" s="616" customFormat="1" x14ac:dyDescent="0.3">
      <c r="A186" s="685"/>
      <c r="B186" s="686" t="s">
        <v>77</v>
      </c>
      <c r="C186" s="686"/>
      <c r="D186" s="686"/>
      <c r="E186" s="686"/>
      <c r="F186" s="686"/>
      <c r="G186" s="686"/>
      <c r="H186" s="686"/>
      <c r="I186" s="686"/>
      <c r="J186" s="686"/>
      <c r="K186" s="686"/>
      <c r="L186" s="686"/>
      <c r="M186" s="686"/>
      <c r="N186" s="686"/>
      <c r="O186" s="686"/>
      <c r="P186" s="686"/>
      <c r="Q186" s="686"/>
      <c r="R186" s="745">
        <v>0</v>
      </c>
      <c r="S186" s="689"/>
      <c r="T186" s="615"/>
    </row>
    <row r="187" spans="1:20" s="616" customFormat="1" x14ac:dyDescent="0.3">
      <c r="A187" s="685"/>
      <c r="B187" s="700"/>
      <c r="C187" s="700"/>
      <c r="D187" s="700"/>
      <c r="E187" s="700"/>
      <c r="F187" s="700"/>
      <c r="G187" s="700"/>
      <c r="H187" s="700"/>
      <c r="I187" s="700"/>
      <c r="J187" s="700"/>
      <c r="K187" s="700"/>
      <c r="L187" s="700"/>
      <c r="M187" s="700"/>
      <c r="N187" s="700"/>
      <c r="O187" s="700"/>
      <c r="P187" s="700"/>
      <c r="Q187" s="700"/>
      <c r="R187" s="700"/>
      <c r="S187" s="689"/>
      <c r="T187" s="615"/>
    </row>
    <row r="188" spans="1:20" s="616" customFormat="1" x14ac:dyDescent="0.3">
      <c r="A188" s="611"/>
      <c r="B188" s="661"/>
      <c r="C188" s="661"/>
      <c r="D188" s="661"/>
      <c r="E188" s="661"/>
      <c r="F188" s="661"/>
      <c r="G188" s="661"/>
      <c r="H188" s="661"/>
      <c r="I188" s="661"/>
      <c r="J188" s="661"/>
      <c r="K188" s="661"/>
      <c r="L188" s="661"/>
      <c r="M188" s="661"/>
      <c r="N188" s="661"/>
      <c r="O188" s="661"/>
      <c r="P188" s="661"/>
      <c r="Q188" s="661"/>
      <c r="R188" s="661"/>
      <c r="S188" s="734"/>
      <c r="T188" s="615"/>
    </row>
    <row r="189" spans="1:20" s="616" customFormat="1" x14ac:dyDescent="0.3">
      <c r="A189" s="611"/>
      <c r="B189" s="600"/>
      <c r="C189" s="600"/>
      <c r="D189" s="600"/>
      <c r="E189" s="600"/>
      <c r="F189" s="600"/>
      <c r="G189" s="600"/>
      <c r="H189" s="600"/>
      <c r="I189" s="600"/>
      <c r="J189" s="600"/>
      <c r="K189" s="600"/>
      <c r="L189" s="600"/>
      <c r="M189" s="600"/>
      <c r="N189" s="600"/>
      <c r="O189" s="600"/>
      <c r="P189" s="600"/>
      <c r="Q189" s="600"/>
      <c r="R189" s="600"/>
      <c r="S189" s="734"/>
      <c r="T189" s="615"/>
    </row>
    <row r="190" spans="1:20" s="616" customFormat="1" ht="18.600000000000001" thickBot="1" x14ac:dyDescent="0.4">
      <c r="A190" s="669"/>
      <c r="B190" s="670" t="str">
        <f>B133</f>
        <v>PM8 INVESTOR REPORT QUARTER ENDING DECEMBER 2017</v>
      </c>
      <c r="C190" s="671"/>
      <c r="D190" s="671"/>
      <c r="E190" s="671"/>
      <c r="F190" s="671"/>
      <c r="G190" s="671"/>
      <c r="H190" s="671"/>
      <c r="I190" s="671"/>
      <c r="J190" s="671"/>
      <c r="K190" s="671"/>
      <c r="L190" s="671"/>
      <c r="M190" s="671"/>
      <c r="N190" s="671"/>
      <c r="O190" s="671"/>
      <c r="P190" s="671"/>
      <c r="Q190" s="671"/>
      <c r="R190" s="671"/>
      <c r="S190" s="673"/>
      <c r="T190" s="615"/>
    </row>
    <row r="191" spans="1:20" x14ac:dyDescent="0.3">
      <c r="A191" s="726"/>
      <c r="B191" s="727" t="s">
        <v>78</v>
      </c>
      <c r="C191" s="746"/>
      <c r="D191" s="746"/>
      <c r="E191" s="746"/>
      <c r="F191" s="746"/>
      <c r="G191" s="747"/>
      <c r="H191" s="747"/>
      <c r="I191" s="747"/>
      <c r="J191" s="747"/>
      <c r="K191" s="747"/>
      <c r="L191" s="747"/>
      <c r="M191" s="747"/>
      <c r="N191" s="747"/>
      <c r="O191" s="747"/>
      <c r="P191" s="747">
        <v>43098</v>
      </c>
      <c r="Q191" s="728"/>
      <c r="R191" s="728"/>
      <c r="S191" s="728"/>
      <c r="T191" s="579"/>
    </row>
    <row r="192" spans="1:20" x14ac:dyDescent="0.3">
      <c r="A192" s="748"/>
      <c r="B192" s="749"/>
      <c r="C192" s="750"/>
      <c r="D192" s="750"/>
      <c r="E192" s="750"/>
      <c r="F192" s="750"/>
      <c r="G192" s="751"/>
      <c r="H192" s="751"/>
      <c r="I192" s="751"/>
      <c r="J192" s="751"/>
      <c r="K192" s="751"/>
      <c r="L192" s="751"/>
      <c r="M192" s="751"/>
      <c r="N192" s="751"/>
      <c r="O192" s="751"/>
      <c r="P192" s="751"/>
      <c r="Q192" s="583"/>
      <c r="R192" s="583"/>
      <c r="S192" s="584"/>
      <c r="T192" s="579"/>
    </row>
    <row r="193" spans="1:20" s="616" customFormat="1" x14ac:dyDescent="0.3">
      <c r="A193" s="685"/>
      <c r="B193" s="686" t="s">
        <v>79</v>
      </c>
      <c r="C193" s="752"/>
      <c r="D193" s="752"/>
      <c r="E193" s="752"/>
      <c r="F193" s="752"/>
      <c r="G193" s="753"/>
      <c r="H193" s="753"/>
      <c r="I193" s="753"/>
      <c r="J193" s="753"/>
      <c r="K193" s="753"/>
      <c r="L193" s="753"/>
      <c r="M193" s="753"/>
      <c r="N193" s="753"/>
      <c r="O193" s="753"/>
      <c r="P193" s="754">
        <v>6.2039999999999998E-2</v>
      </c>
      <c r="Q193" s="686"/>
      <c r="R193" s="700"/>
      <c r="S193" s="689"/>
      <c r="T193" s="615"/>
    </row>
    <row r="194" spans="1:20" s="616" customFormat="1" x14ac:dyDescent="0.3">
      <c r="A194" s="685"/>
      <c r="B194" s="686" t="s">
        <v>178</v>
      </c>
      <c r="C194" s="752"/>
      <c r="D194" s="752"/>
      <c r="E194" s="752"/>
      <c r="F194" s="752"/>
      <c r="G194" s="753"/>
      <c r="H194" s="753"/>
      <c r="I194" s="753"/>
      <c r="J194" s="753"/>
      <c r="K194" s="753"/>
      <c r="L194" s="753"/>
      <c r="M194" s="753"/>
      <c r="N194" s="753"/>
      <c r="O194" s="753"/>
      <c r="P194" s="754">
        <v>5.1733455000000005E-2</v>
      </c>
      <c r="Q194" s="686"/>
      <c r="R194" s="700"/>
      <c r="S194" s="689"/>
      <c r="T194" s="615"/>
    </row>
    <row r="195" spans="1:20" s="616" customFormat="1" x14ac:dyDescent="0.3">
      <c r="A195" s="685"/>
      <c r="B195" s="686" t="s">
        <v>80</v>
      </c>
      <c r="C195" s="752"/>
      <c r="D195" s="752"/>
      <c r="E195" s="752"/>
      <c r="F195" s="752"/>
      <c r="G195" s="753"/>
      <c r="H195" s="753"/>
      <c r="I195" s="753"/>
      <c r="J195" s="753"/>
      <c r="K195" s="753"/>
      <c r="L195" s="753"/>
      <c r="M195" s="753"/>
      <c r="N195" s="753"/>
      <c r="O195" s="753"/>
      <c r="P195" s="754">
        <f>P193-P194</f>
        <v>1.0306544999999993E-2</v>
      </c>
      <c r="Q195" s="686"/>
      <c r="R195" s="700"/>
      <c r="S195" s="689"/>
      <c r="T195" s="615"/>
    </row>
    <row r="196" spans="1:20" s="616" customFormat="1" x14ac:dyDescent="0.3">
      <c r="A196" s="685"/>
      <c r="B196" s="686" t="s">
        <v>81</v>
      </c>
      <c r="C196" s="752"/>
      <c r="D196" s="752"/>
      <c r="E196" s="752"/>
      <c r="F196" s="752"/>
      <c r="G196" s="753"/>
      <c r="H196" s="753"/>
      <c r="I196" s="753"/>
      <c r="J196" s="753"/>
      <c r="K196" s="753"/>
      <c r="L196" s="753"/>
      <c r="M196" s="753"/>
      <c r="N196" s="753"/>
      <c r="O196" s="753"/>
      <c r="P196" s="754">
        <v>0</v>
      </c>
      <c r="Q196" s="686"/>
      <c r="R196" s="700"/>
      <c r="S196" s="689"/>
      <c r="T196" s="615"/>
    </row>
    <row r="197" spans="1:20" s="616" customFormat="1" x14ac:dyDescent="0.3">
      <c r="A197" s="685"/>
      <c r="B197" s="686" t="s">
        <v>261</v>
      </c>
      <c r="C197" s="752"/>
      <c r="D197" s="752"/>
      <c r="E197" s="752"/>
      <c r="F197" s="752"/>
      <c r="G197" s="753"/>
      <c r="H197" s="753"/>
      <c r="I197" s="753"/>
      <c r="J197" s="753"/>
      <c r="K197" s="753"/>
      <c r="L197" s="753"/>
      <c r="M197" s="753"/>
      <c r="N197" s="753"/>
      <c r="O197" s="753"/>
      <c r="P197" s="754">
        <v>0</v>
      </c>
      <c r="Q197" s="686"/>
      <c r="R197" s="700"/>
      <c r="S197" s="689"/>
      <c r="T197" s="615"/>
    </row>
    <row r="198" spans="1:20" s="616" customFormat="1" x14ac:dyDescent="0.3">
      <c r="A198" s="685"/>
      <c r="B198" s="686" t="s">
        <v>82</v>
      </c>
      <c r="C198" s="752"/>
      <c r="D198" s="752"/>
      <c r="E198" s="752"/>
      <c r="F198" s="752"/>
      <c r="G198" s="753"/>
      <c r="H198" s="753"/>
      <c r="I198" s="753"/>
      <c r="J198" s="753"/>
      <c r="K198" s="753"/>
      <c r="L198" s="753"/>
      <c r="M198" s="753"/>
      <c r="N198" s="753"/>
      <c r="O198" s="753"/>
      <c r="P198" s="754">
        <f>P196-P197</f>
        <v>0</v>
      </c>
      <c r="Q198" s="686"/>
      <c r="R198" s="700"/>
      <c r="S198" s="689"/>
      <c r="T198" s="615"/>
    </row>
    <row r="199" spans="1:20" s="616" customFormat="1" x14ac:dyDescent="0.3">
      <c r="A199" s="685"/>
      <c r="B199" s="686" t="s">
        <v>267</v>
      </c>
      <c r="C199" s="752"/>
      <c r="D199" s="752"/>
      <c r="E199" s="752"/>
      <c r="F199" s="752"/>
      <c r="G199" s="753"/>
      <c r="H199" s="753"/>
      <c r="I199" s="753"/>
      <c r="J199" s="753"/>
      <c r="K199" s="753"/>
      <c r="L199" s="753"/>
      <c r="M199" s="753"/>
      <c r="N199" s="753"/>
      <c r="O199" s="753"/>
      <c r="P199" s="754">
        <v>0</v>
      </c>
      <c r="Q199" s="686"/>
      <c r="R199" s="700"/>
      <c r="S199" s="689"/>
      <c r="T199" s="615"/>
    </row>
    <row r="200" spans="1:20" s="616" customFormat="1" x14ac:dyDescent="0.3">
      <c r="A200" s="685"/>
      <c r="B200" s="686" t="s">
        <v>208</v>
      </c>
      <c r="C200" s="752"/>
      <c r="D200" s="752"/>
      <c r="E200" s="752"/>
      <c r="F200" s="752"/>
      <c r="G200" s="753"/>
      <c r="H200" s="753"/>
      <c r="I200" s="753"/>
      <c r="J200" s="753"/>
      <c r="K200" s="753"/>
      <c r="L200" s="753"/>
      <c r="M200" s="753"/>
      <c r="N200" s="753"/>
      <c r="O200" s="753"/>
      <c r="P200" s="755">
        <v>12875</v>
      </c>
      <c r="Q200" s="686"/>
      <c r="R200" s="700"/>
      <c r="S200" s="689"/>
      <c r="T200" s="615"/>
    </row>
    <row r="201" spans="1:20" s="616" customFormat="1" x14ac:dyDescent="0.3">
      <c r="A201" s="685"/>
      <c r="B201" s="686" t="s">
        <v>209</v>
      </c>
      <c r="C201" s="752"/>
      <c r="D201" s="752"/>
      <c r="E201" s="752"/>
      <c r="F201" s="752"/>
      <c r="G201" s="753"/>
      <c r="H201" s="753"/>
      <c r="I201" s="753"/>
      <c r="J201" s="753"/>
      <c r="K201" s="753"/>
      <c r="L201" s="753"/>
      <c r="M201" s="753"/>
      <c r="N201" s="753"/>
      <c r="O201" s="753"/>
      <c r="P201" s="755">
        <v>16163</v>
      </c>
      <c r="Q201" s="686"/>
      <c r="R201" s="700"/>
      <c r="S201" s="689"/>
      <c r="T201" s="615"/>
    </row>
    <row r="202" spans="1:20" s="616" customFormat="1" x14ac:dyDescent="0.3">
      <c r="A202" s="685"/>
      <c r="B202" s="686" t="s">
        <v>83</v>
      </c>
      <c r="C202" s="752"/>
      <c r="D202" s="752"/>
      <c r="E202" s="752"/>
      <c r="F202" s="752"/>
      <c r="G202" s="753"/>
      <c r="H202" s="753"/>
      <c r="I202" s="753"/>
      <c r="J202" s="753"/>
      <c r="K202" s="753"/>
      <c r="L202" s="753"/>
      <c r="M202" s="753"/>
      <c r="N202" s="753"/>
      <c r="O202" s="753"/>
      <c r="P202" s="756">
        <v>19.739999999999998</v>
      </c>
      <c r="Q202" s="686" t="s">
        <v>125</v>
      </c>
      <c r="R202" s="700"/>
      <c r="S202" s="689"/>
      <c r="T202" s="615"/>
    </row>
    <row r="203" spans="1:20" s="616" customFormat="1" x14ac:dyDescent="0.3">
      <c r="A203" s="685"/>
      <c r="B203" s="686" t="s">
        <v>84</v>
      </c>
      <c r="C203" s="752"/>
      <c r="D203" s="752"/>
      <c r="E203" s="752"/>
      <c r="F203" s="752"/>
      <c r="G203" s="753"/>
      <c r="H203" s="753"/>
      <c r="I203" s="753"/>
      <c r="J203" s="753"/>
      <c r="K203" s="753"/>
      <c r="L203" s="753"/>
      <c r="M203" s="753"/>
      <c r="N203" s="753"/>
      <c r="O203" s="753"/>
      <c r="P203" s="756">
        <v>0</v>
      </c>
      <c r="Q203" s="686" t="s">
        <v>125</v>
      </c>
      <c r="R203" s="700"/>
      <c r="S203" s="689"/>
      <c r="T203" s="615"/>
    </row>
    <row r="204" spans="1:20" s="616" customFormat="1" x14ac:dyDescent="0.3">
      <c r="A204" s="685"/>
      <c r="B204" s="686" t="s">
        <v>85</v>
      </c>
      <c r="C204" s="752"/>
      <c r="D204" s="752"/>
      <c r="E204" s="752"/>
      <c r="F204" s="752"/>
      <c r="G204" s="753"/>
      <c r="H204" s="753"/>
      <c r="I204" s="753"/>
      <c r="J204" s="753"/>
      <c r="K204" s="753"/>
      <c r="L204" s="753"/>
      <c r="M204" s="753"/>
      <c r="N204" s="753"/>
      <c r="O204" s="753"/>
      <c r="P204" s="754">
        <v>1</v>
      </c>
      <c r="Q204" s="686"/>
      <c r="R204" s="700"/>
      <c r="S204" s="689"/>
      <c r="T204" s="615"/>
    </row>
    <row r="205" spans="1:20" s="616" customFormat="1" x14ac:dyDescent="0.3">
      <c r="A205" s="685"/>
      <c r="B205" s="686" t="s">
        <v>86</v>
      </c>
      <c r="C205" s="752"/>
      <c r="D205" s="752"/>
      <c r="E205" s="752"/>
      <c r="F205" s="752"/>
      <c r="G205" s="753"/>
      <c r="H205" s="753"/>
      <c r="I205" s="753"/>
      <c r="J205" s="753"/>
      <c r="K205" s="753"/>
      <c r="L205" s="753"/>
      <c r="M205" s="753"/>
      <c r="N205" s="753"/>
      <c r="O205" s="753"/>
      <c r="P205" s="754">
        <v>1</v>
      </c>
      <c r="Q205" s="686"/>
      <c r="R205" s="700"/>
      <c r="S205" s="689"/>
      <c r="T205" s="615"/>
    </row>
    <row r="206" spans="1:20" s="616" customFormat="1" x14ac:dyDescent="0.3">
      <c r="A206" s="611"/>
      <c r="B206" s="661"/>
      <c r="C206" s="661"/>
      <c r="D206" s="661"/>
      <c r="E206" s="661"/>
      <c r="F206" s="661"/>
      <c r="G206" s="661"/>
      <c r="H206" s="661"/>
      <c r="I206" s="661"/>
      <c r="J206" s="661"/>
      <c r="K206" s="661"/>
      <c r="L206" s="661"/>
      <c r="M206" s="661"/>
      <c r="N206" s="661"/>
      <c r="O206" s="661"/>
      <c r="P206" s="733"/>
      <c r="Q206" s="661"/>
      <c r="R206" s="757"/>
      <c r="S206" s="734"/>
      <c r="T206" s="615"/>
    </row>
    <row r="207" spans="1:20" x14ac:dyDescent="0.3">
      <c r="A207" s="758"/>
      <c r="B207" s="701" t="s">
        <v>87</v>
      </c>
      <c r="C207" s="703"/>
      <c r="D207" s="703"/>
      <c r="E207" s="703"/>
      <c r="F207" s="759"/>
      <c r="G207" s="703"/>
      <c r="H207" s="703"/>
      <c r="I207" s="703"/>
      <c r="J207" s="703"/>
      <c r="K207" s="703"/>
      <c r="L207" s="703"/>
      <c r="M207" s="703"/>
      <c r="N207" s="703"/>
      <c r="O207" s="703" t="s">
        <v>113</v>
      </c>
      <c r="P207" s="759" t="s">
        <v>121</v>
      </c>
      <c r="Q207" s="760"/>
      <c r="R207" s="760"/>
      <c r="S207" s="705"/>
      <c r="T207" s="579"/>
    </row>
    <row r="208" spans="1:20" s="616" customFormat="1" x14ac:dyDescent="0.3">
      <c r="A208" s="761"/>
      <c r="B208" s="612" t="s">
        <v>88</v>
      </c>
      <c r="C208" s="706"/>
      <c r="D208" s="706"/>
      <c r="E208" s="706"/>
      <c r="F208" s="612"/>
      <c r="G208" s="612"/>
      <c r="H208" s="762"/>
      <c r="I208" s="762"/>
      <c r="J208" s="762"/>
      <c r="K208" s="762"/>
      <c r="L208" s="762"/>
      <c r="M208" s="762"/>
      <c r="N208" s="762"/>
      <c r="O208" s="762">
        <v>0</v>
      </c>
      <c r="P208" s="763">
        <v>0</v>
      </c>
      <c r="Q208" s="661"/>
      <c r="R208" s="757"/>
      <c r="S208" s="764"/>
      <c r="T208" s="615"/>
    </row>
    <row r="209" spans="1:20" s="616" customFormat="1" x14ac:dyDescent="0.3">
      <c r="A209" s="765"/>
      <c r="B209" s="686" t="s">
        <v>169</v>
      </c>
      <c r="C209" s="687"/>
      <c r="D209" s="687"/>
      <c r="E209" s="687"/>
      <c r="F209" s="686"/>
      <c r="G209" s="686"/>
      <c r="H209" s="766"/>
      <c r="I209" s="766"/>
      <c r="J209" s="766"/>
      <c r="K209" s="766"/>
      <c r="L209" s="766"/>
      <c r="M209" s="766"/>
      <c r="N209" s="766"/>
      <c r="O209" s="767">
        <f>+N259</f>
        <v>0</v>
      </c>
      <c r="P209" s="768">
        <f>+P259</f>
        <v>0</v>
      </c>
      <c r="Q209" s="700"/>
      <c r="R209" s="769"/>
      <c r="S209" s="770"/>
      <c r="T209" s="615"/>
    </row>
    <row r="210" spans="1:20" s="616" customFormat="1" x14ac:dyDescent="0.3">
      <c r="A210" s="765"/>
      <c r="B210" s="686" t="s">
        <v>89</v>
      </c>
      <c r="C210" s="687"/>
      <c r="D210" s="687"/>
      <c r="E210" s="687"/>
      <c r="F210" s="686"/>
      <c r="G210" s="686"/>
      <c r="H210" s="766"/>
      <c r="I210" s="766"/>
      <c r="J210" s="766"/>
      <c r="K210" s="766"/>
      <c r="L210" s="766"/>
      <c r="M210" s="766"/>
      <c r="N210" s="766"/>
      <c r="O210" s="767">
        <f>+N271</f>
        <v>0</v>
      </c>
      <c r="P210" s="768">
        <f>+P271</f>
        <v>0</v>
      </c>
      <c r="Q210" s="700"/>
      <c r="R210" s="769"/>
      <c r="S210" s="770"/>
      <c r="T210" s="615"/>
    </row>
    <row r="211" spans="1:20" x14ac:dyDescent="0.3">
      <c r="A211" s="771"/>
      <c r="B211" s="772" t="s">
        <v>90</v>
      </c>
      <c r="C211" s="773"/>
      <c r="D211" s="773"/>
      <c r="E211" s="773"/>
      <c r="F211" s="713"/>
      <c r="G211" s="713"/>
      <c r="H211" s="713"/>
      <c r="I211" s="713"/>
      <c r="J211" s="713"/>
      <c r="K211" s="713"/>
      <c r="L211" s="713"/>
      <c r="M211" s="713"/>
      <c r="N211" s="713"/>
      <c r="O211" s="713"/>
      <c r="P211" s="768">
        <v>0</v>
      </c>
      <c r="Q211" s="713"/>
      <c r="R211" s="774"/>
      <c r="S211" s="775"/>
      <c r="T211" s="579"/>
    </row>
    <row r="212" spans="1:20" x14ac:dyDescent="0.3">
      <c r="A212" s="771"/>
      <c r="B212" s="772" t="s">
        <v>91</v>
      </c>
      <c r="C212" s="773"/>
      <c r="D212" s="773"/>
      <c r="E212" s="773"/>
      <c r="F212" s="713"/>
      <c r="G212" s="713"/>
      <c r="H212" s="713"/>
      <c r="I212" s="713"/>
      <c r="J212" s="713"/>
      <c r="K212" s="713"/>
      <c r="L212" s="713"/>
      <c r="M212" s="713"/>
      <c r="N212" s="713"/>
      <c r="O212" s="713"/>
      <c r="P212" s="776" t="s">
        <v>122</v>
      </c>
      <c r="Q212" s="713"/>
      <c r="R212" s="774"/>
      <c r="S212" s="775"/>
      <c r="T212" s="579"/>
    </row>
    <row r="213" spans="1:20" x14ac:dyDescent="0.3">
      <c r="A213" s="777"/>
      <c r="B213" s="772" t="s">
        <v>92</v>
      </c>
      <c r="C213" s="778"/>
      <c r="D213" s="778"/>
      <c r="E213" s="778"/>
      <c r="F213" s="778"/>
      <c r="G213" s="713"/>
      <c r="H213" s="713"/>
      <c r="I213" s="713"/>
      <c r="J213" s="713"/>
      <c r="K213" s="713"/>
      <c r="L213" s="713"/>
      <c r="M213" s="713"/>
      <c r="N213" s="713"/>
      <c r="O213" s="713"/>
      <c r="P213" s="779"/>
      <c r="Q213" s="713"/>
      <c r="R213" s="774"/>
      <c r="S213" s="780"/>
      <c r="T213" s="579"/>
    </row>
    <row r="214" spans="1:20" s="616" customFormat="1" x14ac:dyDescent="0.3">
      <c r="A214" s="781"/>
      <c r="B214" s="686" t="s">
        <v>93</v>
      </c>
      <c r="C214" s="686"/>
      <c r="D214" s="686"/>
      <c r="E214" s="686"/>
      <c r="F214" s="686"/>
      <c r="G214" s="686"/>
      <c r="H214" s="686"/>
      <c r="I214" s="686"/>
      <c r="J214" s="686"/>
      <c r="K214" s="686"/>
      <c r="L214" s="686"/>
      <c r="M214" s="686"/>
      <c r="N214" s="686"/>
      <c r="O214" s="766"/>
      <c r="P214" s="768">
        <f>R161</f>
        <v>166</v>
      </c>
      <c r="Q214" s="700"/>
      <c r="R214" s="769"/>
      <c r="S214" s="782"/>
      <c r="T214" s="615"/>
    </row>
    <row r="215" spans="1:20" s="616" customFormat="1" x14ac:dyDescent="0.3">
      <c r="A215" s="765"/>
      <c r="B215" s="686" t="s">
        <v>94</v>
      </c>
      <c r="C215" s="687"/>
      <c r="D215" s="687"/>
      <c r="E215" s="687"/>
      <c r="F215" s="687"/>
      <c r="G215" s="686"/>
      <c r="H215" s="686"/>
      <c r="I215" s="686"/>
      <c r="J215" s="686"/>
      <c r="K215" s="686"/>
      <c r="L215" s="686"/>
      <c r="M215" s="686"/>
      <c r="N215" s="686"/>
      <c r="O215" s="766"/>
      <c r="P215" s="768">
        <f>'Sept 17'!P214+P214</f>
        <v>5714</v>
      </c>
      <c r="Q215" s="700"/>
      <c r="R215" s="769"/>
      <c r="S215" s="782"/>
      <c r="T215" s="615"/>
    </row>
    <row r="216" spans="1:20" x14ac:dyDescent="0.3">
      <c r="A216" s="777" t="s">
        <v>255</v>
      </c>
      <c r="B216" s="772" t="s">
        <v>256</v>
      </c>
      <c r="C216" s="778"/>
      <c r="D216" s="778"/>
      <c r="E216" s="778"/>
      <c r="F216" s="778"/>
      <c r="G216" s="713"/>
      <c r="H216" s="713"/>
      <c r="I216" s="713"/>
      <c r="J216" s="713"/>
      <c r="K216" s="713"/>
      <c r="L216" s="713"/>
      <c r="M216" s="713"/>
      <c r="N216" s="713"/>
      <c r="O216" s="713"/>
      <c r="P216" s="779"/>
      <c r="Q216" s="713"/>
      <c r="R216" s="774"/>
      <c r="S216" s="780"/>
      <c r="T216" s="579"/>
    </row>
    <row r="217" spans="1:20" s="616" customFormat="1" x14ac:dyDescent="0.3">
      <c r="A217" s="781"/>
      <c r="B217" s="686" t="s">
        <v>283</v>
      </c>
      <c r="C217" s="686"/>
      <c r="D217" s="686"/>
      <c r="E217" s="686"/>
      <c r="F217" s="686"/>
      <c r="G217" s="686"/>
      <c r="H217" s="686"/>
      <c r="I217" s="686"/>
      <c r="J217" s="686"/>
      <c r="K217" s="686"/>
      <c r="L217" s="686"/>
      <c r="M217" s="686"/>
      <c r="N217" s="686"/>
      <c r="O217" s="766">
        <v>0</v>
      </c>
      <c r="P217" s="768">
        <v>0</v>
      </c>
      <c r="Q217" s="700"/>
      <c r="R217" s="769"/>
      <c r="S217" s="782"/>
      <c r="T217" s="615"/>
    </row>
    <row r="218" spans="1:20" s="616" customFormat="1" x14ac:dyDescent="0.3">
      <c r="A218" s="765"/>
      <c r="B218" s="686" t="s">
        <v>97</v>
      </c>
      <c r="C218" s="708"/>
      <c r="D218" s="708"/>
      <c r="E218" s="708"/>
      <c r="F218" s="783"/>
      <c r="G218" s="686"/>
      <c r="H218" s="686"/>
      <c r="I218" s="686"/>
      <c r="J218" s="686"/>
      <c r="K218" s="686"/>
      <c r="L218" s="686"/>
      <c r="M218" s="686"/>
      <c r="N218" s="686"/>
      <c r="O218" s="766"/>
      <c r="P218" s="776">
        <v>0</v>
      </c>
      <c r="Q218" s="700"/>
      <c r="R218" s="769"/>
      <c r="S218" s="782"/>
      <c r="T218" s="615"/>
    </row>
    <row r="219" spans="1:20" s="616" customFormat="1" x14ac:dyDescent="0.3">
      <c r="A219" s="765"/>
      <c r="B219" s="686" t="s">
        <v>98</v>
      </c>
      <c r="C219" s="708"/>
      <c r="D219" s="708"/>
      <c r="E219" s="708"/>
      <c r="F219" s="783"/>
      <c r="G219" s="686"/>
      <c r="H219" s="686"/>
      <c r="I219" s="686"/>
      <c r="J219" s="686"/>
      <c r="K219" s="686"/>
      <c r="L219" s="686"/>
      <c r="M219" s="686"/>
      <c r="N219" s="686"/>
      <c r="O219" s="766"/>
      <c r="P219" s="776">
        <v>0</v>
      </c>
      <c r="Q219" s="700"/>
      <c r="R219" s="769"/>
      <c r="S219" s="782"/>
      <c r="T219" s="615"/>
    </row>
    <row r="220" spans="1:20" x14ac:dyDescent="0.3">
      <c r="A220" s="771"/>
      <c r="B220" s="772" t="s">
        <v>257</v>
      </c>
      <c r="C220" s="784"/>
      <c r="D220" s="784"/>
      <c r="E220" s="784"/>
      <c r="F220" s="785"/>
      <c r="G220" s="713"/>
      <c r="H220" s="713"/>
      <c r="I220" s="713"/>
      <c r="J220" s="713"/>
      <c r="K220" s="713"/>
      <c r="L220" s="713"/>
      <c r="M220" s="713"/>
      <c r="N220" s="713"/>
      <c r="O220" s="786"/>
      <c r="P220" s="787"/>
      <c r="Q220" s="713"/>
      <c r="R220" s="774"/>
      <c r="S220" s="780"/>
      <c r="T220" s="579"/>
    </row>
    <row r="221" spans="1:20" s="616" customFormat="1" x14ac:dyDescent="0.3">
      <c r="A221" s="765"/>
      <c r="B221" s="686" t="s">
        <v>283</v>
      </c>
      <c r="C221" s="708"/>
      <c r="D221" s="708"/>
      <c r="E221" s="708"/>
      <c r="F221" s="783"/>
      <c r="G221" s="686"/>
      <c r="H221" s="686"/>
      <c r="I221" s="686"/>
      <c r="J221" s="686"/>
      <c r="K221" s="686"/>
      <c r="L221" s="686"/>
      <c r="M221" s="686"/>
      <c r="N221" s="686"/>
      <c r="O221" s="766">
        <v>3</v>
      </c>
      <c r="P221" s="768">
        <v>265</v>
      </c>
      <c r="Q221" s="700"/>
      <c r="R221" s="769"/>
      <c r="S221" s="782"/>
      <c r="T221" s="615"/>
    </row>
    <row r="222" spans="1:20" s="616" customFormat="1" x14ac:dyDescent="0.3">
      <c r="A222" s="765"/>
      <c r="B222" s="686" t="s">
        <v>258</v>
      </c>
      <c r="C222" s="708"/>
      <c r="D222" s="708"/>
      <c r="E222" s="708"/>
      <c r="F222" s="783"/>
      <c r="G222" s="686"/>
      <c r="H222" s="686"/>
      <c r="I222" s="686"/>
      <c r="J222" s="686"/>
      <c r="K222" s="686"/>
      <c r="L222" s="686"/>
      <c r="M222" s="686"/>
      <c r="N222" s="686"/>
      <c r="O222" s="686"/>
      <c r="P222" s="788">
        <v>1.29</v>
      </c>
      <c r="Q222" s="700"/>
      <c r="R222" s="769"/>
      <c r="S222" s="782"/>
      <c r="T222" s="615"/>
    </row>
    <row r="223" spans="1:20" ht="18" x14ac:dyDescent="0.35">
      <c r="A223" s="771"/>
      <c r="B223" s="789" t="s">
        <v>247</v>
      </c>
      <c r="C223" s="784"/>
      <c r="D223" s="784"/>
      <c r="E223" s="784"/>
      <c r="F223" s="785"/>
      <c r="G223" s="713"/>
      <c r="H223" s="713"/>
      <c r="I223" s="713"/>
      <c r="J223" s="790"/>
      <c r="K223" s="790" t="s">
        <v>341</v>
      </c>
      <c r="L223" s="713"/>
      <c r="M223" s="713"/>
      <c r="N223" s="713"/>
      <c r="O223" s="713"/>
      <c r="P223" s="791"/>
      <c r="Q223" s="713"/>
      <c r="R223" s="774"/>
      <c r="S223" s="780"/>
      <c r="T223" s="579"/>
    </row>
    <row r="224" spans="1:20" ht="18" x14ac:dyDescent="0.35">
      <c r="A224" s="792"/>
      <c r="B224" s="793"/>
      <c r="C224" s="794"/>
      <c r="D224" s="794"/>
      <c r="E224" s="794"/>
      <c r="F224" s="795"/>
      <c r="G224" s="690"/>
      <c r="H224" s="690"/>
      <c r="I224" s="690"/>
      <c r="J224" s="796"/>
      <c r="K224" s="690"/>
      <c r="L224" s="690"/>
      <c r="M224" s="690"/>
      <c r="N224" s="690"/>
      <c r="O224" s="690"/>
      <c r="P224" s="797"/>
      <c r="Q224" s="690"/>
      <c r="R224" s="798"/>
      <c r="S224" s="799"/>
      <c r="T224" s="579"/>
    </row>
    <row r="225" spans="1:21" x14ac:dyDescent="0.3">
      <c r="A225" s="674"/>
      <c r="B225" s="701" t="s">
        <v>298</v>
      </c>
      <c r="C225" s="703"/>
      <c r="D225" s="703"/>
      <c r="E225" s="703"/>
      <c r="F225" s="759"/>
      <c r="G225" s="703"/>
      <c r="H225" s="703"/>
      <c r="I225" s="703"/>
      <c r="J225" s="703"/>
      <c r="K225" s="703"/>
      <c r="L225" s="703"/>
      <c r="M225" s="703"/>
      <c r="N225" s="759" t="s">
        <v>113</v>
      </c>
      <c r="O225" s="703" t="s">
        <v>114</v>
      </c>
      <c r="P225" s="759" t="s">
        <v>123</v>
      </c>
      <c r="Q225" s="703" t="s">
        <v>114</v>
      </c>
      <c r="R225" s="760"/>
      <c r="S225" s="800"/>
      <c r="T225" s="579"/>
    </row>
    <row r="226" spans="1:21" s="616" customFormat="1" x14ac:dyDescent="0.3">
      <c r="A226" s="611"/>
      <c r="B226" s="706" t="s">
        <v>99</v>
      </c>
      <c r="C226" s="801"/>
      <c r="D226" s="801"/>
      <c r="E226" s="801"/>
      <c r="F226" s="612"/>
      <c r="G226" s="801"/>
      <c r="H226" s="801"/>
      <c r="I226" s="801"/>
      <c r="J226" s="801"/>
      <c r="K226" s="801"/>
      <c r="L226" s="801"/>
      <c r="M226" s="801"/>
      <c r="N226" s="706">
        <f t="shared" ref="N226:N233" si="1">+N238+N250+N262</f>
        <v>0</v>
      </c>
      <c r="O226" s="802">
        <v>0</v>
      </c>
      <c r="P226" s="707">
        <f t="shared" ref="P226:P233" si="2">+P238+P250+P262</f>
        <v>0</v>
      </c>
      <c r="Q226" s="802">
        <v>0</v>
      </c>
      <c r="R226" s="757"/>
      <c r="S226" s="803"/>
      <c r="T226" s="615"/>
    </row>
    <row r="227" spans="1:21" s="616" customFormat="1" x14ac:dyDescent="0.3">
      <c r="A227" s="685"/>
      <c r="B227" s="687" t="s">
        <v>100</v>
      </c>
      <c r="C227" s="804"/>
      <c r="D227" s="804"/>
      <c r="E227" s="804"/>
      <c r="F227" s="686"/>
      <c r="G227" s="805"/>
      <c r="H227" s="804"/>
      <c r="I227" s="804"/>
      <c r="J227" s="804"/>
      <c r="K227" s="804"/>
      <c r="L227" s="804"/>
      <c r="M227" s="804"/>
      <c r="N227" s="687">
        <f t="shared" si="1"/>
        <v>0</v>
      </c>
      <c r="O227" s="805">
        <v>0</v>
      </c>
      <c r="P227" s="688">
        <f t="shared" si="2"/>
        <v>0</v>
      </c>
      <c r="Q227" s="805">
        <v>0</v>
      </c>
      <c r="R227" s="769"/>
      <c r="S227" s="782"/>
      <c r="T227" s="615"/>
      <c r="U227" s="718"/>
    </row>
    <row r="228" spans="1:21" s="616" customFormat="1" x14ac:dyDescent="0.3">
      <c r="A228" s="685"/>
      <c r="B228" s="687" t="s">
        <v>101</v>
      </c>
      <c r="C228" s="804"/>
      <c r="D228" s="804"/>
      <c r="E228" s="804"/>
      <c r="F228" s="686"/>
      <c r="G228" s="805"/>
      <c r="H228" s="804"/>
      <c r="I228" s="804"/>
      <c r="J228" s="804"/>
      <c r="K228" s="804"/>
      <c r="L228" s="804"/>
      <c r="M228" s="804"/>
      <c r="N228" s="687">
        <f t="shared" si="1"/>
        <v>0</v>
      </c>
      <c r="O228" s="805">
        <v>0</v>
      </c>
      <c r="P228" s="688">
        <f t="shared" si="2"/>
        <v>0</v>
      </c>
      <c r="Q228" s="805">
        <v>0</v>
      </c>
      <c r="R228" s="769"/>
      <c r="S228" s="782"/>
      <c r="T228" s="615"/>
    </row>
    <row r="229" spans="1:21" s="616" customFormat="1" x14ac:dyDescent="0.3">
      <c r="A229" s="685"/>
      <c r="B229" s="687" t="s">
        <v>210</v>
      </c>
      <c r="C229" s="804"/>
      <c r="D229" s="804"/>
      <c r="E229" s="804"/>
      <c r="F229" s="686"/>
      <c r="G229" s="805"/>
      <c r="H229" s="804"/>
      <c r="I229" s="804"/>
      <c r="J229" s="804"/>
      <c r="K229" s="804"/>
      <c r="L229" s="804"/>
      <c r="M229" s="804"/>
      <c r="N229" s="687">
        <f t="shared" si="1"/>
        <v>0</v>
      </c>
      <c r="O229" s="805">
        <v>0</v>
      </c>
      <c r="P229" s="688">
        <f t="shared" si="2"/>
        <v>0</v>
      </c>
      <c r="Q229" s="805">
        <v>0</v>
      </c>
      <c r="R229" s="769"/>
      <c r="S229" s="782"/>
      <c r="T229" s="615"/>
      <c r="U229" s="718"/>
    </row>
    <row r="230" spans="1:21" s="616" customFormat="1" x14ac:dyDescent="0.3">
      <c r="A230" s="685"/>
      <c r="B230" s="687" t="s">
        <v>211</v>
      </c>
      <c r="C230" s="804"/>
      <c r="D230" s="804"/>
      <c r="E230" s="804"/>
      <c r="F230" s="686"/>
      <c r="G230" s="805"/>
      <c r="H230" s="804"/>
      <c r="I230" s="804"/>
      <c r="J230" s="804"/>
      <c r="K230" s="804"/>
      <c r="L230" s="804"/>
      <c r="M230" s="804"/>
      <c r="N230" s="687">
        <f t="shared" si="1"/>
        <v>0</v>
      </c>
      <c r="O230" s="805">
        <v>0</v>
      </c>
      <c r="P230" s="688">
        <f t="shared" si="2"/>
        <v>0</v>
      </c>
      <c r="Q230" s="805">
        <v>0</v>
      </c>
      <c r="R230" s="769"/>
      <c r="S230" s="782"/>
      <c r="T230" s="615"/>
    </row>
    <row r="231" spans="1:21" s="616" customFormat="1" x14ac:dyDescent="0.3">
      <c r="A231" s="685"/>
      <c r="B231" s="687" t="s">
        <v>212</v>
      </c>
      <c r="C231" s="804"/>
      <c r="D231" s="804"/>
      <c r="E231" s="804"/>
      <c r="F231" s="686"/>
      <c r="G231" s="805"/>
      <c r="H231" s="804"/>
      <c r="I231" s="804"/>
      <c r="J231" s="804"/>
      <c r="K231" s="804"/>
      <c r="L231" s="804"/>
      <c r="M231" s="804"/>
      <c r="N231" s="687">
        <f t="shared" si="1"/>
        <v>0</v>
      </c>
      <c r="O231" s="805">
        <v>0</v>
      </c>
      <c r="P231" s="688">
        <f t="shared" si="2"/>
        <v>0</v>
      </c>
      <c r="Q231" s="805">
        <v>0</v>
      </c>
      <c r="R231" s="769"/>
      <c r="S231" s="782"/>
      <c r="T231" s="615"/>
      <c r="U231" s="718"/>
    </row>
    <row r="232" spans="1:21" s="616" customFormat="1" x14ac:dyDescent="0.3">
      <c r="A232" s="685"/>
      <c r="B232" s="687" t="s">
        <v>213</v>
      </c>
      <c r="C232" s="804"/>
      <c r="D232" s="804"/>
      <c r="E232" s="804"/>
      <c r="F232" s="686"/>
      <c r="G232" s="805"/>
      <c r="H232" s="804"/>
      <c r="I232" s="804"/>
      <c r="J232" s="804"/>
      <c r="K232" s="804"/>
      <c r="L232" s="804"/>
      <c r="M232" s="804"/>
      <c r="N232" s="687">
        <f t="shared" si="1"/>
        <v>0</v>
      </c>
      <c r="O232" s="805">
        <v>0</v>
      </c>
      <c r="P232" s="688">
        <f t="shared" si="2"/>
        <v>0</v>
      </c>
      <c r="Q232" s="805">
        <v>0</v>
      </c>
      <c r="R232" s="769"/>
      <c r="S232" s="782"/>
      <c r="T232" s="615"/>
    </row>
    <row r="233" spans="1:21" s="616" customFormat="1" x14ac:dyDescent="0.3">
      <c r="A233" s="685"/>
      <c r="B233" s="687" t="s">
        <v>214</v>
      </c>
      <c r="C233" s="804"/>
      <c r="D233" s="804"/>
      <c r="E233" s="804"/>
      <c r="F233" s="686"/>
      <c r="G233" s="805"/>
      <c r="H233" s="804"/>
      <c r="I233" s="804"/>
      <c r="J233" s="804"/>
      <c r="K233" s="804"/>
      <c r="L233" s="804"/>
      <c r="M233" s="804"/>
      <c r="N233" s="706">
        <f t="shared" si="1"/>
        <v>0</v>
      </c>
      <c r="O233" s="802">
        <v>0</v>
      </c>
      <c r="P233" s="707">
        <f t="shared" si="2"/>
        <v>0</v>
      </c>
      <c r="Q233" s="802">
        <v>0</v>
      </c>
      <c r="R233" s="769"/>
      <c r="S233" s="782"/>
      <c r="T233" s="615"/>
      <c r="U233" s="718"/>
    </row>
    <row r="234" spans="1:21" s="616" customFormat="1" x14ac:dyDescent="0.3">
      <c r="A234" s="685"/>
      <c r="B234" s="686"/>
      <c r="C234" s="804"/>
      <c r="D234" s="804"/>
      <c r="E234" s="804"/>
      <c r="F234" s="686"/>
      <c r="G234" s="805"/>
      <c r="H234" s="804"/>
      <c r="I234" s="804"/>
      <c r="J234" s="804"/>
      <c r="K234" s="804"/>
      <c r="L234" s="804"/>
      <c r="M234" s="804"/>
      <c r="N234" s="687"/>
      <c r="O234" s="805"/>
      <c r="P234" s="688"/>
      <c r="Q234" s="805"/>
      <c r="R234" s="769"/>
      <c r="S234" s="782"/>
      <c r="T234" s="615"/>
    </row>
    <row r="235" spans="1:21" s="616" customFormat="1" x14ac:dyDescent="0.3">
      <c r="A235" s="685"/>
      <c r="B235" s="686" t="s">
        <v>129</v>
      </c>
      <c r="C235" s="686"/>
      <c r="D235" s="686"/>
      <c r="E235" s="686"/>
      <c r="F235" s="686"/>
      <c r="G235" s="686"/>
      <c r="H235" s="806"/>
      <c r="I235" s="806"/>
      <c r="J235" s="806"/>
      <c r="K235" s="806"/>
      <c r="L235" s="806"/>
      <c r="M235" s="806"/>
      <c r="N235" s="687">
        <f>SUM(N226:N234)</f>
        <v>0</v>
      </c>
      <c r="O235" s="805">
        <f>SUM(O226:O234)</f>
        <v>0</v>
      </c>
      <c r="P235" s="688">
        <f>SUM(P226:P234)</f>
        <v>0</v>
      </c>
      <c r="Q235" s="805">
        <f>SUM(Q226:Q234)</f>
        <v>0</v>
      </c>
      <c r="R235" s="700"/>
      <c r="S235" s="689"/>
      <c r="T235" s="615"/>
    </row>
    <row r="236" spans="1:21" ht="18" x14ac:dyDescent="0.35">
      <c r="A236" s="792"/>
      <c r="B236" s="793"/>
      <c r="C236" s="794"/>
      <c r="D236" s="794"/>
      <c r="E236" s="794"/>
      <c r="F236" s="795"/>
      <c r="G236" s="690"/>
      <c r="H236" s="690"/>
      <c r="I236" s="690"/>
      <c r="J236" s="796"/>
      <c r="K236" s="690"/>
      <c r="L236" s="690"/>
      <c r="M236" s="690"/>
      <c r="N236" s="690"/>
      <c r="O236" s="690"/>
      <c r="P236" s="797"/>
      <c r="Q236" s="690"/>
      <c r="R236" s="798"/>
      <c r="S236" s="799"/>
      <c r="T236" s="579"/>
    </row>
    <row r="237" spans="1:21" x14ac:dyDescent="0.3">
      <c r="A237" s="674"/>
      <c r="B237" s="701" t="s">
        <v>236</v>
      </c>
      <c r="C237" s="703"/>
      <c r="D237" s="703"/>
      <c r="E237" s="703"/>
      <c r="F237" s="759"/>
      <c r="G237" s="703"/>
      <c r="H237" s="703"/>
      <c r="I237" s="703"/>
      <c r="J237" s="703"/>
      <c r="K237" s="703"/>
      <c r="L237" s="703"/>
      <c r="M237" s="703"/>
      <c r="N237" s="759" t="s">
        <v>113</v>
      </c>
      <c r="O237" s="703" t="s">
        <v>114</v>
      </c>
      <c r="P237" s="759" t="s">
        <v>123</v>
      </c>
      <c r="Q237" s="703" t="s">
        <v>114</v>
      </c>
      <c r="R237" s="760"/>
      <c r="S237" s="800"/>
      <c r="T237" s="579"/>
    </row>
    <row r="238" spans="1:21" s="616" customFormat="1" x14ac:dyDescent="0.3">
      <c r="A238" s="611"/>
      <c r="B238" s="706" t="s">
        <v>99</v>
      </c>
      <c r="C238" s="801"/>
      <c r="D238" s="801"/>
      <c r="E238" s="801"/>
      <c r="F238" s="612"/>
      <c r="G238" s="801"/>
      <c r="H238" s="801"/>
      <c r="I238" s="801"/>
      <c r="J238" s="801"/>
      <c r="K238" s="801"/>
      <c r="L238" s="801"/>
      <c r="M238" s="801"/>
      <c r="N238" s="706">
        <v>0</v>
      </c>
      <c r="O238" s="802">
        <v>0</v>
      </c>
      <c r="P238" s="707">
        <v>0</v>
      </c>
      <c r="Q238" s="802">
        <v>0</v>
      </c>
      <c r="R238" s="757"/>
      <c r="S238" s="803"/>
      <c r="T238" s="615"/>
    </row>
    <row r="239" spans="1:21" s="616" customFormat="1" x14ac:dyDescent="0.3">
      <c r="A239" s="685"/>
      <c r="B239" s="687" t="s">
        <v>100</v>
      </c>
      <c r="C239" s="804"/>
      <c r="D239" s="804"/>
      <c r="E239" s="804"/>
      <c r="F239" s="686"/>
      <c r="G239" s="805"/>
      <c r="H239" s="804"/>
      <c r="I239" s="804"/>
      <c r="J239" s="804"/>
      <c r="K239" s="804"/>
      <c r="L239" s="804"/>
      <c r="M239" s="804"/>
      <c r="N239" s="687">
        <v>0</v>
      </c>
      <c r="O239" s="805">
        <v>0</v>
      </c>
      <c r="P239" s="688">
        <v>0</v>
      </c>
      <c r="Q239" s="805">
        <v>0</v>
      </c>
      <c r="R239" s="769"/>
      <c r="S239" s="782"/>
      <c r="T239" s="615"/>
      <c r="U239" s="718"/>
    </row>
    <row r="240" spans="1:21" s="616" customFormat="1" x14ac:dyDescent="0.3">
      <c r="A240" s="685"/>
      <c r="B240" s="687" t="s">
        <v>101</v>
      </c>
      <c r="C240" s="804"/>
      <c r="D240" s="804"/>
      <c r="E240" s="804"/>
      <c r="F240" s="686"/>
      <c r="G240" s="805"/>
      <c r="H240" s="804"/>
      <c r="I240" s="804"/>
      <c r="J240" s="804"/>
      <c r="K240" s="804"/>
      <c r="L240" s="804"/>
      <c r="M240" s="804"/>
      <c r="N240" s="687">
        <v>0</v>
      </c>
      <c r="O240" s="805">
        <v>0</v>
      </c>
      <c r="P240" s="688">
        <v>0</v>
      </c>
      <c r="Q240" s="805">
        <v>0</v>
      </c>
      <c r="R240" s="769"/>
      <c r="S240" s="782"/>
      <c r="T240" s="615"/>
    </row>
    <row r="241" spans="1:21" s="616" customFormat="1" x14ac:dyDescent="0.3">
      <c r="A241" s="685"/>
      <c r="B241" s="687" t="s">
        <v>210</v>
      </c>
      <c r="C241" s="804"/>
      <c r="D241" s="804"/>
      <c r="E241" s="804"/>
      <c r="F241" s="686"/>
      <c r="G241" s="805"/>
      <c r="H241" s="804"/>
      <c r="I241" s="804"/>
      <c r="J241" s="804"/>
      <c r="K241" s="804"/>
      <c r="L241" s="804"/>
      <c r="M241" s="804"/>
      <c r="N241" s="687">
        <v>0</v>
      </c>
      <c r="O241" s="805">
        <v>0</v>
      </c>
      <c r="P241" s="688">
        <v>0</v>
      </c>
      <c r="Q241" s="805">
        <v>0</v>
      </c>
      <c r="R241" s="769"/>
      <c r="S241" s="782"/>
      <c r="T241" s="615"/>
      <c r="U241" s="718"/>
    </row>
    <row r="242" spans="1:21" s="616" customFormat="1" x14ac:dyDescent="0.3">
      <c r="A242" s="685"/>
      <c r="B242" s="687" t="s">
        <v>211</v>
      </c>
      <c r="C242" s="804"/>
      <c r="D242" s="804"/>
      <c r="E242" s="804"/>
      <c r="F242" s="686"/>
      <c r="G242" s="805"/>
      <c r="H242" s="804"/>
      <c r="I242" s="804"/>
      <c r="J242" s="804"/>
      <c r="K242" s="804"/>
      <c r="L242" s="804"/>
      <c r="M242" s="804"/>
      <c r="N242" s="687">
        <v>0</v>
      </c>
      <c r="O242" s="805">
        <v>0</v>
      </c>
      <c r="P242" s="688">
        <v>0</v>
      </c>
      <c r="Q242" s="805">
        <v>0</v>
      </c>
      <c r="R242" s="769"/>
      <c r="S242" s="782"/>
      <c r="T242" s="615"/>
    </row>
    <row r="243" spans="1:21" s="616" customFormat="1" x14ac:dyDescent="0.3">
      <c r="A243" s="685"/>
      <c r="B243" s="687" t="s">
        <v>212</v>
      </c>
      <c r="C243" s="804"/>
      <c r="D243" s="804"/>
      <c r="E243" s="804"/>
      <c r="F243" s="686"/>
      <c r="G243" s="805"/>
      <c r="H243" s="804"/>
      <c r="I243" s="804"/>
      <c r="J243" s="804"/>
      <c r="K243" s="804"/>
      <c r="L243" s="804"/>
      <c r="M243" s="804"/>
      <c r="N243" s="687">
        <v>0</v>
      </c>
      <c r="O243" s="805">
        <v>0</v>
      </c>
      <c r="P243" s="688">
        <v>0</v>
      </c>
      <c r="Q243" s="805">
        <v>0</v>
      </c>
      <c r="R243" s="769"/>
      <c r="S243" s="782"/>
      <c r="T243" s="615"/>
      <c r="U243" s="718"/>
    </row>
    <row r="244" spans="1:21" s="616" customFormat="1" x14ac:dyDescent="0.3">
      <c r="A244" s="685"/>
      <c r="B244" s="687" t="s">
        <v>213</v>
      </c>
      <c r="C244" s="804"/>
      <c r="D244" s="804"/>
      <c r="E244" s="804"/>
      <c r="F244" s="686"/>
      <c r="G244" s="805"/>
      <c r="H244" s="804"/>
      <c r="I244" s="804"/>
      <c r="J244" s="804"/>
      <c r="K244" s="804"/>
      <c r="L244" s="804"/>
      <c r="M244" s="804"/>
      <c r="N244" s="687">
        <v>0</v>
      </c>
      <c r="O244" s="805">
        <v>0</v>
      </c>
      <c r="P244" s="688">
        <v>0</v>
      </c>
      <c r="Q244" s="805">
        <v>0</v>
      </c>
      <c r="R244" s="769"/>
      <c r="S244" s="782"/>
      <c r="T244" s="615"/>
    </row>
    <row r="245" spans="1:21" s="616" customFormat="1" x14ac:dyDescent="0.3">
      <c r="A245" s="685"/>
      <c r="B245" s="687" t="s">
        <v>214</v>
      </c>
      <c r="C245" s="804"/>
      <c r="D245" s="804"/>
      <c r="E245" s="804"/>
      <c r="F245" s="686"/>
      <c r="G245" s="805"/>
      <c r="H245" s="804"/>
      <c r="I245" s="804"/>
      <c r="J245" s="804"/>
      <c r="K245" s="804"/>
      <c r="L245" s="804"/>
      <c r="M245" s="804"/>
      <c r="N245" s="687">
        <v>0</v>
      </c>
      <c r="O245" s="805">
        <v>0</v>
      </c>
      <c r="P245" s="688">
        <v>0</v>
      </c>
      <c r="Q245" s="805">
        <v>0</v>
      </c>
      <c r="R245" s="769"/>
      <c r="S245" s="782"/>
      <c r="T245" s="615"/>
      <c r="U245" s="718"/>
    </row>
    <row r="246" spans="1:21" s="616" customFormat="1" x14ac:dyDescent="0.3">
      <c r="A246" s="685"/>
      <c r="B246" s="686"/>
      <c r="C246" s="804"/>
      <c r="D246" s="804"/>
      <c r="E246" s="804"/>
      <c r="F246" s="686"/>
      <c r="G246" s="805"/>
      <c r="H246" s="804"/>
      <c r="I246" s="804"/>
      <c r="J246" s="804"/>
      <c r="K246" s="804"/>
      <c r="L246" s="804"/>
      <c r="M246" s="804"/>
      <c r="N246" s="687"/>
      <c r="O246" s="805"/>
      <c r="P246" s="688"/>
      <c r="Q246" s="805"/>
      <c r="R246" s="769"/>
      <c r="S246" s="782"/>
      <c r="T246" s="615"/>
    </row>
    <row r="247" spans="1:21" s="616" customFormat="1" x14ac:dyDescent="0.3">
      <c r="A247" s="685"/>
      <c r="B247" s="686" t="s">
        <v>129</v>
      </c>
      <c r="C247" s="686"/>
      <c r="D247" s="686"/>
      <c r="E247" s="686"/>
      <c r="F247" s="686"/>
      <c r="G247" s="686"/>
      <c r="H247" s="806"/>
      <c r="I247" s="806"/>
      <c r="J247" s="806"/>
      <c r="K247" s="806"/>
      <c r="L247" s="806"/>
      <c r="M247" s="806"/>
      <c r="N247" s="687">
        <f>SUM(N238:N246)</f>
        <v>0</v>
      </c>
      <c r="O247" s="805">
        <f>SUM(O238:O246)</f>
        <v>0</v>
      </c>
      <c r="P247" s="688">
        <f>SUM(P238:P246)</f>
        <v>0</v>
      </c>
      <c r="Q247" s="805">
        <f>SUM(Q238:Q246)</f>
        <v>0</v>
      </c>
      <c r="R247" s="700"/>
      <c r="S247" s="689"/>
      <c r="T247" s="615"/>
    </row>
    <row r="248" spans="1:21" x14ac:dyDescent="0.3">
      <c r="A248" s="581"/>
      <c r="B248" s="690"/>
      <c r="C248" s="690"/>
      <c r="D248" s="690"/>
      <c r="E248" s="690"/>
      <c r="F248" s="690"/>
      <c r="G248" s="690"/>
      <c r="H248" s="807"/>
      <c r="I248" s="807"/>
      <c r="J248" s="807"/>
      <c r="K248" s="807"/>
      <c r="L248" s="807"/>
      <c r="M248" s="807"/>
      <c r="N248" s="691"/>
      <c r="O248" s="808"/>
      <c r="P248" s="809"/>
      <c r="Q248" s="808"/>
      <c r="R248" s="690"/>
      <c r="S248" s="584"/>
      <c r="T248" s="579"/>
    </row>
    <row r="249" spans="1:21" x14ac:dyDescent="0.3">
      <c r="A249" s="674"/>
      <c r="B249" s="701" t="s">
        <v>241</v>
      </c>
      <c r="C249" s="703"/>
      <c r="D249" s="703"/>
      <c r="E249" s="703"/>
      <c r="F249" s="759"/>
      <c r="G249" s="703"/>
      <c r="H249" s="703"/>
      <c r="I249" s="703"/>
      <c r="J249" s="703"/>
      <c r="K249" s="703"/>
      <c r="L249" s="703"/>
      <c r="M249" s="703"/>
      <c r="N249" s="759" t="s">
        <v>113</v>
      </c>
      <c r="O249" s="703" t="s">
        <v>114</v>
      </c>
      <c r="P249" s="759" t="s">
        <v>123</v>
      </c>
      <c r="Q249" s="703" t="s">
        <v>114</v>
      </c>
      <c r="R249" s="760"/>
      <c r="S249" s="705"/>
      <c r="T249" s="579"/>
    </row>
    <row r="250" spans="1:21" s="616" customFormat="1" x14ac:dyDescent="0.3">
      <c r="A250" s="611"/>
      <c r="B250" s="706" t="s">
        <v>99</v>
      </c>
      <c r="C250" s="801"/>
      <c r="D250" s="801"/>
      <c r="E250" s="801"/>
      <c r="F250" s="612"/>
      <c r="G250" s="801"/>
      <c r="H250" s="801"/>
      <c r="I250" s="801"/>
      <c r="J250" s="801"/>
      <c r="K250" s="801"/>
      <c r="L250" s="801"/>
      <c r="M250" s="801"/>
      <c r="N250" s="706">
        <v>0</v>
      </c>
      <c r="O250" s="802">
        <v>0</v>
      </c>
      <c r="P250" s="707">
        <v>0</v>
      </c>
      <c r="Q250" s="802">
        <v>0</v>
      </c>
      <c r="R250" s="661"/>
      <c r="S250" s="734"/>
      <c r="T250" s="615"/>
    </row>
    <row r="251" spans="1:21" s="616" customFormat="1" x14ac:dyDescent="0.3">
      <c r="A251" s="685"/>
      <c r="B251" s="687" t="s">
        <v>100</v>
      </c>
      <c r="C251" s="804"/>
      <c r="D251" s="804"/>
      <c r="E251" s="804"/>
      <c r="F251" s="686"/>
      <c r="G251" s="805"/>
      <c r="H251" s="804"/>
      <c r="I251" s="804"/>
      <c r="J251" s="804"/>
      <c r="K251" s="804"/>
      <c r="L251" s="804"/>
      <c r="M251" s="804"/>
      <c r="N251" s="687">
        <v>0</v>
      </c>
      <c r="O251" s="805">
        <v>0</v>
      </c>
      <c r="P251" s="688">
        <v>0</v>
      </c>
      <c r="Q251" s="805">
        <v>0</v>
      </c>
      <c r="R251" s="700"/>
      <c r="S251" s="689"/>
      <c r="T251" s="615"/>
    </row>
    <row r="252" spans="1:21" s="616" customFormat="1" x14ac:dyDescent="0.3">
      <c r="A252" s="685"/>
      <c r="B252" s="687" t="s">
        <v>101</v>
      </c>
      <c r="C252" s="804"/>
      <c r="D252" s="804"/>
      <c r="E252" s="804"/>
      <c r="F252" s="686"/>
      <c r="G252" s="805"/>
      <c r="H252" s="804"/>
      <c r="I252" s="804"/>
      <c r="J252" s="804"/>
      <c r="K252" s="804"/>
      <c r="L252" s="804"/>
      <c r="M252" s="804"/>
      <c r="N252" s="687">
        <v>0</v>
      </c>
      <c r="O252" s="805">
        <v>0</v>
      </c>
      <c r="P252" s="688">
        <v>0</v>
      </c>
      <c r="Q252" s="805">
        <v>0</v>
      </c>
      <c r="R252" s="700"/>
      <c r="S252" s="689"/>
      <c r="T252" s="615"/>
    </row>
    <row r="253" spans="1:21" s="616" customFormat="1" x14ac:dyDescent="0.3">
      <c r="A253" s="685"/>
      <c r="B253" s="687" t="s">
        <v>210</v>
      </c>
      <c r="C253" s="804"/>
      <c r="D253" s="804"/>
      <c r="E253" s="804"/>
      <c r="F253" s="686"/>
      <c r="G253" s="805"/>
      <c r="H253" s="804"/>
      <c r="I253" s="804"/>
      <c r="J253" s="804"/>
      <c r="K253" s="804"/>
      <c r="L253" s="804"/>
      <c r="M253" s="804"/>
      <c r="N253" s="687">
        <v>0</v>
      </c>
      <c r="O253" s="805">
        <v>0</v>
      </c>
      <c r="P253" s="688">
        <v>0</v>
      </c>
      <c r="Q253" s="805">
        <v>0</v>
      </c>
      <c r="R253" s="700"/>
      <c r="S253" s="689"/>
      <c r="T253" s="615"/>
    </row>
    <row r="254" spans="1:21" s="616" customFormat="1" x14ac:dyDescent="0.3">
      <c r="A254" s="685"/>
      <c r="B254" s="687" t="s">
        <v>211</v>
      </c>
      <c r="C254" s="804"/>
      <c r="D254" s="804"/>
      <c r="E254" s="804"/>
      <c r="F254" s="686"/>
      <c r="G254" s="805"/>
      <c r="H254" s="804"/>
      <c r="I254" s="804"/>
      <c r="J254" s="804"/>
      <c r="K254" s="804"/>
      <c r="L254" s="804"/>
      <c r="M254" s="804"/>
      <c r="N254" s="687">
        <v>0</v>
      </c>
      <c r="O254" s="805">
        <v>0</v>
      </c>
      <c r="P254" s="688">
        <v>0</v>
      </c>
      <c r="Q254" s="805">
        <v>0</v>
      </c>
      <c r="R254" s="700"/>
      <c r="S254" s="689"/>
      <c r="T254" s="615"/>
    </row>
    <row r="255" spans="1:21" s="616" customFormat="1" x14ac:dyDescent="0.3">
      <c r="A255" s="685"/>
      <c r="B255" s="687" t="s">
        <v>212</v>
      </c>
      <c r="C255" s="804"/>
      <c r="D255" s="804"/>
      <c r="E255" s="804"/>
      <c r="F255" s="686"/>
      <c r="G255" s="805"/>
      <c r="H255" s="804"/>
      <c r="I255" s="804"/>
      <c r="J255" s="804"/>
      <c r="K255" s="804"/>
      <c r="L255" s="804"/>
      <c r="M255" s="804"/>
      <c r="N255" s="687">
        <v>0</v>
      </c>
      <c r="O255" s="805">
        <v>0</v>
      </c>
      <c r="P255" s="688">
        <v>0</v>
      </c>
      <c r="Q255" s="805">
        <v>0</v>
      </c>
      <c r="R255" s="700"/>
      <c r="S255" s="689"/>
      <c r="T255" s="615"/>
    </row>
    <row r="256" spans="1:21" s="616" customFormat="1" x14ac:dyDescent="0.3">
      <c r="A256" s="685"/>
      <c r="B256" s="687" t="s">
        <v>213</v>
      </c>
      <c r="C256" s="804"/>
      <c r="D256" s="804"/>
      <c r="E256" s="804"/>
      <c r="F256" s="686"/>
      <c r="G256" s="805"/>
      <c r="H256" s="804"/>
      <c r="I256" s="804"/>
      <c r="J256" s="804"/>
      <c r="K256" s="804"/>
      <c r="L256" s="804"/>
      <c r="M256" s="804"/>
      <c r="N256" s="687">
        <v>0</v>
      </c>
      <c r="O256" s="805">
        <v>0</v>
      </c>
      <c r="P256" s="688">
        <v>0</v>
      </c>
      <c r="Q256" s="805">
        <v>0</v>
      </c>
      <c r="R256" s="700"/>
      <c r="S256" s="689"/>
      <c r="T256" s="615"/>
    </row>
    <row r="257" spans="1:20" s="616" customFormat="1" x14ac:dyDescent="0.3">
      <c r="A257" s="685"/>
      <c r="B257" s="687" t="s">
        <v>214</v>
      </c>
      <c r="C257" s="804"/>
      <c r="D257" s="804"/>
      <c r="E257" s="804"/>
      <c r="F257" s="686"/>
      <c r="G257" s="805"/>
      <c r="H257" s="804"/>
      <c r="I257" s="804"/>
      <c r="J257" s="804"/>
      <c r="K257" s="804"/>
      <c r="L257" s="804"/>
      <c r="M257" s="804"/>
      <c r="N257" s="687">
        <v>0</v>
      </c>
      <c r="O257" s="805">
        <v>0</v>
      </c>
      <c r="P257" s="688">
        <v>0</v>
      </c>
      <c r="Q257" s="805">
        <v>0</v>
      </c>
      <c r="R257" s="700"/>
      <c r="S257" s="689"/>
      <c r="T257" s="615"/>
    </row>
    <row r="258" spans="1:20" s="616" customFormat="1" x14ac:dyDescent="0.3">
      <c r="A258" s="685"/>
      <c r="B258" s="686"/>
      <c r="C258" s="804"/>
      <c r="D258" s="804"/>
      <c r="E258" s="804"/>
      <c r="F258" s="686"/>
      <c r="G258" s="805"/>
      <c r="H258" s="804"/>
      <c r="I258" s="804"/>
      <c r="J258" s="804"/>
      <c r="K258" s="804"/>
      <c r="L258" s="804"/>
      <c r="M258" s="804"/>
      <c r="N258" s="687"/>
      <c r="O258" s="805"/>
      <c r="P258" s="688"/>
      <c r="Q258" s="805"/>
      <c r="R258" s="700"/>
      <c r="S258" s="689"/>
      <c r="T258" s="615"/>
    </row>
    <row r="259" spans="1:20" s="616" customFormat="1" x14ac:dyDescent="0.3">
      <c r="A259" s="685"/>
      <c r="B259" s="686" t="s">
        <v>129</v>
      </c>
      <c r="C259" s="686"/>
      <c r="D259" s="686"/>
      <c r="E259" s="686"/>
      <c r="F259" s="686"/>
      <c r="G259" s="686"/>
      <c r="H259" s="806"/>
      <c r="I259" s="806"/>
      <c r="J259" s="806"/>
      <c r="K259" s="806"/>
      <c r="L259" s="806"/>
      <c r="M259" s="806"/>
      <c r="N259" s="687">
        <f>SUM(N250:N258)</f>
        <v>0</v>
      </c>
      <c r="O259" s="805">
        <f>SUM(O250:O258)</f>
        <v>0</v>
      </c>
      <c r="P259" s="688">
        <f>SUM(P250:P258)</f>
        <v>0</v>
      </c>
      <c r="Q259" s="805">
        <f>SUM(Q250:Q258)</f>
        <v>0</v>
      </c>
      <c r="R259" s="700"/>
      <c r="S259" s="689"/>
      <c r="T259" s="615"/>
    </row>
    <row r="260" spans="1:20" x14ac:dyDescent="0.3">
      <c r="A260" s="581"/>
      <c r="B260" s="690"/>
      <c r="C260" s="690"/>
      <c r="D260" s="690"/>
      <c r="E260" s="690"/>
      <c r="F260" s="690"/>
      <c r="G260" s="690"/>
      <c r="H260" s="807"/>
      <c r="I260" s="807"/>
      <c r="J260" s="807"/>
      <c r="K260" s="807"/>
      <c r="L260" s="807"/>
      <c r="M260" s="807"/>
      <c r="N260" s="691"/>
      <c r="O260" s="808"/>
      <c r="P260" s="809"/>
      <c r="Q260" s="808"/>
      <c r="R260" s="690"/>
      <c r="S260" s="584"/>
      <c r="T260" s="579"/>
    </row>
    <row r="261" spans="1:20" s="811" customFormat="1" x14ac:dyDescent="0.3">
      <c r="A261" s="674"/>
      <c r="B261" s="701" t="s">
        <v>239</v>
      </c>
      <c r="C261" s="760"/>
      <c r="D261" s="760"/>
      <c r="E261" s="760"/>
      <c r="F261" s="760"/>
      <c r="G261" s="760"/>
      <c r="H261" s="810"/>
      <c r="I261" s="810"/>
      <c r="J261" s="810"/>
      <c r="K261" s="810"/>
      <c r="L261" s="810"/>
      <c r="M261" s="810"/>
      <c r="N261" s="759" t="s">
        <v>113</v>
      </c>
      <c r="O261" s="703" t="s">
        <v>114</v>
      </c>
      <c r="P261" s="759" t="s">
        <v>123</v>
      </c>
      <c r="Q261" s="703" t="s">
        <v>114</v>
      </c>
      <c r="R261" s="760"/>
      <c r="S261" s="705"/>
      <c r="T261" s="579"/>
    </row>
    <row r="262" spans="1:20" s="813" customFormat="1" x14ac:dyDescent="0.3">
      <c r="A262" s="611"/>
      <c r="B262" s="706" t="s">
        <v>99</v>
      </c>
      <c r="C262" s="612"/>
      <c r="D262" s="612"/>
      <c r="E262" s="612"/>
      <c r="F262" s="612"/>
      <c r="G262" s="612"/>
      <c r="H262" s="812"/>
      <c r="I262" s="812"/>
      <c r="J262" s="812"/>
      <c r="K262" s="812"/>
      <c r="L262" s="812"/>
      <c r="M262" s="812"/>
      <c r="N262" s="706">
        <v>0</v>
      </c>
      <c r="O262" s="802">
        <v>0</v>
      </c>
      <c r="P262" s="707">
        <v>0</v>
      </c>
      <c r="Q262" s="802">
        <v>0</v>
      </c>
      <c r="R262" s="661"/>
      <c r="S262" s="734"/>
      <c r="T262" s="615"/>
    </row>
    <row r="263" spans="1:20" s="813" customFormat="1" x14ac:dyDescent="0.3">
      <c r="A263" s="685"/>
      <c r="B263" s="687" t="s">
        <v>100</v>
      </c>
      <c r="C263" s="686"/>
      <c r="D263" s="686"/>
      <c r="E263" s="686"/>
      <c r="F263" s="686"/>
      <c r="G263" s="686"/>
      <c r="H263" s="806"/>
      <c r="I263" s="806"/>
      <c r="J263" s="806"/>
      <c r="K263" s="806"/>
      <c r="L263" s="806"/>
      <c r="M263" s="806"/>
      <c r="N263" s="687">
        <v>0</v>
      </c>
      <c r="O263" s="805">
        <v>0</v>
      </c>
      <c r="P263" s="688">
        <v>0</v>
      </c>
      <c r="Q263" s="805">
        <v>0</v>
      </c>
      <c r="R263" s="814"/>
      <c r="S263" s="689"/>
      <c r="T263" s="615"/>
    </row>
    <row r="264" spans="1:20" s="813" customFormat="1" x14ac:dyDescent="0.3">
      <c r="A264" s="685"/>
      <c r="B264" s="687" t="s">
        <v>101</v>
      </c>
      <c r="C264" s="686"/>
      <c r="D264" s="686"/>
      <c r="E264" s="686"/>
      <c r="F264" s="686"/>
      <c r="G264" s="686"/>
      <c r="H264" s="806"/>
      <c r="I264" s="806"/>
      <c r="J264" s="806"/>
      <c r="K264" s="806"/>
      <c r="L264" s="806"/>
      <c r="M264" s="806"/>
      <c r="N264" s="687">
        <v>0</v>
      </c>
      <c r="O264" s="805">
        <v>0</v>
      </c>
      <c r="P264" s="688">
        <v>0</v>
      </c>
      <c r="Q264" s="805">
        <v>0</v>
      </c>
      <c r="R264" s="700"/>
      <c r="S264" s="689"/>
      <c r="T264" s="615"/>
    </row>
    <row r="265" spans="1:20" s="813" customFormat="1" x14ac:dyDescent="0.3">
      <c r="A265" s="685"/>
      <c r="B265" s="687" t="s">
        <v>210</v>
      </c>
      <c r="C265" s="686"/>
      <c r="D265" s="686"/>
      <c r="E265" s="686"/>
      <c r="F265" s="686"/>
      <c r="G265" s="686"/>
      <c r="H265" s="806"/>
      <c r="I265" s="806"/>
      <c r="J265" s="806"/>
      <c r="K265" s="806"/>
      <c r="L265" s="806"/>
      <c r="M265" s="806"/>
      <c r="N265" s="687">
        <v>0</v>
      </c>
      <c r="O265" s="805">
        <v>0</v>
      </c>
      <c r="P265" s="688">
        <v>0</v>
      </c>
      <c r="Q265" s="805">
        <v>0</v>
      </c>
      <c r="R265" s="700"/>
      <c r="S265" s="689"/>
      <c r="T265" s="615"/>
    </row>
    <row r="266" spans="1:20" s="813" customFormat="1" x14ac:dyDescent="0.3">
      <c r="A266" s="685"/>
      <c r="B266" s="687" t="s">
        <v>211</v>
      </c>
      <c r="C266" s="686"/>
      <c r="D266" s="686"/>
      <c r="E266" s="686"/>
      <c r="F266" s="686"/>
      <c r="G266" s="686"/>
      <c r="H266" s="806"/>
      <c r="I266" s="806"/>
      <c r="J266" s="806"/>
      <c r="K266" s="806"/>
      <c r="L266" s="806"/>
      <c r="M266" s="806"/>
      <c r="N266" s="687">
        <v>0</v>
      </c>
      <c r="O266" s="805">
        <v>0</v>
      </c>
      <c r="P266" s="688">
        <v>0</v>
      </c>
      <c r="Q266" s="805">
        <v>0</v>
      </c>
      <c r="R266" s="700"/>
      <c r="S266" s="689"/>
      <c r="T266" s="615"/>
    </row>
    <row r="267" spans="1:20" s="813" customFormat="1" x14ac:dyDescent="0.3">
      <c r="A267" s="685"/>
      <c r="B267" s="687" t="s">
        <v>212</v>
      </c>
      <c r="C267" s="686"/>
      <c r="D267" s="686"/>
      <c r="E267" s="686"/>
      <c r="F267" s="686"/>
      <c r="G267" s="686"/>
      <c r="H267" s="806"/>
      <c r="I267" s="806"/>
      <c r="J267" s="806"/>
      <c r="K267" s="806"/>
      <c r="L267" s="806"/>
      <c r="M267" s="806"/>
      <c r="N267" s="687">
        <v>0</v>
      </c>
      <c r="O267" s="805">
        <v>0</v>
      </c>
      <c r="P267" s="688">
        <v>0</v>
      </c>
      <c r="Q267" s="805">
        <v>0</v>
      </c>
      <c r="R267" s="700"/>
      <c r="S267" s="689"/>
      <c r="T267" s="615"/>
    </row>
    <row r="268" spans="1:20" s="813" customFormat="1" x14ac:dyDescent="0.3">
      <c r="A268" s="685"/>
      <c r="B268" s="687" t="s">
        <v>213</v>
      </c>
      <c r="C268" s="686"/>
      <c r="D268" s="686"/>
      <c r="E268" s="686"/>
      <c r="F268" s="686"/>
      <c r="G268" s="686"/>
      <c r="H268" s="806"/>
      <c r="I268" s="806"/>
      <c r="J268" s="806"/>
      <c r="K268" s="806"/>
      <c r="L268" s="806"/>
      <c r="M268" s="806"/>
      <c r="N268" s="687">
        <v>0</v>
      </c>
      <c r="O268" s="805">
        <v>0</v>
      </c>
      <c r="P268" s="688">
        <v>0</v>
      </c>
      <c r="Q268" s="805">
        <v>0</v>
      </c>
      <c r="R268" s="700"/>
      <c r="S268" s="689"/>
      <c r="T268" s="615"/>
    </row>
    <row r="269" spans="1:20" s="813" customFormat="1" x14ac:dyDescent="0.3">
      <c r="A269" s="685"/>
      <c r="B269" s="687" t="s">
        <v>214</v>
      </c>
      <c r="C269" s="686"/>
      <c r="D269" s="686"/>
      <c r="E269" s="686"/>
      <c r="F269" s="686"/>
      <c r="G269" s="686"/>
      <c r="H269" s="806"/>
      <c r="I269" s="806"/>
      <c r="J269" s="806"/>
      <c r="K269" s="806"/>
      <c r="L269" s="806"/>
      <c r="M269" s="806"/>
      <c r="N269" s="687">
        <v>0</v>
      </c>
      <c r="O269" s="805">
        <v>0</v>
      </c>
      <c r="P269" s="688">
        <v>0</v>
      </c>
      <c r="Q269" s="805">
        <v>0</v>
      </c>
      <c r="R269" s="700"/>
      <c r="S269" s="689"/>
      <c r="T269" s="615"/>
    </row>
    <row r="270" spans="1:20" s="813" customFormat="1" x14ac:dyDescent="0.3">
      <c r="A270" s="685"/>
      <c r="B270" s="687"/>
      <c r="C270" s="686"/>
      <c r="D270" s="686"/>
      <c r="E270" s="686"/>
      <c r="F270" s="686"/>
      <c r="G270" s="686"/>
      <c r="H270" s="806"/>
      <c r="I270" s="806"/>
      <c r="J270" s="806"/>
      <c r="K270" s="806"/>
      <c r="L270" s="806"/>
      <c r="M270" s="806"/>
      <c r="N270" s="687"/>
      <c r="O270" s="805"/>
      <c r="P270" s="688"/>
      <c r="Q270" s="805"/>
      <c r="R270" s="700"/>
      <c r="S270" s="689"/>
      <c r="T270" s="615"/>
    </row>
    <row r="271" spans="1:20" s="616" customFormat="1" x14ac:dyDescent="0.3">
      <c r="A271" s="685"/>
      <c r="B271" s="686" t="s">
        <v>129</v>
      </c>
      <c r="C271" s="686"/>
      <c r="D271" s="686"/>
      <c r="E271" s="686"/>
      <c r="F271" s="686"/>
      <c r="G271" s="686"/>
      <c r="H271" s="806"/>
      <c r="I271" s="806"/>
      <c r="J271" s="806"/>
      <c r="K271" s="806"/>
      <c r="L271" s="806"/>
      <c r="M271" s="806"/>
      <c r="N271" s="687">
        <f>SUM(N262:N269)</f>
        <v>0</v>
      </c>
      <c r="O271" s="805">
        <f>SUM(O262:O269)</f>
        <v>0</v>
      </c>
      <c r="P271" s="688">
        <f>SUM(P262:P269)</f>
        <v>0</v>
      </c>
      <c r="Q271" s="805">
        <f>SUM(Q262:Q269)</f>
        <v>0</v>
      </c>
      <c r="R271" s="700"/>
      <c r="S271" s="689"/>
      <c r="T271" s="615"/>
    </row>
    <row r="272" spans="1:20" s="616" customFormat="1" x14ac:dyDescent="0.3">
      <c r="A272" s="685"/>
      <c r="B272" s="686"/>
      <c r="C272" s="686"/>
      <c r="D272" s="686"/>
      <c r="E272" s="686"/>
      <c r="F272" s="686"/>
      <c r="G272" s="686"/>
      <c r="H272" s="806"/>
      <c r="I272" s="806"/>
      <c r="J272" s="806"/>
      <c r="K272" s="806"/>
      <c r="L272" s="806"/>
      <c r="M272" s="806"/>
      <c r="N272" s="687"/>
      <c r="O272" s="805"/>
      <c r="P272" s="688"/>
      <c r="Q272" s="805"/>
      <c r="R272" s="700"/>
      <c r="S272" s="689"/>
      <c r="T272" s="615"/>
    </row>
    <row r="273" spans="1:20" s="616" customFormat="1" x14ac:dyDescent="0.3">
      <c r="A273" s="685"/>
      <c r="B273" s="815" t="s">
        <v>240</v>
      </c>
      <c r="C273" s="686"/>
      <c r="D273" s="686"/>
      <c r="E273" s="686"/>
      <c r="F273" s="686"/>
      <c r="G273" s="686"/>
      <c r="H273" s="806"/>
      <c r="I273" s="806"/>
      <c r="J273" s="806"/>
      <c r="K273" s="806"/>
      <c r="L273" s="806"/>
      <c r="M273" s="806"/>
      <c r="N273" s="816">
        <f>+N247+N259+N271</f>
        <v>0</v>
      </c>
      <c r="O273" s="805"/>
      <c r="P273" s="817">
        <f>+P271+P259+P247</f>
        <v>0</v>
      </c>
      <c r="Q273" s="805"/>
      <c r="R273" s="700"/>
      <c r="S273" s="689"/>
      <c r="T273" s="615"/>
    </row>
    <row r="274" spans="1:20" s="616" customFormat="1" x14ac:dyDescent="0.3">
      <c r="A274" s="611"/>
      <c r="B274" s="818"/>
      <c r="C274" s="593"/>
      <c r="D274" s="593"/>
      <c r="E274" s="593"/>
      <c r="F274" s="593"/>
      <c r="G274" s="593"/>
      <c r="H274" s="819"/>
      <c r="I274" s="819"/>
      <c r="J274" s="819"/>
      <c r="K274" s="819"/>
      <c r="L274" s="819"/>
      <c r="M274" s="819"/>
      <c r="N274" s="819"/>
      <c r="O274" s="819"/>
      <c r="P274" s="820"/>
      <c r="Q274" s="819"/>
      <c r="R274" s="600"/>
      <c r="S274" s="734"/>
      <c r="T274" s="615"/>
    </row>
    <row r="275" spans="1:20" s="616" customFormat="1" x14ac:dyDescent="0.3">
      <c r="A275" s="611"/>
      <c r="B275" s="592" t="s">
        <v>102</v>
      </c>
      <c r="C275" s="593"/>
      <c r="D275" s="593"/>
      <c r="E275" s="593"/>
      <c r="F275" s="598" t="s">
        <v>108</v>
      </c>
      <c r="G275" s="593"/>
      <c r="H275" s="592" t="s">
        <v>110</v>
      </c>
      <c r="I275" s="593"/>
      <c r="J275" s="593"/>
      <c r="K275" s="593"/>
      <c r="L275" s="593"/>
      <c r="M275" s="593"/>
      <c r="N275" s="593"/>
      <c r="O275" s="593"/>
      <c r="P275" s="593"/>
      <c r="Q275" s="593"/>
      <c r="R275" s="600"/>
      <c r="S275" s="734"/>
      <c r="T275" s="615"/>
    </row>
    <row r="276" spans="1:20" s="616" customFormat="1" x14ac:dyDescent="0.3">
      <c r="A276" s="611"/>
      <c r="B276" s="593"/>
      <c r="C276" s="593"/>
      <c r="D276" s="593"/>
      <c r="E276" s="593"/>
      <c r="F276" s="593"/>
      <c r="G276" s="593"/>
      <c r="H276" s="593"/>
      <c r="I276" s="593"/>
      <c r="J276" s="593"/>
      <c r="K276" s="593"/>
      <c r="L276" s="593"/>
      <c r="M276" s="593"/>
      <c r="N276" s="593"/>
      <c r="O276" s="593"/>
      <c r="P276" s="593"/>
      <c r="Q276" s="593"/>
      <c r="R276" s="600"/>
      <c r="S276" s="734"/>
      <c r="T276" s="615"/>
    </row>
    <row r="277" spans="1:20" s="616" customFormat="1" x14ac:dyDescent="0.3">
      <c r="A277" s="611"/>
      <c r="B277" s="592" t="s">
        <v>321</v>
      </c>
      <c r="C277" s="592"/>
      <c r="D277" s="592"/>
      <c r="E277" s="592"/>
      <c r="F277" s="821" t="s">
        <v>272</v>
      </c>
      <c r="G277" s="592"/>
      <c r="H277" s="592" t="s">
        <v>342</v>
      </c>
      <c r="I277" s="593"/>
      <c r="J277" s="593"/>
      <c r="K277" s="593"/>
      <c r="L277" s="593"/>
      <c r="M277" s="593"/>
      <c r="N277" s="593"/>
      <c r="O277" s="593"/>
      <c r="P277" s="593"/>
      <c r="Q277" s="593"/>
      <c r="R277" s="600"/>
      <c r="S277" s="734"/>
      <c r="T277" s="615"/>
    </row>
    <row r="278" spans="1:20" s="616" customFormat="1" x14ac:dyDescent="0.3">
      <c r="A278" s="611"/>
      <c r="B278" s="592" t="s">
        <v>322</v>
      </c>
      <c r="C278" s="592"/>
      <c r="D278" s="592"/>
      <c r="E278" s="592"/>
      <c r="F278" s="821" t="s">
        <v>171</v>
      </c>
      <c r="G278" s="592"/>
      <c r="H278" s="592" t="s">
        <v>343</v>
      </c>
      <c r="I278" s="593"/>
      <c r="J278" s="593"/>
      <c r="K278" s="593"/>
      <c r="L278" s="593"/>
      <c r="M278" s="593"/>
      <c r="N278" s="593"/>
      <c r="O278" s="593"/>
      <c r="P278" s="593"/>
      <c r="Q278" s="593"/>
      <c r="R278" s="600"/>
      <c r="S278" s="734"/>
      <c r="T278" s="615"/>
    </row>
    <row r="279" spans="1:20" s="616" customFormat="1" x14ac:dyDescent="0.3">
      <c r="A279" s="611"/>
      <c r="B279" s="592"/>
      <c r="C279" s="592"/>
      <c r="D279" s="592"/>
      <c r="E279" s="592"/>
      <c r="F279" s="592"/>
      <c r="G279" s="592"/>
      <c r="H279" s="593"/>
      <c r="I279" s="593"/>
      <c r="J279" s="593"/>
      <c r="K279" s="593"/>
      <c r="L279" s="593"/>
      <c r="M279" s="593"/>
      <c r="N279" s="593"/>
      <c r="O279" s="593"/>
      <c r="P279" s="593"/>
      <c r="Q279" s="593"/>
      <c r="R279" s="600"/>
      <c r="S279" s="734"/>
      <c r="T279" s="615"/>
    </row>
    <row r="280" spans="1:20" s="616" customFormat="1" ht="18.600000000000001" thickBot="1" x14ac:dyDescent="0.4">
      <c r="A280" s="611"/>
      <c r="B280" s="822" t="str">
        <f>B190</f>
        <v>PM8 INVESTOR REPORT QUARTER ENDING DECEMBER 2017</v>
      </c>
      <c r="C280" s="592"/>
      <c r="D280" s="592"/>
      <c r="E280" s="592"/>
      <c r="F280" s="592"/>
      <c r="G280" s="592"/>
      <c r="H280" s="593"/>
      <c r="I280" s="593"/>
      <c r="J280" s="593"/>
      <c r="K280" s="593"/>
      <c r="L280" s="593"/>
      <c r="M280" s="593"/>
      <c r="N280" s="593"/>
      <c r="O280" s="593"/>
      <c r="P280" s="593"/>
      <c r="Q280" s="593"/>
      <c r="R280" s="600"/>
      <c r="S280" s="673"/>
      <c r="T280" s="615"/>
    </row>
    <row r="281" spans="1:20" x14ac:dyDescent="0.3">
      <c r="A281" s="823"/>
      <c r="B281" s="823"/>
      <c r="C281" s="823"/>
      <c r="D281" s="823"/>
      <c r="E281" s="823"/>
      <c r="F281" s="823"/>
      <c r="G281" s="823"/>
      <c r="H281" s="823"/>
      <c r="I281" s="823"/>
      <c r="J281" s="823"/>
      <c r="K281" s="823"/>
      <c r="L281" s="823"/>
      <c r="M281" s="823"/>
      <c r="N281" s="823"/>
      <c r="O281" s="823"/>
      <c r="P281" s="823"/>
      <c r="Q281" s="823"/>
      <c r="R281" s="823"/>
      <c r="S281" s="823"/>
    </row>
  </sheetData>
  <hyperlinks>
    <hyperlink ref="J9" r:id="rId1"/>
    <hyperlink ref="K223" r:id="rId2"/>
  </hyperlinks>
  <printOptions horizontalCentered="1" verticalCentered="1"/>
  <pageMargins left="0.19685039370078741" right="0.19685039370078741" top="0.27559055118110237" bottom="0.27559055118110237" header="0" footer="0"/>
  <pageSetup scale="45" orientation="landscape" r:id="rId3"/>
  <headerFooter alignWithMargins="0"/>
  <rowBreaks count="3" manualBreakCount="3">
    <brk id="62" max="18" man="1"/>
    <brk id="133" max="18" man="1"/>
    <brk id="190" max="18"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7"/>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t="s">
        <v>246</v>
      </c>
      <c r="I9" s="8"/>
      <c r="J9" s="8"/>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0.82589999999999997</v>
      </c>
      <c r="P16" s="17" t="s">
        <v>161</v>
      </c>
      <c r="Q16" s="140">
        <v>0.1741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38922</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24651.85</v>
      </c>
      <c r="E31" s="32"/>
      <c r="F31" s="125">
        <f>F37*F30</f>
        <v>162734.88</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19487.95</v>
      </c>
      <c r="E32" s="36"/>
      <c r="F32" s="126">
        <f>F36*F30</f>
        <v>128620.47</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24651.85</v>
      </c>
      <c r="E34" s="32"/>
      <c r="F34" s="31">
        <f>+F31*0.696969697</f>
        <v>113421.28000493137</v>
      </c>
      <c r="G34" s="31"/>
      <c r="H34" s="31">
        <v>305000</v>
      </c>
      <c r="I34" s="31"/>
      <c r="J34" s="31">
        <v>315000</v>
      </c>
      <c r="K34" s="31"/>
      <c r="L34" s="31">
        <v>65000</v>
      </c>
      <c r="M34" s="31"/>
      <c r="N34" s="31">
        <v>35000</v>
      </c>
      <c r="O34" s="31"/>
      <c r="P34" s="31"/>
      <c r="Q34" s="147"/>
      <c r="R34" s="31">
        <f>SUM(C34:N34)</f>
        <v>858073.13000493136</v>
      </c>
      <c r="S34" s="34"/>
      <c r="T34" s="5"/>
    </row>
    <row r="35" spans="1:20" ht="15.6" x14ac:dyDescent="0.3">
      <c r="A35" s="28"/>
      <c r="B35" s="29" t="s">
        <v>287</v>
      </c>
      <c r="C35" s="36"/>
      <c r="D35" s="35">
        <f>D36*D33</f>
        <v>19487.95</v>
      </c>
      <c r="E35" s="36"/>
      <c r="F35" s="35">
        <f>F36*F33</f>
        <v>89644.57</v>
      </c>
      <c r="G35" s="35"/>
      <c r="H35" s="35">
        <v>305000</v>
      </c>
      <c r="I35" s="35"/>
      <c r="J35" s="35">
        <v>315000</v>
      </c>
      <c r="K35" s="35"/>
      <c r="L35" s="35">
        <v>65000</v>
      </c>
      <c r="M35" s="35"/>
      <c r="N35" s="35">
        <v>35000</v>
      </c>
      <c r="O35" s="35"/>
      <c r="P35" s="35"/>
      <c r="Q35" s="37"/>
      <c r="R35" s="35">
        <f>SUM(C35:N35)</f>
        <v>829132.52</v>
      </c>
      <c r="S35" s="34"/>
      <c r="T35" s="5"/>
    </row>
    <row r="36" spans="1:20" ht="15.6" x14ac:dyDescent="0.3">
      <c r="A36" s="28"/>
      <c r="B36" s="123" t="s">
        <v>149</v>
      </c>
      <c r="C36" s="127"/>
      <c r="D36" s="138">
        <v>0.38975900000000002</v>
      </c>
      <c r="E36" s="139"/>
      <c r="F36" s="138">
        <v>0.38975900000000002</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0.493037</v>
      </c>
      <c r="E37" s="139"/>
      <c r="F37" s="138">
        <v>0.49313600000000002</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4.7368800000000003E-2</v>
      </c>
      <c r="E39" s="25"/>
      <c r="F39" s="38">
        <v>2.8740000000000002E-2</v>
      </c>
      <c r="G39" s="39"/>
      <c r="H39" s="38">
        <v>4.8168799999999998E-2</v>
      </c>
      <c r="I39" s="39"/>
      <c r="J39" s="38">
        <v>2.9440000000000001E-2</v>
      </c>
      <c r="K39" s="39"/>
      <c r="L39" s="38">
        <v>5.2768799999999998E-2</v>
      </c>
      <c r="M39" s="39"/>
      <c r="N39" s="38">
        <v>3.3640000000000003E-2</v>
      </c>
      <c r="O39" s="39"/>
      <c r="P39" s="38"/>
      <c r="Q39" s="146"/>
      <c r="R39" s="39"/>
      <c r="S39" s="25"/>
      <c r="T39" s="5"/>
    </row>
    <row r="40" spans="1:20" ht="15.6" x14ac:dyDescent="0.3">
      <c r="A40" s="24"/>
      <c r="B40" s="25" t="s">
        <v>14</v>
      </c>
      <c r="C40" s="25"/>
      <c r="D40" s="38">
        <v>4.7106299999999997E-2</v>
      </c>
      <c r="E40" s="25"/>
      <c r="F40" s="38">
        <v>2.6239999999999999E-2</v>
      </c>
      <c r="G40" s="39"/>
      <c r="H40" s="38">
        <v>4.7906299999999999E-2</v>
      </c>
      <c r="I40" s="39"/>
      <c r="J40" s="38">
        <v>2.6939999999999999E-2</v>
      </c>
      <c r="K40" s="39"/>
      <c r="L40" s="38">
        <v>5.2506299999999999E-2</v>
      </c>
      <c r="M40" s="39"/>
      <c r="N40" s="38">
        <v>3.1140000000000001E-2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4.7368800000000003E-2</v>
      </c>
      <c r="E42" s="25"/>
      <c r="F42" s="38">
        <v>4.75818E-2</v>
      </c>
      <c r="G42" s="39"/>
      <c r="H42" s="38">
        <f>+H39</f>
        <v>4.8168799999999998E-2</v>
      </c>
      <c r="I42" s="39"/>
      <c r="J42" s="38">
        <v>4.85668E-2</v>
      </c>
      <c r="K42" s="39"/>
      <c r="L42" s="38">
        <f>+L39</f>
        <v>5.2768799999999998E-2</v>
      </c>
      <c r="M42" s="39"/>
      <c r="N42" s="38">
        <v>5.31458E-2</v>
      </c>
      <c r="O42" s="39"/>
      <c r="P42" s="38"/>
      <c r="Q42" s="146"/>
      <c r="R42" s="39">
        <f>SUMPRODUCT(D42:N42,D34:N34)/R34</f>
        <v>4.8765794837298031E-2</v>
      </c>
      <c r="S42" s="25"/>
      <c r="T42" s="5"/>
    </row>
    <row r="43" spans="1:20" ht="15.6" x14ac:dyDescent="0.3">
      <c r="A43" s="24"/>
      <c r="B43" s="25" t="s">
        <v>290</v>
      </c>
      <c r="C43" s="25"/>
      <c r="D43" s="38">
        <f>+D40</f>
        <v>4.7106299999999997E-2</v>
      </c>
      <c r="E43" s="25"/>
      <c r="F43" s="38">
        <v>4.7319300000000002E-2</v>
      </c>
      <c r="G43" s="39"/>
      <c r="H43" s="38">
        <f>+H40</f>
        <v>4.7906299999999999E-2</v>
      </c>
      <c r="I43" s="39"/>
      <c r="J43" s="38">
        <v>4.8304300000000001E-2</v>
      </c>
      <c r="K43" s="39"/>
      <c r="L43" s="38">
        <f>+L40</f>
        <v>5.2506299999999999E-2</v>
      </c>
      <c r="M43" s="39"/>
      <c r="N43" s="38">
        <v>5.2883300000000001E-2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0.13714927980444488</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38915</v>
      </c>
      <c r="S54" s="25"/>
      <c r="T54" s="5"/>
    </row>
    <row r="55" spans="1:21" ht="15.6" x14ac:dyDescent="0.3">
      <c r="A55" s="24"/>
      <c r="B55" s="25" t="s">
        <v>140</v>
      </c>
      <c r="C55" s="25"/>
      <c r="D55" s="25"/>
      <c r="E55" s="25"/>
      <c r="F55" s="25"/>
      <c r="G55" s="25"/>
      <c r="H55" s="58"/>
      <c r="I55" s="58"/>
      <c r="J55" s="58"/>
      <c r="K55" s="58"/>
      <c r="L55" s="58"/>
      <c r="M55" s="58"/>
      <c r="N55" s="25">
        <f>+R55-P55+1</f>
        <v>92</v>
      </c>
      <c r="O55" s="58"/>
      <c r="P55" s="45">
        <v>38733</v>
      </c>
      <c r="Q55" s="46"/>
      <c r="R55" s="45">
        <v>38824</v>
      </c>
      <c r="S55" s="25"/>
      <c r="T55" s="5"/>
    </row>
    <row r="56" spans="1:21" ht="15.6" x14ac:dyDescent="0.3">
      <c r="A56" s="24"/>
      <c r="B56" s="25" t="s">
        <v>141</v>
      </c>
      <c r="C56" s="25"/>
      <c r="D56" s="25"/>
      <c r="E56" s="25"/>
      <c r="F56" s="25"/>
      <c r="G56" s="25"/>
      <c r="H56" s="25"/>
      <c r="I56" s="25"/>
      <c r="J56" s="25"/>
      <c r="K56" s="25"/>
      <c r="L56" s="25"/>
      <c r="M56" s="25"/>
      <c r="N56" s="25">
        <f>+R56-P56+1</f>
        <v>90</v>
      </c>
      <c r="O56" s="25"/>
      <c r="P56" s="45">
        <v>38825</v>
      </c>
      <c r="Q56" s="46"/>
      <c r="R56" s="45">
        <v>38914</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38901</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262</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858073</v>
      </c>
      <c r="K67" s="34"/>
      <c r="L67" s="34">
        <f>28941+5314+185-1</f>
        <v>34439</v>
      </c>
      <c r="M67" s="34"/>
      <c r="N67" s="34">
        <f>5314+185</f>
        <v>5499</v>
      </c>
      <c r="O67" s="34"/>
      <c r="P67" s="34">
        <v>0</v>
      </c>
      <c r="Q67" s="34"/>
      <c r="R67" s="53">
        <f>+J67-L67+N67-P67</f>
        <v>829133</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858073</v>
      </c>
      <c r="K70" s="34"/>
      <c r="L70" s="34">
        <f>SUM(L67:L69)</f>
        <v>34439</v>
      </c>
      <c r="M70" s="34"/>
      <c r="N70" s="34">
        <f>SUM(N67:N69)</f>
        <v>5499</v>
      </c>
      <c r="O70" s="34"/>
      <c r="P70" s="34">
        <f>SUM(P67:P69)</f>
        <v>0</v>
      </c>
      <c r="Q70" s="34"/>
      <c r="R70" s="54">
        <f>SUM(R67:R69)</f>
        <v>829133</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858073</v>
      </c>
      <c r="K83" s="34"/>
      <c r="L83" s="34"/>
      <c r="M83" s="34"/>
      <c r="N83" s="34"/>
      <c r="O83" s="34"/>
      <c r="P83" s="54"/>
      <c r="Q83" s="34"/>
      <c r="R83" s="54">
        <f>SUM(R70:R82)</f>
        <v>829133</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+P187</f>
        <v>38898</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v>34439</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11974+1957-1298-226</f>
        <v>12407</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426+76</f>
        <v>502</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561</v>
      </c>
      <c r="S91" s="25"/>
      <c r="T91" s="5"/>
    </row>
    <row r="92" spans="1:20" ht="15.6" x14ac:dyDescent="0.3">
      <c r="A92" s="24"/>
      <c r="B92" s="25" t="s">
        <v>154</v>
      </c>
      <c r="C92" s="25"/>
      <c r="D92" s="25"/>
      <c r="E92" s="25"/>
      <c r="F92" s="25"/>
      <c r="G92" s="25"/>
      <c r="H92" s="25"/>
      <c r="I92" s="25"/>
      <c r="J92" s="25"/>
      <c r="K92" s="25"/>
      <c r="L92" s="25"/>
      <c r="M92" s="25"/>
      <c r="N92" s="25"/>
      <c r="O92" s="25"/>
      <c r="P92" s="34"/>
      <c r="Q92" s="25"/>
      <c r="R92" s="53">
        <v>0</v>
      </c>
      <c r="S92" s="25"/>
      <c r="T92" s="5"/>
    </row>
    <row r="93" spans="1:20" ht="15.6" x14ac:dyDescent="0.3">
      <c r="A93" s="24"/>
      <c r="B93" s="25" t="s">
        <v>199</v>
      </c>
      <c r="C93" s="25"/>
      <c r="D93" s="25"/>
      <c r="E93" s="25"/>
      <c r="F93" s="25"/>
      <c r="G93" s="25"/>
      <c r="H93" s="25"/>
      <c r="I93" s="25"/>
      <c r="J93" s="25"/>
      <c r="K93" s="25"/>
      <c r="L93" s="25"/>
      <c r="M93" s="25"/>
      <c r="N93" s="25"/>
      <c r="O93" s="25"/>
      <c r="P93" s="34"/>
      <c r="Q93" s="25"/>
      <c r="R93" s="53">
        <v>186</v>
      </c>
      <c r="S93" s="25"/>
      <c r="T93" s="5"/>
    </row>
    <row r="94" spans="1:20" ht="15.6" x14ac:dyDescent="0.3">
      <c r="A94" s="24"/>
      <c r="B94" s="25" t="s">
        <v>35</v>
      </c>
      <c r="C94" s="25"/>
      <c r="D94" s="25"/>
      <c r="E94" s="25"/>
      <c r="F94" s="25"/>
      <c r="G94" s="25"/>
      <c r="H94" s="25"/>
      <c r="I94" s="25"/>
      <c r="J94" s="25"/>
      <c r="K94" s="25"/>
      <c r="L94" s="25"/>
      <c r="M94" s="25"/>
      <c r="N94" s="25"/>
      <c r="O94" s="25"/>
      <c r="P94" s="34">
        <f>SUM(P87:P93)</f>
        <v>34439</v>
      </c>
      <c r="Q94" s="25"/>
      <c r="R94" s="54">
        <f>SUM(R87:R93)</f>
        <v>13656</v>
      </c>
      <c r="S94" s="25"/>
      <c r="T94" s="5"/>
    </row>
    <row r="95" spans="1:20" ht="15.6" x14ac:dyDescent="0.3">
      <c r="A95" s="24"/>
      <c r="B95" s="25" t="s">
        <v>235</v>
      </c>
      <c r="C95" s="25"/>
      <c r="D95" s="25"/>
      <c r="E95" s="25"/>
      <c r="F95" s="25"/>
      <c r="G95" s="25"/>
      <c r="H95" s="25"/>
      <c r="I95" s="25"/>
      <c r="J95" s="25"/>
      <c r="K95" s="25"/>
      <c r="L95" s="25"/>
      <c r="M95" s="25"/>
      <c r="N95" s="25"/>
      <c r="O95" s="25"/>
      <c r="P95" s="34">
        <v>-24</v>
      </c>
      <c r="Q95" s="25"/>
      <c r="R95" s="54">
        <f>-P95</f>
        <v>24</v>
      </c>
      <c r="S95" s="25"/>
      <c r="T95" s="5"/>
    </row>
    <row r="96" spans="1:20" ht="15.6" x14ac:dyDescent="0.3">
      <c r="A96" s="24"/>
      <c r="B96" s="25" t="s">
        <v>36</v>
      </c>
      <c r="C96" s="25"/>
      <c r="D96" s="25"/>
      <c r="E96" s="25"/>
      <c r="F96" s="25"/>
      <c r="G96" s="25"/>
      <c r="H96" s="25"/>
      <c r="I96" s="25"/>
      <c r="J96" s="25"/>
      <c r="K96" s="25"/>
      <c r="L96" s="25"/>
      <c r="M96" s="25"/>
      <c r="N96" s="25"/>
      <c r="O96" s="25"/>
      <c r="P96" s="34">
        <f>-R96</f>
        <v>0</v>
      </c>
      <c r="Q96" s="25"/>
      <c r="R96" s="53">
        <v>0</v>
      </c>
      <c r="S96" s="25"/>
      <c r="T96" s="5"/>
    </row>
    <row r="97" spans="1:21" ht="15.6" x14ac:dyDescent="0.3">
      <c r="A97" s="24"/>
      <c r="B97" s="25" t="s">
        <v>37</v>
      </c>
      <c r="C97" s="25"/>
      <c r="D97" s="25"/>
      <c r="E97" s="25"/>
      <c r="F97" s="25"/>
      <c r="G97" s="25"/>
      <c r="H97" s="25"/>
      <c r="I97" s="25"/>
      <c r="J97" s="25"/>
      <c r="K97" s="25"/>
      <c r="L97" s="25"/>
      <c r="M97" s="25"/>
      <c r="N97" s="25"/>
      <c r="O97" s="25"/>
      <c r="P97" s="34">
        <f>P94+P96+P95</f>
        <v>34415</v>
      </c>
      <c r="Q97" s="25"/>
      <c r="R97" s="54">
        <f>R94+R96+R95</f>
        <v>13680</v>
      </c>
      <c r="S97" s="25"/>
      <c r="T97" s="5"/>
    </row>
    <row r="98" spans="1:21" ht="15.6" x14ac:dyDescent="0.3">
      <c r="A98" s="24"/>
      <c r="B98" s="119" t="s">
        <v>38</v>
      </c>
      <c r="C98" s="25"/>
      <c r="D98" s="25"/>
      <c r="E98" s="25"/>
      <c r="F98" s="25"/>
      <c r="G98" s="25"/>
      <c r="H98" s="25"/>
      <c r="I98" s="25"/>
      <c r="J98" s="25"/>
      <c r="K98" s="25"/>
      <c r="L98" s="25"/>
      <c r="M98" s="25"/>
      <c r="N98" s="25"/>
      <c r="O98" s="25"/>
      <c r="P98" s="34"/>
      <c r="Q98" s="25"/>
      <c r="R98" s="53"/>
      <c r="S98" s="25"/>
      <c r="T98" s="5"/>
    </row>
    <row r="99" spans="1:21" ht="15.6" x14ac:dyDescent="0.3">
      <c r="A99" s="24">
        <v>1</v>
      </c>
      <c r="B99" s="25" t="s">
        <v>39</v>
      </c>
      <c r="C99" s="25"/>
      <c r="D99" s="25"/>
      <c r="E99" s="25"/>
      <c r="F99" s="25"/>
      <c r="G99" s="25"/>
      <c r="H99" s="25"/>
      <c r="I99" s="25"/>
      <c r="J99" s="25"/>
      <c r="K99" s="25"/>
      <c r="L99" s="25"/>
      <c r="M99" s="25"/>
      <c r="N99" s="25"/>
      <c r="O99" s="25"/>
      <c r="P99" s="25"/>
      <c r="Q99" s="25"/>
      <c r="R99" s="53">
        <v>0</v>
      </c>
      <c r="S99" s="25"/>
      <c r="T99" s="5"/>
    </row>
    <row r="100" spans="1:21" ht="15.6" x14ac:dyDescent="0.3">
      <c r="A100" s="24">
        <f>+A99+1</f>
        <v>2</v>
      </c>
      <c r="B100" s="25" t="s">
        <v>40</v>
      </c>
      <c r="C100" s="25"/>
      <c r="D100" s="25"/>
      <c r="E100" s="25"/>
      <c r="F100" s="25"/>
      <c r="G100" s="25"/>
      <c r="H100" s="25"/>
      <c r="I100" s="25"/>
      <c r="J100" s="25"/>
      <c r="K100" s="25"/>
      <c r="L100" s="25"/>
      <c r="M100" s="25"/>
      <c r="N100" s="25"/>
      <c r="O100" s="25"/>
      <c r="P100" s="25"/>
      <c r="Q100" s="25"/>
      <c r="R100" s="53">
        <v>-2</v>
      </c>
      <c r="S100" s="25"/>
      <c r="T100" s="5"/>
    </row>
    <row r="101" spans="1:21" ht="15.6" x14ac:dyDescent="0.3">
      <c r="A101" s="24">
        <f>+A100+1</f>
        <v>3</v>
      </c>
      <c r="B101" s="25" t="s">
        <v>174</v>
      </c>
      <c r="C101" s="25"/>
      <c r="D101" s="25"/>
      <c r="E101" s="25"/>
      <c r="F101" s="25"/>
      <c r="G101" s="25"/>
      <c r="H101" s="25"/>
      <c r="I101" s="25"/>
      <c r="J101" s="25"/>
      <c r="K101" s="25"/>
      <c r="L101" s="25"/>
      <c r="M101" s="25"/>
      <c r="N101" s="25"/>
      <c r="O101" s="25"/>
      <c r="P101" s="25"/>
      <c r="Q101" s="25"/>
      <c r="R101" s="53">
        <f>-212-35-17</f>
        <v>-264</v>
      </c>
      <c r="S101" s="25"/>
      <c r="T101" s="5"/>
    </row>
    <row r="102" spans="1:21" ht="15.6" x14ac:dyDescent="0.3">
      <c r="A102" s="24" t="s">
        <v>146</v>
      </c>
      <c r="B102" s="25" t="s">
        <v>131</v>
      </c>
      <c r="C102" s="25"/>
      <c r="D102" s="25"/>
      <c r="E102" s="25"/>
      <c r="F102" s="25"/>
      <c r="G102" s="25"/>
      <c r="H102" s="25"/>
      <c r="I102" s="25"/>
      <c r="J102" s="25"/>
      <c r="K102" s="25"/>
      <c r="L102" s="25"/>
      <c r="M102" s="25"/>
      <c r="N102" s="25"/>
      <c r="O102" s="25"/>
      <c r="P102" s="25"/>
      <c r="Q102" s="25"/>
      <c r="R102" s="53">
        <v>-315</v>
      </c>
      <c r="S102" s="25"/>
      <c r="T102" s="5"/>
    </row>
    <row r="103" spans="1:21" ht="15.6" x14ac:dyDescent="0.3">
      <c r="A103" s="24" t="s">
        <v>147</v>
      </c>
      <c r="B103" s="25" t="s">
        <v>218</v>
      </c>
      <c r="C103" s="25"/>
      <c r="D103" s="25"/>
      <c r="E103" s="25"/>
      <c r="F103" s="25"/>
      <c r="G103" s="25"/>
      <c r="H103" s="25"/>
      <c r="I103" s="25"/>
      <c r="J103" s="25"/>
      <c r="K103" s="25"/>
      <c r="L103" s="25"/>
      <c r="M103" s="25"/>
      <c r="N103" s="25"/>
      <c r="O103" s="25"/>
      <c r="P103" s="25"/>
      <c r="Q103" s="25"/>
      <c r="R103" s="53">
        <v>-2</v>
      </c>
      <c r="S103" s="25"/>
      <c r="T103" s="5"/>
    </row>
    <row r="104" spans="1:21" ht="15.6" x14ac:dyDescent="0.3">
      <c r="A104" s="24" t="s">
        <v>176</v>
      </c>
      <c r="B104" s="25" t="s">
        <v>230</v>
      </c>
      <c r="C104" s="25"/>
      <c r="D104" s="25"/>
      <c r="E104" s="25"/>
      <c r="F104" s="25"/>
      <c r="G104" s="25"/>
      <c r="H104" s="25"/>
      <c r="I104" s="25"/>
      <c r="J104" s="25"/>
      <c r="K104" s="25"/>
      <c r="L104" s="25"/>
      <c r="M104" s="25"/>
      <c r="N104" s="25"/>
      <c r="O104" s="25"/>
      <c r="P104" s="25"/>
      <c r="Q104" s="25"/>
      <c r="R104" s="53">
        <v>-288</v>
      </c>
      <c r="S104" s="25"/>
      <c r="T104" s="5"/>
      <c r="U104" s="110"/>
    </row>
    <row r="105" spans="1:21" ht="15.6" x14ac:dyDescent="0.3">
      <c r="A105" s="24" t="s">
        <v>177</v>
      </c>
      <c r="B105" s="25" t="s">
        <v>231</v>
      </c>
      <c r="C105" s="25"/>
      <c r="D105" s="25"/>
      <c r="E105" s="25"/>
      <c r="F105" s="25"/>
      <c r="G105" s="25"/>
      <c r="H105" s="25"/>
      <c r="I105" s="25"/>
      <c r="J105" s="25"/>
      <c r="K105" s="25"/>
      <c r="L105" s="25"/>
      <c r="M105" s="25"/>
      <c r="N105" s="25"/>
      <c r="O105" s="25"/>
      <c r="P105" s="25"/>
      <c r="Q105" s="25"/>
      <c r="R105" s="53">
        <v>-1331</v>
      </c>
      <c r="S105" s="25"/>
      <c r="T105" s="5"/>
      <c r="U105" s="110"/>
    </row>
    <row r="106" spans="1:21" ht="15.6" x14ac:dyDescent="0.3">
      <c r="A106" s="24" t="s">
        <v>248</v>
      </c>
      <c r="B106" s="25" t="s">
        <v>232</v>
      </c>
      <c r="C106" s="25"/>
      <c r="D106" s="25"/>
      <c r="E106" s="25"/>
      <c r="F106" s="25"/>
      <c r="G106" s="25"/>
      <c r="H106" s="25"/>
      <c r="I106" s="25"/>
      <c r="J106" s="25"/>
      <c r="K106" s="25"/>
      <c r="L106" s="25"/>
      <c r="M106" s="25"/>
      <c r="N106" s="25"/>
      <c r="O106" s="25"/>
      <c r="P106" s="25"/>
      <c r="Q106" s="25"/>
      <c r="R106" s="53">
        <v>-3622</v>
      </c>
      <c r="S106" s="25"/>
      <c r="T106" s="5"/>
    </row>
    <row r="107" spans="1:21" ht="15.6" x14ac:dyDescent="0.3">
      <c r="A107" s="24" t="s">
        <v>205</v>
      </c>
      <c r="B107" s="25" t="s">
        <v>233</v>
      </c>
      <c r="C107" s="25"/>
      <c r="D107" s="25"/>
      <c r="E107" s="25"/>
      <c r="F107" s="25"/>
      <c r="G107" s="25"/>
      <c r="H107" s="25"/>
      <c r="I107" s="25"/>
      <c r="J107" s="25"/>
      <c r="K107" s="25"/>
      <c r="L107" s="25"/>
      <c r="M107" s="25"/>
      <c r="N107" s="25"/>
      <c r="O107" s="25"/>
      <c r="P107" s="25"/>
      <c r="Q107" s="25"/>
      <c r="R107" s="53">
        <v>-3772</v>
      </c>
      <c r="S107" s="25"/>
      <c r="T107" s="5"/>
      <c r="U107" s="110"/>
    </row>
    <row r="108" spans="1:21" ht="15.6" x14ac:dyDescent="0.3">
      <c r="A108" s="24" t="s">
        <v>249</v>
      </c>
      <c r="B108" s="25" t="s">
        <v>234</v>
      </c>
      <c r="C108" s="25"/>
      <c r="D108" s="25"/>
      <c r="E108" s="25"/>
      <c r="F108" s="25"/>
      <c r="G108" s="25"/>
      <c r="H108" s="25"/>
      <c r="I108" s="25"/>
      <c r="J108" s="25"/>
      <c r="K108" s="25"/>
      <c r="L108" s="25"/>
      <c r="M108" s="25"/>
      <c r="N108" s="25"/>
      <c r="O108" s="25"/>
      <c r="P108" s="25"/>
      <c r="Q108" s="25"/>
      <c r="R108" s="53">
        <v>-846</v>
      </c>
      <c r="S108" s="25"/>
      <c r="T108" s="5"/>
      <c r="U108" s="110"/>
    </row>
    <row r="109" spans="1:21" ht="15.6" x14ac:dyDescent="0.3">
      <c r="A109" s="24" t="s">
        <v>250</v>
      </c>
      <c r="B109" s="25" t="s">
        <v>168</v>
      </c>
      <c r="C109" s="25"/>
      <c r="D109" s="25"/>
      <c r="E109" s="25"/>
      <c r="F109" s="25"/>
      <c r="G109" s="25"/>
      <c r="H109" s="25"/>
      <c r="I109" s="25"/>
      <c r="J109" s="25"/>
      <c r="K109" s="25"/>
      <c r="L109" s="25"/>
      <c r="M109" s="25"/>
      <c r="N109" s="25"/>
      <c r="O109" s="25"/>
      <c r="P109" s="25"/>
      <c r="Q109" s="25"/>
      <c r="R109" s="53">
        <v>-459</v>
      </c>
      <c r="S109" s="25"/>
      <c r="T109" s="5"/>
    </row>
    <row r="110" spans="1:21" ht="15.6" x14ac:dyDescent="0.3">
      <c r="A110" s="24">
        <v>6</v>
      </c>
      <c r="B110" s="25" t="s">
        <v>41</v>
      </c>
      <c r="C110" s="25"/>
      <c r="D110" s="25"/>
      <c r="E110" s="25"/>
      <c r="F110" s="25"/>
      <c r="G110" s="25"/>
      <c r="H110" s="25"/>
      <c r="I110" s="25"/>
      <c r="J110" s="25"/>
      <c r="K110" s="25"/>
      <c r="L110" s="25"/>
      <c r="M110" s="25"/>
      <c r="N110" s="25"/>
      <c r="O110" s="25"/>
      <c r="P110" s="25"/>
      <c r="Q110" s="25"/>
      <c r="R110" s="53">
        <v>-8</v>
      </c>
      <c r="S110" s="25"/>
      <c r="T110" s="5"/>
    </row>
    <row r="111" spans="1:21" ht="15.6" x14ac:dyDescent="0.3">
      <c r="A111" s="24">
        <f t="shared" ref="A111:A116" si="0">+A110+1</f>
        <v>7</v>
      </c>
      <c r="B111" s="25" t="s">
        <v>53</v>
      </c>
      <c r="C111" s="25"/>
      <c r="D111" s="25"/>
      <c r="E111" s="25"/>
      <c r="F111" s="25"/>
      <c r="G111" s="25"/>
      <c r="H111" s="25"/>
      <c r="I111" s="25"/>
      <c r="J111" s="25"/>
      <c r="K111" s="25"/>
      <c r="L111" s="25"/>
      <c r="M111" s="25"/>
      <c r="N111" s="25"/>
      <c r="O111" s="25"/>
      <c r="P111" s="25"/>
      <c r="Q111" s="25"/>
      <c r="R111" s="53">
        <v>0</v>
      </c>
      <c r="S111" s="25"/>
      <c r="T111" s="5"/>
    </row>
    <row r="112" spans="1:21" ht="15.6" x14ac:dyDescent="0.3">
      <c r="A112" s="24">
        <f t="shared" si="0"/>
        <v>8</v>
      </c>
      <c r="B112" s="25" t="s">
        <v>144</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9</v>
      </c>
      <c r="B113" s="25" t="s">
        <v>42</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10</v>
      </c>
      <c r="B114" s="25" t="s">
        <v>43</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11</v>
      </c>
      <c r="B115" s="25" t="s">
        <v>175</v>
      </c>
      <c r="C115" s="25"/>
      <c r="D115" s="25"/>
      <c r="E115" s="25"/>
      <c r="F115" s="25"/>
      <c r="G115" s="25"/>
      <c r="H115" s="25"/>
      <c r="I115" s="25"/>
      <c r="J115" s="25"/>
      <c r="K115" s="25"/>
      <c r="L115" s="25"/>
      <c r="M115" s="25"/>
      <c r="N115" s="25"/>
      <c r="O115" s="25"/>
      <c r="P115" s="25"/>
      <c r="Q115" s="25"/>
      <c r="R115" s="53">
        <v>-430</v>
      </c>
      <c r="S115" s="25"/>
      <c r="T115" s="5"/>
    </row>
    <row r="116" spans="1:20" ht="15.6" x14ac:dyDescent="0.3">
      <c r="A116" s="24">
        <f t="shared" si="0"/>
        <v>12</v>
      </c>
      <c r="B116" s="25" t="s">
        <v>145</v>
      </c>
      <c r="C116" s="25"/>
      <c r="D116" s="25"/>
      <c r="E116" s="25"/>
      <c r="F116" s="25"/>
      <c r="G116" s="25"/>
      <c r="H116" s="25"/>
      <c r="I116" s="25"/>
      <c r="J116" s="25"/>
      <c r="K116" s="25"/>
      <c r="L116" s="25"/>
      <c r="M116" s="25"/>
      <c r="N116" s="25"/>
      <c r="O116" s="25"/>
      <c r="P116" s="25"/>
      <c r="Q116" s="25"/>
      <c r="R116" s="53">
        <f>-R97-SUM(R99:R115)</f>
        <v>-2341</v>
      </c>
      <c r="S116" s="25"/>
      <c r="T116" s="5"/>
    </row>
    <row r="117" spans="1:20" ht="15.6" x14ac:dyDescent="0.3">
      <c r="A117" s="24"/>
      <c r="B117" s="119" t="s">
        <v>44</v>
      </c>
      <c r="C117" s="25"/>
      <c r="D117" s="25"/>
      <c r="E117" s="25"/>
      <c r="F117" s="25"/>
      <c r="G117" s="25"/>
      <c r="H117" s="25"/>
      <c r="I117" s="25"/>
      <c r="J117" s="25"/>
      <c r="K117" s="25"/>
      <c r="L117" s="25"/>
      <c r="M117" s="25"/>
      <c r="N117" s="25"/>
      <c r="O117" s="25"/>
      <c r="P117" s="25"/>
      <c r="Q117" s="25"/>
      <c r="R117" s="59"/>
      <c r="S117" s="25"/>
      <c r="T117" s="5"/>
    </row>
    <row r="118" spans="1:20" ht="15.6" x14ac:dyDescent="0.3">
      <c r="A118" s="24"/>
      <c r="B118" s="25" t="s">
        <v>45</v>
      </c>
      <c r="C118" s="25"/>
      <c r="D118" s="25"/>
      <c r="E118" s="25"/>
      <c r="F118" s="25"/>
      <c r="G118" s="25"/>
      <c r="H118" s="25"/>
      <c r="I118" s="25"/>
      <c r="J118" s="25"/>
      <c r="K118" s="25"/>
      <c r="L118" s="25"/>
      <c r="M118" s="25"/>
      <c r="N118" s="25"/>
      <c r="O118" s="25"/>
      <c r="P118" s="34">
        <v>-122</v>
      </c>
      <c r="Q118" s="34"/>
      <c r="R118" s="53"/>
      <c r="S118" s="25"/>
      <c r="T118" s="5"/>
    </row>
    <row r="119" spans="1:20" ht="15.6" x14ac:dyDescent="0.3">
      <c r="A119" s="24"/>
      <c r="B119" s="25" t="s">
        <v>46</v>
      </c>
      <c r="C119" s="25"/>
      <c r="D119" s="25"/>
      <c r="E119" s="25"/>
      <c r="F119" s="25"/>
      <c r="G119" s="25"/>
      <c r="H119" s="25"/>
      <c r="I119" s="25"/>
      <c r="J119" s="25"/>
      <c r="K119" s="25"/>
      <c r="L119" s="25"/>
      <c r="M119" s="25"/>
      <c r="N119" s="25"/>
      <c r="O119" s="25"/>
      <c r="P119" s="34">
        <f>-O173</f>
        <v>-5353</v>
      </c>
      <c r="Q119" s="34"/>
      <c r="R119" s="53"/>
      <c r="S119" s="25"/>
      <c r="T119" s="5"/>
    </row>
    <row r="120" spans="1:20" ht="15.6" x14ac:dyDescent="0.3">
      <c r="A120" s="24"/>
      <c r="B120" s="25" t="s">
        <v>219</v>
      </c>
      <c r="C120" s="25"/>
      <c r="D120" s="25"/>
      <c r="E120" s="25"/>
      <c r="F120" s="25"/>
      <c r="G120" s="25"/>
      <c r="H120" s="25"/>
      <c r="I120" s="25"/>
      <c r="J120" s="25"/>
      <c r="K120" s="25"/>
      <c r="L120" s="25"/>
      <c r="M120" s="25"/>
      <c r="N120" s="25"/>
      <c r="O120" s="25"/>
      <c r="P120" s="34">
        <v>-5164</v>
      </c>
      <c r="Q120" s="34"/>
      <c r="R120" s="53"/>
      <c r="S120" s="25"/>
      <c r="T120" s="5"/>
    </row>
    <row r="121" spans="1:20" ht="15.6" x14ac:dyDescent="0.3">
      <c r="A121" s="24"/>
      <c r="B121" s="25" t="s">
        <v>220</v>
      </c>
      <c r="C121" s="25"/>
      <c r="D121" s="25"/>
      <c r="E121" s="25"/>
      <c r="F121" s="25"/>
      <c r="G121" s="25"/>
      <c r="H121" s="25"/>
      <c r="I121" s="25"/>
      <c r="J121" s="25"/>
      <c r="K121" s="25"/>
      <c r="L121" s="25"/>
      <c r="M121" s="25"/>
      <c r="N121" s="25"/>
      <c r="O121" s="25"/>
      <c r="P121" s="34">
        <v>-23776</v>
      </c>
      <c r="Q121" s="34"/>
      <c r="R121" s="53"/>
      <c r="S121" s="25"/>
      <c r="T121" s="5"/>
    </row>
    <row r="122" spans="1:20" ht="15.6" x14ac:dyDescent="0.3">
      <c r="A122" s="24"/>
      <c r="B122" s="25" t="s">
        <v>221</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222</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223</v>
      </c>
      <c r="C124" s="25"/>
      <c r="D124" s="25"/>
      <c r="E124" s="25"/>
      <c r="F124" s="25"/>
      <c r="G124" s="25"/>
      <c r="H124" s="25"/>
      <c r="I124" s="25"/>
      <c r="J124" s="25"/>
      <c r="K124" s="25"/>
      <c r="L124" s="25"/>
      <c r="M124" s="25"/>
      <c r="N124" s="25"/>
      <c r="O124" s="25"/>
      <c r="P124" s="34">
        <v>0</v>
      </c>
      <c r="Q124" s="34"/>
      <c r="R124" s="53"/>
      <c r="S124" s="25"/>
      <c r="T124" s="5"/>
    </row>
    <row r="125" spans="1:20" ht="15.6" x14ac:dyDescent="0.3">
      <c r="A125" s="24"/>
      <c r="B125" s="25" t="s">
        <v>173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47</v>
      </c>
      <c r="C126" s="25"/>
      <c r="D126" s="25"/>
      <c r="E126" s="25"/>
      <c r="F126" s="25"/>
      <c r="G126" s="25"/>
      <c r="H126" s="25"/>
      <c r="I126" s="25"/>
      <c r="J126" s="25"/>
      <c r="K126" s="25"/>
      <c r="L126" s="25"/>
      <c r="M126" s="25"/>
      <c r="N126" s="25"/>
      <c r="O126" s="25"/>
      <c r="P126" s="34">
        <f>SUM(P118:P125)</f>
        <v>-34415</v>
      </c>
      <c r="Q126" s="34"/>
      <c r="R126" s="34">
        <f>SUM(R98:R125)</f>
        <v>-13680</v>
      </c>
      <c r="S126" s="25"/>
      <c r="T126" s="5"/>
    </row>
    <row r="127" spans="1:20" ht="15.6" x14ac:dyDescent="0.3">
      <c r="A127" s="24"/>
      <c r="B127" s="25" t="s">
        <v>48</v>
      </c>
      <c r="C127" s="25"/>
      <c r="D127" s="25"/>
      <c r="E127" s="25"/>
      <c r="F127" s="25"/>
      <c r="G127" s="25"/>
      <c r="H127" s="25"/>
      <c r="I127" s="25"/>
      <c r="J127" s="25"/>
      <c r="K127" s="25"/>
      <c r="L127" s="25"/>
      <c r="M127" s="25"/>
      <c r="N127" s="25"/>
      <c r="O127" s="25"/>
      <c r="P127" s="34">
        <f>P97+P126</f>
        <v>0</v>
      </c>
      <c r="Q127" s="34"/>
      <c r="R127" s="34">
        <f>R97+R126</f>
        <v>0</v>
      </c>
      <c r="S127" s="25"/>
      <c r="T127" s="5"/>
    </row>
    <row r="128" spans="1:20" ht="15.6" x14ac:dyDescent="0.3">
      <c r="A128" s="24"/>
      <c r="B128" s="25"/>
      <c r="C128" s="25"/>
      <c r="D128" s="25"/>
      <c r="E128" s="25"/>
      <c r="F128" s="25"/>
      <c r="G128" s="25"/>
      <c r="H128" s="25"/>
      <c r="I128" s="25"/>
      <c r="J128" s="25"/>
      <c r="K128" s="25"/>
      <c r="L128" s="25"/>
      <c r="M128" s="25"/>
      <c r="N128" s="25"/>
      <c r="O128" s="25"/>
      <c r="P128" s="34"/>
      <c r="Q128" s="34"/>
      <c r="R128" s="34"/>
      <c r="S128" s="25"/>
      <c r="T128" s="5"/>
    </row>
    <row r="129" spans="1:21" ht="15.6" x14ac:dyDescent="0.3">
      <c r="A129" s="6"/>
      <c r="B129" s="8"/>
      <c r="C129" s="8"/>
      <c r="D129" s="8"/>
      <c r="E129" s="8"/>
      <c r="F129" s="8"/>
      <c r="G129" s="8"/>
      <c r="H129" s="8"/>
      <c r="I129" s="8"/>
      <c r="J129" s="8"/>
      <c r="K129" s="8"/>
      <c r="L129" s="8"/>
      <c r="M129" s="8"/>
      <c r="N129" s="8"/>
      <c r="O129" s="8"/>
      <c r="P129" s="8"/>
      <c r="Q129" s="8"/>
      <c r="R129" s="52"/>
      <c r="S129" s="8"/>
      <c r="T129" s="5"/>
    </row>
    <row r="130" spans="1:21" ht="18" thickBot="1" x14ac:dyDescent="0.35">
      <c r="A130" s="102"/>
      <c r="B130" s="103" t="str">
        <f>B62</f>
        <v>PM8 INVESTOR REPORT QUARTER ENDING JUNE 2006</v>
      </c>
      <c r="C130" s="104"/>
      <c r="D130" s="104"/>
      <c r="E130" s="104"/>
      <c r="F130" s="104"/>
      <c r="G130" s="104"/>
      <c r="H130" s="104"/>
      <c r="I130" s="104"/>
      <c r="J130" s="104"/>
      <c r="K130" s="104"/>
      <c r="L130" s="104"/>
      <c r="M130" s="104"/>
      <c r="N130" s="104"/>
      <c r="O130" s="104"/>
      <c r="P130" s="104"/>
      <c r="Q130" s="104"/>
      <c r="R130" s="107"/>
      <c r="S130" s="106"/>
      <c r="T130" s="5"/>
    </row>
    <row r="131" spans="1:21" ht="15.6" x14ac:dyDescent="0.3">
      <c r="A131" s="2"/>
      <c r="B131" s="60" t="s">
        <v>49</v>
      </c>
      <c r="C131" s="4"/>
      <c r="D131" s="4"/>
      <c r="E131" s="4"/>
      <c r="F131" s="4"/>
      <c r="G131" s="4"/>
      <c r="H131" s="4"/>
      <c r="I131" s="4"/>
      <c r="J131" s="4"/>
      <c r="K131" s="4"/>
      <c r="L131" s="4"/>
      <c r="M131" s="4"/>
      <c r="N131" s="4"/>
      <c r="O131" s="4"/>
      <c r="P131" s="4"/>
      <c r="Q131" s="4"/>
      <c r="R131" s="50"/>
      <c r="S131" s="4"/>
      <c r="T131" s="5"/>
    </row>
    <row r="132" spans="1:21" ht="15.6" x14ac:dyDescent="0.3">
      <c r="A132" s="6"/>
      <c r="B132" s="21"/>
      <c r="C132" s="8"/>
      <c r="D132" s="8"/>
      <c r="E132" s="8"/>
      <c r="F132" s="8"/>
      <c r="G132" s="8"/>
      <c r="H132" s="8"/>
      <c r="I132" s="8"/>
      <c r="J132" s="8"/>
      <c r="K132" s="8"/>
      <c r="L132" s="8"/>
      <c r="M132" s="8"/>
      <c r="N132" s="8"/>
      <c r="O132" s="8"/>
      <c r="P132" s="8"/>
      <c r="Q132" s="8"/>
      <c r="R132" s="52"/>
      <c r="S132" s="8"/>
      <c r="T132" s="5"/>
    </row>
    <row r="133" spans="1:21" ht="15.6" x14ac:dyDescent="0.3">
      <c r="A133" s="6"/>
      <c r="B133" s="120" t="s">
        <v>50</v>
      </c>
      <c r="C133" s="8"/>
      <c r="D133" s="8"/>
      <c r="E133" s="8"/>
      <c r="F133" s="8"/>
      <c r="G133" s="8"/>
      <c r="H133" s="8"/>
      <c r="I133" s="8"/>
      <c r="J133" s="8"/>
      <c r="K133" s="8"/>
      <c r="L133" s="8"/>
      <c r="M133" s="8"/>
      <c r="N133" s="8"/>
      <c r="O133" s="8"/>
      <c r="P133" s="8"/>
      <c r="Q133" s="8"/>
      <c r="R133" s="52"/>
      <c r="S133" s="8"/>
      <c r="T133" s="5"/>
    </row>
    <row r="134" spans="1:21" ht="15.6" x14ac:dyDescent="0.3">
      <c r="A134" s="24"/>
      <c r="B134" s="25" t="s">
        <v>51</v>
      </c>
      <c r="C134" s="25"/>
      <c r="D134" s="25"/>
      <c r="E134" s="25"/>
      <c r="F134" s="25"/>
      <c r="G134" s="25"/>
      <c r="H134" s="25"/>
      <c r="I134" s="25"/>
      <c r="J134" s="25"/>
      <c r="K134" s="25"/>
      <c r="L134" s="25"/>
      <c r="M134" s="25"/>
      <c r="N134" s="25"/>
      <c r="O134" s="25"/>
      <c r="P134" s="25"/>
      <c r="Q134" s="25"/>
      <c r="R134" s="53">
        <f>+R33*0.019</f>
        <v>19000</v>
      </c>
      <c r="S134" s="25"/>
      <c r="T134" s="5"/>
    </row>
    <row r="135" spans="1:21" ht="15.6" x14ac:dyDescent="0.3">
      <c r="A135" s="24"/>
      <c r="B135" s="25" t="s">
        <v>52</v>
      </c>
      <c r="C135" s="25"/>
      <c r="D135" s="25"/>
      <c r="E135" s="25"/>
      <c r="F135" s="25"/>
      <c r="G135" s="25"/>
      <c r="H135" s="25"/>
      <c r="I135" s="25"/>
      <c r="J135" s="25"/>
      <c r="K135" s="25"/>
      <c r="L135" s="25"/>
      <c r="M135" s="25"/>
      <c r="N135" s="25"/>
      <c r="O135" s="25"/>
      <c r="P135" s="25"/>
      <c r="Q135" s="25"/>
      <c r="R135" s="53">
        <v>0</v>
      </c>
      <c r="S135" s="25"/>
      <c r="T135" s="5"/>
    </row>
    <row r="136" spans="1:21" ht="15.6" x14ac:dyDescent="0.3">
      <c r="A136" s="24"/>
      <c r="B136" s="25" t="s">
        <v>155</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142</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143</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53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148</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203</v>
      </c>
      <c r="C141" s="25"/>
      <c r="D141" s="25"/>
      <c r="E141" s="25"/>
      <c r="F141" s="25"/>
      <c r="G141" s="25"/>
      <c r="H141" s="25"/>
      <c r="I141" s="25"/>
      <c r="J141" s="25"/>
      <c r="K141" s="25"/>
      <c r="L141" s="25"/>
      <c r="M141" s="25"/>
      <c r="N141" s="25"/>
      <c r="O141" s="25"/>
      <c r="P141" s="25"/>
      <c r="Q141" s="25"/>
      <c r="R141" s="53">
        <v>0</v>
      </c>
      <c r="S141" s="25"/>
      <c r="T141" s="5"/>
      <c r="U141" s="110"/>
    </row>
    <row r="142" spans="1:21" ht="15.6" x14ac:dyDescent="0.3">
      <c r="A142" s="24"/>
      <c r="B142" s="25" t="s">
        <v>54</v>
      </c>
      <c r="C142" s="25"/>
      <c r="D142" s="25"/>
      <c r="E142" s="25"/>
      <c r="F142" s="25"/>
      <c r="G142" s="25"/>
      <c r="H142" s="25"/>
      <c r="I142" s="25"/>
      <c r="J142" s="25"/>
      <c r="K142" s="25"/>
      <c r="L142" s="25"/>
      <c r="M142" s="25"/>
      <c r="N142" s="25"/>
      <c r="O142" s="25"/>
      <c r="P142" s="25"/>
      <c r="Q142" s="25"/>
      <c r="R142" s="53">
        <f>SUM(R134:R141)</f>
        <v>19000</v>
      </c>
      <c r="S142" s="25"/>
      <c r="T142" s="5"/>
    </row>
    <row r="143" spans="1:21" ht="15.6" x14ac:dyDescent="0.3">
      <c r="A143" s="24"/>
      <c r="B143" s="25"/>
      <c r="C143" s="25"/>
      <c r="D143" s="25"/>
      <c r="E143" s="25"/>
      <c r="F143" s="25"/>
      <c r="G143" s="25"/>
      <c r="H143" s="25"/>
      <c r="I143" s="25"/>
      <c r="J143" s="25"/>
      <c r="K143" s="25"/>
      <c r="L143" s="25"/>
      <c r="M143" s="25"/>
      <c r="N143" s="25"/>
      <c r="O143" s="25"/>
      <c r="P143" s="25"/>
      <c r="Q143" s="25"/>
      <c r="R143" s="53"/>
      <c r="S143" s="25"/>
      <c r="T143" s="5"/>
    </row>
    <row r="144" spans="1:21" ht="15.6" x14ac:dyDescent="0.3">
      <c r="A144" s="24"/>
      <c r="B144" s="141" t="s">
        <v>264</v>
      </c>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25" t="s">
        <v>206</v>
      </c>
      <c r="C145" s="25"/>
      <c r="D145" s="25"/>
      <c r="E145" s="25"/>
      <c r="F145" s="25"/>
      <c r="G145" s="25"/>
      <c r="H145" s="25"/>
      <c r="I145" s="25"/>
      <c r="J145" s="25"/>
      <c r="K145" s="25"/>
      <c r="L145" s="25"/>
      <c r="M145" s="25"/>
      <c r="N145" s="25"/>
      <c r="O145" s="25"/>
      <c r="P145" s="25"/>
      <c r="Q145" s="25"/>
      <c r="R145" s="53">
        <f>+R33*0.005</f>
        <v>5000</v>
      </c>
      <c r="S145" s="25"/>
      <c r="T145" s="5"/>
    </row>
    <row r="146" spans="1:20" ht="15.6" x14ac:dyDescent="0.3">
      <c r="A146" s="24"/>
      <c r="B146" s="25" t="s">
        <v>260</v>
      </c>
      <c r="C146" s="25"/>
      <c r="D146" s="25"/>
      <c r="E146" s="25"/>
      <c r="F146" s="25"/>
      <c r="G146" s="25"/>
      <c r="H146" s="25"/>
      <c r="I146" s="25"/>
      <c r="J146" s="25"/>
      <c r="K146" s="25"/>
      <c r="L146" s="25"/>
      <c r="M146" s="25"/>
      <c r="N146" s="25"/>
      <c r="O146" s="25"/>
      <c r="P146" s="25"/>
      <c r="Q146" s="25"/>
      <c r="R146" s="53">
        <v>0</v>
      </c>
      <c r="S146" s="25"/>
      <c r="T146" s="5"/>
    </row>
    <row r="147" spans="1:20" ht="15.6" x14ac:dyDescent="0.3">
      <c r="A147" s="24"/>
      <c r="B147" s="25" t="s">
        <v>265</v>
      </c>
      <c r="C147" s="25"/>
      <c r="D147" s="25"/>
      <c r="E147" s="25"/>
      <c r="F147" s="25"/>
      <c r="G147" s="25"/>
      <c r="H147" s="25"/>
      <c r="I147" s="25"/>
      <c r="J147" s="25"/>
      <c r="K147" s="25"/>
      <c r="L147" s="25"/>
      <c r="M147" s="25"/>
      <c r="N147" s="25"/>
      <c r="O147" s="25"/>
      <c r="P147" s="25"/>
      <c r="Q147" s="25"/>
      <c r="R147" s="53">
        <f>SUM(R145:R146)</f>
        <v>5000</v>
      </c>
      <c r="S147" s="25"/>
      <c r="T147" s="5"/>
    </row>
    <row r="148" spans="1:20" ht="15.6" x14ac:dyDescent="0.3">
      <c r="A148" s="24"/>
      <c r="B148" s="25"/>
      <c r="C148" s="25"/>
      <c r="D148" s="25"/>
      <c r="E148" s="25"/>
      <c r="F148" s="25"/>
      <c r="G148" s="25"/>
      <c r="H148" s="25"/>
      <c r="I148" s="25"/>
      <c r="J148" s="25"/>
      <c r="K148" s="25"/>
      <c r="L148" s="25"/>
      <c r="M148" s="25"/>
      <c r="N148" s="25"/>
      <c r="O148" s="25"/>
      <c r="P148" s="25"/>
      <c r="Q148" s="25"/>
      <c r="R148" s="53"/>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61"/>
      <c r="S149" s="25"/>
      <c r="T149" s="5"/>
    </row>
    <row r="150" spans="1:20" ht="15.6" x14ac:dyDescent="0.3">
      <c r="A150" s="6"/>
      <c r="B150" s="120" t="s">
        <v>28</v>
      </c>
      <c r="C150" s="8"/>
      <c r="D150" s="8"/>
      <c r="E150" s="8"/>
      <c r="F150" s="8"/>
      <c r="G150" s="8"/>
      <c r="H150" s="8"/>
      <c r="I150" s="8"/>
      <c r="J150" s="8"/>
      <c r="K150" s="8"/>
      <c r="L150" s="8"/>
      <c r="M150" s="8"/>
      <c r="N150" s="8"/>
      <c r="O150" s="8"/>
      <c r="P150" s="8"/>
      <c r="Q150" s="8"/>
      <c r="R150" s="52"/>
      <c r="S150" s="8"/>
      <c r="T150" s="5"/>
    </row>
    <row r="151" spans="1:20" ht="15.6" x14ac:dyDescent="0.3">
      <c r="A151" s="24"/>
      <c r="B151" s="25" t="s">
        <v>55</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56</v>
      </c>
      <c r="C152" s="146"/>
      <c r="D152" s="146"/>
      <c r="E152" s="146"/>
      <c r="F152" s="146"/>
      <c r="G152" s="146"/>
      <c r="H152" s="146"/>
      <c r="I152" s="146"/>
      <c r="J152" s="146"/>
      <c r="K152" s="146"/>
      <c r="L152" s="146"/>
      <c r="M152" s="146"/>
      <c r="N152" s="146"/>
      <c r="O152" s="146"/>
      <c r="P152" s="146"/>
      <c r="Q152" s="146"/>
      <c r="R152" s="59" t="s">
        <v>137</v>
      </c>
      <c r="S152" s="25"/>
      <c r="T152" s="5"/>
    </row>
    <row r="153" spans="1:20" ht="15.6" x14ac:dyDescent="0.3">
      <c r="A153" s="24"/>
      <c r="B153" s="25" t="s">
        <v>57</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58</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c r="C155" s="25"/>
      <c r="D155" s="25"/>
      <c r="E155" s="25"/>
      <c r="F155" s="25"/>
      <c r="G155" s="25"/>
      <c r="H155" s="25"/>
      <c r="I155" s="25"/>
      <c r="J155" s="25"/>
      <c r="K155" s="25"/>
      <c r="L155" s="25"/>
      <c r="M155" s="25"/>
      <c r="N155" s="25"/>
      <c r="O155" s="25"/>
      <c r="P155" s="25"/>
      <c r="Q155" s="25"/>
      <c r="R155" s="61"/>
      <c r="S155" s="25"/>
      <c r="T155" s="5"/>
    </row>
    <row r="156" spans="1:20" ht="15.6" x14ac:dyDescent="0.3">
      <c r="A156" s="6"/>
      <c r="B156" s="120" t="s">
        <v>59</v>
      </c>
      <c r="C156" s="8"/>
      <c r="D156" s="8"/>
      <c r="E156" s="8"/>
      <c r="F156" s="8"/>
      <c r="G156" s="8"/>
      <c r="H156" s="8"/>
      <c r="I156" s="8"/>
      <c r="J156" s="8"/>
      <c r="K156" s="8"/>
      <c r="L156" s="8"/>
      <c r="M156" s="8"/>
      <c r="N156" s="8"/>
      <c r="O156" s="8"/>
      <c r="P156" s="8"/>
      <c r="Q156" s="8"/>
      <c r="R156" s="63"/>
      <c r="S156" s="8"/>
      <c r="T156" s="5"/>
    </row>
    <row r="157" spans="1:20" ht="15.6" x14ac:dyDescent="0.3">
      <c r="A157" s="24"/>
      <c r="B157" s="25" t="s">
        <v>60</v>
      </c>
      <c r="C157" s="25"/>
      <c r="D157" s="25"/>
      <c r="E157" s="25"/>
      <c r="F157" s="25"/>
      <c r="G157" s="25"/>
      <c r="H157" s="25"/>
      <c r="I157" s="25"/>
      <c r="J157" s="25"/>
      <c r="K157" s="25"/>
      <c r="L157" s="25"/>
      <c r="M157" s="25"/>
      <c r="N157" s="25"/>
      <c r="O157" s="25"/>
      <c r="P157" s="25"/>
      <c r="Q157" s="25"/>
      <c r="R157" s="53">
        <v>0</v>
      </c>
      <c r="S157" s="25"/>
      <c r="T157" s="5"/>
    </row>
    <row r="158" spans="1:20" ht="15.6" x14ac:dyDescent="0.3">
      <c r="A158" s="24"/>
      <c r="B158" s="25" t="s">
        <v>61</v>
      </c>
      <c r="C158" s="25"/>
      <c r="D158" s="25"/>
      <c r="E158" s="25"/>
      <c r="F158" s="25"/>
      <c r="G158" s="25"/>
      <c r="H158" s="25"/>
      <c r="I158" s="25"/>
      <c r="J158" s="25"/>
      <c r="K158" s="25"/>
      <c r="L158" s="25"/>
      <c r="M158" s="25"/>
      <c r="N158" s="25"/>
      <c r="O158" s="25"/>
      <c r="P158" s="25"/>
      <c r="Q158" s="25"/>
      <c r="R158" s="53">
        <v>0</v>
      </c>
      <c r="S158" s="25"/>
      <c r="T158" s="5"/>
    </row>
    <row r="159" spans="1:20" ht="15.6" x14ac:dyDescent="0.3">
      <c r="A159" s="24"/>
      <c r="B159" s="25" t="s">
        <v>62</v>
      </c>
      <c r="C159" s="25"/>
      <c r="D159" s="25"/>
      <c r="E159" s="25"/>
      <c r="F159" s="25"/>
      <c r="G159" s="25"/>
      <c r="H159" s="25"/>
      <c r="I159" s="25"/>
      <c r="J159" s="25"/>
      <c r="K159" s="25"/>
      <c r="L159" s="25"/>
      <c r="M159" s="25"/>
      <c r="N159" s="25"/>
      <c r="O159" s="25"/>
      <c r="P159" s="25"/>
      <c r="Q159" s="25"/>
      <c r="R159" s="53">
        <f>R158+R157</f>
        <v>0</v>
      </c>
      <c r="S159" s="25"/>
      <c r="T159" s="5"/>
    </row>
    <row r="160" spans="1:20" ht="15.6" x14ac:dyDescent="0.3">
      <c r="A160" s="24"/>
      <c r="B160" s="155" t="s">
        <v>308</v>
      </c>
      <c r="C160" s="25"/>
      <c r="D160" s="25"/>
      <c r="E160" s="25"/>
      <c r="F160" s="25"/>
      <c r="G160" s="25"/>
      <c r="H160" s="25"/>
      <c r="I160" s="25"/>
      <c r="J160" s="25"/>
      <c r="K160" s="25"/>
      <c r="L160" s="25"/>
      <c r="M160" s="25"/>
      <c r="N160" s="25"/>
      <c r="O160" s="25"/>
      <c r="P160" s="25"/>
      <c r="Q160" s="25"/>
      <c r="R160" s="53">
        <f>R112</f>
        <v>0</v>
      </c>
      <c r="S160" s="25"/>
      <c r="T160" s="5"/>
    </row>
    <row r="161" spans="1:20" ht="15.6" x14ac:dyDescent="0.3">
      <c r="A161" s="24"/>
      <c r="B161" s="25" t="s">
        <v>63</v>
      </c>
      <c r="C161" s="25"/>
      <c r="D161" s="25"/>
      <c r="E161" s="25"/>
      <c r="F161" s="25"/>
      <c r="G161" s="25"/>
      <c r="H161" s="25"/>
      <c r="I161" s="25"/>
      <c r="J161" s="25"/>
      <c r="K161" s="25"/>
      <c r="L161" s="25"/>
      <c r="M161" s="25"/>
      <c r="N161" s="25"/>
      <c r="O161" s="25"/>
      <c r="P161" s="25"/>
      <c r="Q161" s="25"/>
      <c r="R161" s="53">
        <f>R159+R160</f>
        <v>0</v>
      </c>
      <c r="S161" s="25"/>
      <c r="T161" s="5"/>
    </row>
    <row r="162" spans="1:20" ht="16.2" thickBot="1" x14ac:dyDescent="0.35">
      <c r="A162" s="24"/>
      <c r="B162" s="25"/>
      <c r="C162" s="25"/>
      <c r="D162" s="25"/>
      <c r="E162" s="25"/>
      <c r="F162" s="25"/>
      <c r="G162" s="25"/>
      <c r="H162" s="25"/>
      <c r="I162" s="25"/>
      <c r="J162" s="25"/>
      <c r="K162" s="25"/>
      <c r="L162" s="25"/>
      <c r="M162" s="25"/>
      <c r="N162" s="25"/>
      <c r="O162" s="25"/>
      <c r="P162" s="25"/>
      <c r="Q162" s="25"/>
      <c r="R162" s="61"/>
      <c r="S162" s="25"/>
      <c r="T162" s="5"/>
    </row>
    <row r="163" spans="1:20" ht="15.6" x14ac:dyDescent="0.3">
      <c r="A163" s="2"/>
      <c r="B163" s="4"/>
      <c r="C163" s="4"/>
      <c r="D163" s="4"/>
      <c r="E163" s="4"/>
      <c r="F163" s="4"/>
      <c r="G163" s="4"/>
      <c r="H163" s="4"/>
      <c r="I163" s="4"/>
      <c r="J163" s="4"/>
      <c r="K163" s="4"/>
      <c r="L163" s="4"/>
      <c r="M163" s="4"/>
      <c r="N163" s="4"/>
      <c r="O163" s="4"/>
      <c r="P163" s="4"/>
      <c r="Q163" s="4"/>
      <c r="R163" s="50"/>
      <c r="S163" s="4"/>
      <c r="T163" s="5"/>
    </row>
    <row r="164" spans="1:20" ht="15.6" x14ac:dyDescent="0.3">
      <c r="A164" s="6"/>
      <c r="B164" s="120" t="s">
        <v>64</v>
      </c>
      <c r="C164" s="8"/>
      <c r="D164" s="8"/>
      <c r="E164" s="8"/>
      <c r="F164" s="8"/>
      <c r="G164" s="8"/>
      <c r="H164" s="8"/>
      <c r="I164" s="8"/>
      <c r="J164" s="8"/>
      <c r="K164" s="8"/>
      <c r="L164" s="8"/>
      <c r="M164" s="8"/>
      <c r="N164" s="8"/>
      <c r="O164" s="8"/>
      <c r="P164" s="8"/>
      <c r="Q164" s="8"/>
      <c r="R164" s="52"/>
      <c r="S164" s="8"/>
      <c r="T164" s="5"/>
    </row>
    <row r="165" spans="1:20" ht="15.6" x14ac:dyDescent="0.3">
      <c r="A165" s="6"/>
      <c r="B165" s="21"/>
      <c r="C165" s="8"/>
      <c r="D165" s="8"/>
      <c r="E165" s="8"/>
      <c r="F165" s="8"/>
      <c r="G165" s="8"/>
      <c r="H165" s="8"/>
      <c r="I165" s="8"/>
      <c r="J165" s="8"/>
      <c r="K165" s="8"/>
      <c r="L165" s="8"/>
      <c r="M165" s="8"/>
      <c r="N165" s="8"/>
      <c r="O165" s="8"/>
      <c r="P165" s="8"/>
      <c r="Q165" s="8"/>
      <c r="R165" s="52"/>
      <c r="S165" s="8"/>
      <c r="T165" s="5"/>
    </row>
    <row r="166" spans="1:20" ht="15.6" x14ac:dyDescent="0.3">
      <c r="A166" s="24"/>
      <c r="B166" s="25" t="s">
        <v>65</v>
      </c>
      <c r="C166" s="25"/>
      <c r="D166" s="25"/>
      <c r="E166" s="25"/>
      <c r="F166" s="25"/>
      <c r="G166" s="25"/>
      <c r="H166" s="25"/>
      <c r="I166" s="25"/>
      <c r="J166" s="25"/>
      <c r="K166" s="25"/>
      <c r="L166" s="25"/>
      <c r="M166" s="25"/>
      <c r="N166" s="25"/>
      <c r="O166" s="25"/>
      <c r="P166" s="25"/>
      <c r="Q166" s="25"/>
      <c r="R166" s="53">
        <f>R70</f>
        <v>829133</v>
      </c>
      <c r="S166" s="25"/>
      <c r="T166" s="5"/>
    </row>
    <row r="167" spans="1:20" ht="15.6" x14ac:dyDescent="0.3">
      <c r="A167" s="24"/>
      <c r="B167" s="25" t="s">
        <v>66</v>
      </c>
      <c r="C167" s="25"/>
      <c r="D167" s="25"/>
      <c r="E167" s="25"/>
      <c r="F167" s="25"/>
      <c r="G167" s="25"/>
      <c r="H167" s="25"/>
      <c r="I167" s="25"/>
      <c r="J167" s="25"/>
      <c r="K167" s="25"/>
      <c r="L167" s="25"/>
      <c r="M167" s="25"/>
      <c r="N167" s="25"/>
      <c r="O167" s="25"/>
      <c r="P167" s="25"/>
      <c r="Q167" s="25"/>
      <c r="R167" s="53">
        <f>R83</f>
        <v>829133</v>
      </c>
      <c r="S167" s="25"/>
      <c r="T167" s="5"/>
    </row>
    <row r="168" spans="1:20" ht="16.2" thickBot="1" x14ac:dyDescent="0.35">
      <c r="A168" s="24"/>
      <c r="B168" s="25"/>
      <c r="C168" s="25"/>
      <c r="D168" s="25"/>
      <c r="E168" s="25"/>
      <c r="F168" s="25"/>
      <c r="G168" s="25"/>
      <c r="H168" s="25"/>
      <c r="I168" s="25"/>
      <c r="J168" s="25"/>
      <c r="K168" s="25"/>
      <c r="L168" s="25"/>
      <c r="M168" s="25"/>
      <c r="N168" s="25"/>
      <c r="O168" s="25"/>
      <c r="P168" s="25"/>
      <c r="Q168" s="25"/>
      <c r="R168" s="61"/>
      <c r="S168" s="25"/>
      <c r="T168" s="5"/>
    </row>
    <row r="169" spans="1:20" ht="15.6" x14ac:dyDescent="0.3">
      <c r="A169" s="2"/>
      <c r="B169" s="4"/>
      <c r="C169" s="4"/>
      <c r="D169" s="4"/>
      <c r="E169" s="4"/>
      <c r="F169" s="4"/>
      <c r="G169" s="4"/>
      <c r="H169" s="4"/>
      <c r="I169" s="4"/>
      <c r="J169" s="4"/>
      <c r="K169" s="4"/>
      <c r="L169" s="4"/>
      <c r="M169" s="4"/>
      <c r="N169" s="4"/>
      <c r="O169" s="4"/>
      <c r="P169" s="4"/>
      <c r="Q169" s="4"/>
      <c r="R169" s="50"/>
      <c r="S169" s="4"/>
      <c r="T169" s="5"/>
    </row>
    <row r="170" spans="1:20" ht="15.6" x14ac:dyDescent="0.3">
      <c r="A170" s="6"/>
      <c r="B170" s="120" t="s">
        <v>67</v>
      </c>
      <c r="C170" s="118"/>
      <c r="D170" s="118"/>
      <c r="E170" s="118"/>
      <c r="F170" s="118"/>
      <c r="G170" s="118"/>
      <c r="H170" s="121"/>
      <c r="I170" s="121"/>
      <c r="J170" s="121"/>
      <c r="K170" s="121"/>
      <c r="L170" s="121"/>
      <c r="M170" s="121"/>
      <c r="N170" s="121"/>
      <c r="O170" s="121" t="s">
        <v>112</v>
      </c>
      <c r="P170" s="121" t="s">
        <v>120</v>
      </c>
      <c r="Q170" s="112"/>
      <c r="R170" s="122" t="s">
        <v>129</v>
      </c>
      <c r="S170" s="10"/>
      <c r="T170" s="5"/>
    </row>
    <row r="171" spans="1:20" ht="15.6" x14ac:dyDescent="0.3">
      <c r="A171" s="24"/>
      <c r="B171" s="25" t="s">
        <v>68</v>
      </c>
      <c r="C171" s="25"/>
      <c r="D171" s="25"/>
      <c r="E171" s="25"/>
      <c r="F171" s="25"/>
      <c r="G171" s="25"/>
      <c r="H171" s="25"/>
      <c r="I171" s="25"/>
      <c r="J171" s="25"/>
      <c r="K171" s="25"/>
      <c r="L171" s="25"/>
      <c r="M171" s="25"/>
      <c r="N171" s="25"/>
      <c r="O171" s="53">
        <v>160000</v>
      </c>
      <c r="P171" s="40"/>
      <c r="Q171" s="25"/>
      <c r="R171" s="53"/>
      <c r="S171" s="25"/>
      <c r="T171" s="5"/>
    </row>
    <row r="172" spans="1:20" ht="15.6" x14ac:dyDescent="0.3">
      <c r="A172" s="24"/>
      <c r="B172" s="25" t="s">
        <v>69</v>
      </c>
      <c r="C172" s="25"/>
      <c r="D172" s="25"/>
      <c r="E172" s="25"/>
      <c r="F172" s="25"/>
      <c r="G172" s="25"/>
      <c r="H172" s="25"/>
      <c r="I172" s="25"/>
      <c r="J172" s="25"/>
      <c r="K172" s="25"/>
      <c r="L172" s="25"/>
      <c r="M172" s="25"/>
      <c r="N172" s="25"/>
      <c r="O172" s="53">
        <f>+'March 06'!O174</f>
        <v>34396</v>
      </c>
      <c r="P172" s="53">
        <f>+'March 06'!P174</f>
        <v>6872</v>
      </c>
      <c r="Q172" s="25"/>
      <c r="R172" s="53">
        <f>O172+P172</f>
        <v>41268</v>
      </c>
      <c r="S172" s="25"/>
      <c r="T172" s="5"/>
    </row>
    <row r="173" spans="1:20" ht="15.6" x14ac:dyDescent="0.3">
      <c r="A173" s="24"/>
      <c r="B173" s="25" t="s">
        <v>70</v>
      </c>
      <c r="C173" s="25"/>
      <c r="D173" s="25"/>
      <c r="E173" s="25"/>
      <c r="F173" s="25"/>
      <c r="G173" s="25"/>
      <c r="H173" s="25"/>
      <c r="I173" s="25"/>
      <c r="J173" s="25"/>
      <c r="K173" s="25"/>
      <c r="L173" s="25"/>
      <c r="M173" s="25"/>
      <c r="N173" s="25"/>
      <c r="O173" s="34">
        <v>5353</v>
      </c>
      <c r="P173" s="34">
        <f>-P95-P118</f>
        <v>146</v>
      </c>
      <c r="Q173" s="25"/>
      <c r="R173" s="53">
        <f>O173+P173</f>
        <v>5499</v>
      </c>
      <c r="S173" s="25"/>
      <c r="T173" s="5"/>
    </row>
    <row r="174" spans="1:20" ht="15.6" x14ac:dyDescent="0.3">
      <c r="A174" s="24"/>
      <c r="B174" s="25" t="s">
        <v>71</v>
      </c>
      <c r="C174" s="25"/>
      <c r="D174" s="25"/>
      <c r="E174" s="25"/>
      <c r="F174" s="25"/>
      <c r="G174" s="25"/>
      <c r="H174" s="25"/>
      <c r="I174" s="25"/>
      <c r="J174" s="25"/>
      <c r="K174" s="25"/>
      <c r="L174" s="25"/>
      <c r="M174" s="25"/>
      <c r="N174" s="25"/>
      <c r="O174" s="53">
        <f>O172+O173</f>
        <v>39749</v>
      </c>
      <c r="P174" s="53">
        <f>P173+P172</f>
        <v>7018</v>
      </c>
      <c r="Q174" s="25"/>
      <c r="R174" s="53">
        <f>O174+P174</f>
        <v>46767</v>
      </c>
      <c r="S174" s="25"/>
      <c r="T174" s="5"/>
    </row>
    <row r="175" spans="1:20" ht="15.6" x14ac:dyDescent="0.3">
      <c r="A175" s="24"/>
      <c r="B175" s="25" t="s">
        <v>72</v>
      </c>
      <c r="C175" s="25"/>
      <c r="D175" s="25"/>
      <c r="E175" s="25"/>
      <c r="F175" s="25"/>
      <c r="G175" s="25"/>
      <c r="H175" s="25"/>
      <c r="I175" s="25"/>
      <c r="J175" s="25"/>
      <c r="K175" s="25"/>
      <c r="L175" s="25"/>
      <c r="M175" s="25"/>
      <c r="N175" s="25"/>
      <c r="O175" s="53">
        <f>O171-O174-P174</f>
        <v>113233</v>
      </c>
      <c r="P175" s="40"/>
      <c r="Q175" s="25"/>
      <c r="R175" s="53"/>
      <c r="S175" s="25"/>
      <c r="T175" s="5"/>
    </row>
    <row r="176" spans="1:20" ht="16.2" thickBot="1" x14ac:dyDescent="0.35">
      <c r="A176" s="24"/>
      <c r="B176" s="25"/>
      <c r="C176" s="25"/>
      <c r="D176" s="25"/>
      <c r="E176" s="25"/>
      <c r="F176" s="25"/>
      <c r="G176" s="25"/>
      <c r="H176" s="25"/>
      <c r="I176" s="25"/>
      <c r="J176" s="25"/>
      <c r="K176" s="25"/>
      <c r="L176" s="25"/>
      <c r="M176" s="25"/>
      <c r="N176" s="25"/>
      <c r="O176" s="25"/>
      <c r="P176" s="25"/>
      <c r="Q176" s="25"/>
      <c r="R176" s="61"/>
      <c r="S176" s="25"/>
      <c r="T176" s="5"/>
    </row>
    <row r="177" spans="1:20" ht="15.6" x14ac:dyDescent="0.3">
      <c r="A177" s="2"/>
      <c r="B177" s="4"/>
      <c r="C177" s="4"/>
      <c r="D177" s="4"/>
      <c r="E177" s="4"/>
      <c r="F177" s="4"/>
      <c r="G177" s="4"/>
      <c r="H177" s="4"/>
      <c r="I177" s="4"/>
      <c r="J177" s="4"/>
      <c r="K177" s="4"/>
      <c r="L177" s="4"/>
      <c r="M177" s="4"/>
      <c r="N177" s="4"/>
      <c r="O177" s="4"/>
      <c r="P177" s="4"/>
      <c r="Q177" s="4"/>
      <c r="R177" s="50"/>
      <c r="S177" s="4"/>
      <c r="T177" s="5"/>
    </row>
    <row r="178" spans="1:20" ht="15.6" x14ac:dyDescent="0.3">
      <c r="A178" s="6"/>
      <c r="B178" s="120" t="s">
        <v>73</v>
      </c>
      <c r="C178" s="8"/>
      <c r="D178" s="8"/>
      <c r="E178" s="8"/>
      <c r="F178" s="8"/>
      <c r="G178" s="8"/>
      <c r="H178" s="8"/>
      <c r="I178" s="8"/>
      <c r="J178" s="8"/>
      <c r="K178" s="8"/>
      <c r="L178" s="8"/>
      <c r="M178" s="8"/>
      <c r="N178" s="8"/>
      <c r="O178" s="8"/>
      <c r="P178" s="8"/>
      <c r="Q178" s="8"/>
      <c r="R178" s="65"/>
      <c r="S178" s="8"/>
      <c r="T178" s="5"/>
    </row>
    <row r="179" spans="1:20" ht="15.6" x14ac:dyDescent="0.3">
      <c r="A179" s="24"/>
      <c r="B179" s="25" t="s">
        <v>74</v>
      </c>
      <c r="C179" s="25"/>
      <c r="D179" s="25"/>
      <c r="E179" s="25"/>
      <c r="F179" s="25"/>
      <c r="G179" s="25"/>
      <c r="H179" s="25"/>
      <c r="I179" s="25"/>
      <c r="J179" s="25"/>
      <c r="K179" s="25"/>
      <c r="L179" s="25"/>
      <c r="M179" s="25"/>
      <c r="N179" s="25"/>
      <c r="O179" s="25"/>
      <c r="P179" s="25"/>
      <c r="Q179" s="25"/>
      <c r="R179" s="59">
        <f>(R97+R99+R100+R101+R102+R103)/-(R104+R105+R106+R107)</f>
        <v>1.4531232663929878</v>
      </c>
      <c r="S179" s="25" t="s">
        <v>130</v>
      </c>
      <c r="T179" s="5"/>
    </row>
    <row r="180" spans="1:20" ht="15.6" x14ac:dyDescent="0.3">
      <c r="A180" s="24"/>
      <c r="B180" s="25" t="s">
        <v>75</v>
      </c>
      <c r="C180" s="25"/>
      <c r="D180" s="25"/>
      <c r="E180" s="25"/>
      <c r="F180" s="25"/>
      <c r="G180" s="25"/>
      <c r="H180" s="25"/>
      <c r="I180" s="25"/>
      <c r="J180" s="25"/>
      <c r="K180" s="25"/>
      <c r="L180" s="25"/>
      <c r="M180" s="25"/>
      <c r="N180" s="25"/>
      <c r="O180" s="25"/>
      <c r="P180" s="25"/>
      <c r="Q180" s="25"/>
      <c r="R180" s="66">
        <v>1.34</v>
      </c>
      <c r="S180" s="25" t="s">
        <v>130</v>
      </c>
      <c r="T180" s="5"/>
    </row>
    <row r="181" spans="1:20" ht="15.6" x14ac:dyDescent="0.3">
      <c r="A181" s="24"/>
      <c r="B181" s="25" t="s">
        <v>76</v>
      </c>
      <c r="C181" s="25"/>
      <c r="D181" s="25"/>
      <c r="E181" s="25"/>
      <c r="F181" s="25"/>
      <c r="G181" s="25"/>
      <c r="H181" s="25"/>
      <c r="I181" s="25"/>
      <c r="J181" s="25"/>
      <c r="K181" s="25"/>
      <c r="L181" s="25"/>
      <c r="M181" s="25"/>
      <c r="N181" s="25"/>
      <c r="O181" s="25"/>
      <c r="P181" s="25"/>
      <c r="Q181" s="25"/>
      <c r="R181" s="59">
        <f>(R97+R99+R100+R101+R102+R103+R104+R105+R106+R107)/-(R108+R109)</f>
        <v>3.1295019157088122</v>
      </c>
      <c r="S181" s="25" t="s">
        <v>130</v>
      </c>
      <c r="T181" s="5"/>
    </row>
    <row r="182" spans="1:20" ht="15.6" x14ac:dyDescent="0.3">
      <c r="A182" s="24"/>
      <c r="B182" s="25" t="s">
        <v>77</v>
      </c>
      <c r="C182" s="25"/>
      <c r="D182" s="25"/>
      <c r="E182" s="25"/>
      <c r="F182" s="25"/>
      <c r="G182" s="25"/>
      <c r="H182" s="25"/>
      <c r="I182" s="25"/>
      <c r="J182" s="25"/>
      <c r="K182" s="25"/>
      <c r="L182" s="25"/>
      <c r="M182" s="25"/>
      <c r="N182" s="25"/>
      <c r="O182" s="25"/>
      <c r="P182" s="25"/>
      <c r="Q182" s="25"/>
      <c r="R182" s="67">
        <v>2.63</v>
      </c>
      <c r="S182" s="25" t="s">
        <v>130</v>
      </c>
      <c r="T182" s="5"/>
    </row>
    <row r="183" spans="1:20" ht="15.6" x14ac:dyDescent="0.3">
      <c r="A183" s="24"/>
      <c r="B183" s="25"/>
      <c r="C183" s="25"/>
      <c r="D183" s="25"/>
      <c r="E183" s="25"/>
      <c r="F183" s="25"/>
      <c r="G183" s="25"/>
      <c r="H183" s="25"/>
      <c r="I183" s="25"/>
      <c r="J183" s="25"/>
      <c r="K183" s="25"/>
      <c r="L183" s="25"/>
      <c r="M183" s="25"/>
      <c r="N183" s="25"/>
      <c r="O183" s="25"/>
      <c r="P183" s="25"/>
      <c r="Q183" s="25"/>
      <c r="R183" s="25"/>
      <c r="S183" s="25"/>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6"/>
      <c r="B185" s="8"/>
      <c r="C185" s="8"/>
      <c r="D185" s="8"/>
      <c r="E185" s="8"/>
      <c r="F185" s="8"/>
      <c r="G185" s="8"/>
      <c r="H185" s="8"/>
      <c r="I185" s="8"/>
      <c r="J185" s="8"/>
      <c r="K185" s="8"/>
      <c r="L185" s="8"/>
      <c r="M185" s="8"/>
      <c r="N185" s="8"/>
      <c r="O185" s="8"/>
      <c r="P185" s="8"/>
      <c r="Q185" s="8"/>
      <c r="R185" s="8"/>
      <c r="S185" s="8"/>
      <c r="T185" s="5"/>
    </row>
    <row r="186" spans="1:20" ht="18" thickBot="1" x14ac:dyDescent="0.35">
      <c r="A186" s="102"/>
      <c r="B186" s="103" t="str">
        <f>B130</f>
        <v>PM8 INVESTOR REPORT QUARTER ENDING JUNE 2006</v>
      </c>
      <c r="C186" s="148"/>
      <c r="D186" s="148"/>
      <c r="E186" s="148"/>
      <c r="F186" s="148"/>
      <c r="G186" s="148"/>
      <c r="H186" s="148"/>
      <c r="I186" s="148"/>
      <c r="J186" s="148"/>
      <c r="K186" s="148"/>
      <c r="L186" s="148"/>
      <c r="M186" s="148"/>
      <c r="N186" s="148"/>
      <c r="O186" s="148"/>
      <c r="P186" s="148"/>
      <c r="Q186" s="148"/>
      <c r="R186" s="148"/>
      <c r="S186" s="149"/>
      <c r="T186" s="5"/>
    </row>
    <row r="187" spans="1:20" ht="15.6" x14ac:dyDescent="0.3">
      <c r="A187" s="68"/>
      <c r="B187" s="60" t="s">
        <v>78</v>
      </c>
      <c r="C187" s="69"/>
      <c r="D187" s="69"/>
      <c r="E187" s="69"/>
      <c r="F187" s="69"/>
      <c r="G187" s="70"/>
      <c r="H187" s="70"/>
      <c r="I187" s="70"/>
      <c r="J187" s="70"/>
      <c r="K187" s="70"/>
      <c r="L187" s="70"/>
      <c r="M187" s="70"/>
      <c r="N187" s="70"/>
      <c r="O187" s="70"/>
      <c r="P187" s="71">
        <v>38898</v>
      </c>
      <c r="Q187" s="4"/>
      <c r="R187" s="4"/>
      <c r="S187" s="4"/>
      <c r="T187" s="5"/>
    </row>
    <row r="188" spans="1:20" ht="15.6" x14ac:dyDescent="0.3">
      <c r="A188" s="72"/>
      <c r="B188" s="73"/>
      <c r="C188" s="74"/>
      <c r="D188" s="74"/>
      <c r="E188" s="74"/>
      <c r="F188" s="74"/>
      <c r="G188" s="75"/>
      <c r="H188" s="75"/>
      <c r="I188" s="75"/>
      <c r="J188" s="75"/>
      <c r="K188" s="75"/>
      <c r="L188" s="75"/>
      <c r="M188" s="75"/>
      <c r="N188" s="75"/>
      <c r="O188" s="75"/>
      <c r="P188" s="75"/>
      <c r="Q188" s="8"/>
      <c r="R188" s="8"/>
      <c r="S188" s="8"/>
      <c r="T188" s="5"/>
    </row>
    <row r="189" spans="1:20" ht="15.6" x14ac:dyDescent="0.3">
      <c r="A189" s="76"/>
      <c r="B189" s="77" t="s">
        <v>79</v>
      </c>
      <c r="C189" s="78"/>
      <c r="D189" s="78"/>
      <c r="E189" s="78"/>
      <c r="F189" s="78"/>
      <c r="G189" s="64"/>
      <c r="H189" s="64"/>
      <c r="I189" s="64"/>
      <c r="J189" s="64"/>
      <c r="K189" s="64"/>
      <c r="L189" s="64"/>
      <c r="M189" s="64"/>
      <c r="N189" s="64"/>
      <c r="O189" s="64"/>
      <c r="P189" s="79">
        <v>6.2039999999999998E-2</v>
      </c>
      <c r="Q189" s="25"/>
      <c r="R189" s="25"/>
      <c r="S189" s="25"/>
      <c r="T189" s="5"/>
    </row>
    <row r="190" spans="1:20" ht="15.6" x14ac:dyDescent="0.3">
      <c r="A190" s="76"/>
      <c r="B190" s="77" t="s">
        <v>178</v>
      </c>
      <c r="C190" s="78"/>
      <c r="D190" s="78"/>
      <c r="E190" s="78"/>
      <c r="F190" s="78"/>
      <c r="G190" s="64"/>
      <c r="H190" s="64"/>
      <c r="I190" s="64"/>
      <c r="J190" s="64"/>
      <c r="K190" s="64"/>
      <c r="L190" s="64"/>
      <c r="M190" s="64"/>
      <c r="N190" s="64"/>
      <c r="O190" s="64"/>
      <c r="P190" s="39">
        <v>5.1733455000000005E-2</v>
      </c>
      <c r="Q190" s="25"/>
      <c r="R190" s="25"/>
      <c r="S190" s="25"/>
      <c r="T190" s="5"/>
    </row>
    <row r="191" spans="1:20" ht="15.6" x14ac:dyDescent="0.3">
      <c r="A191" s="76"/>
      <c r="B191" s="77" t="s">
        <v>80</v>
      </c>
      <c r="C191" s="78"/>
      <c r="D191" s="78"/>
      <c r="E191" s="78"/>
      <c r="F191" s="78"/>
      <c r="G191" s="64"/>
      <c r="H191" s="64"/>
      <c r="I191" s="64"/>
      <c r="J191" s="64"/>
      <c r="K191" s="64"/>
      <c r="L191" s="64"/>
      <c r="M191" s="64"/>
      <c r="N191" s="64"/>
      <c r="O191" s="64"/>
      <c r="P191" s="79">
        <f>P189-P190</f>
        <v>1.0306544999999993E-2</v>
      </c>
      <c r="Q191" s="25"/>
      <c r="R191" s="25"/>
      <c r="S191" s="25"/>
      <c r="T191" s="5"/>
    </row>
    <row r="192" spans="1:20" ht="15.6" x14ac:dyDescent="0.3">
      <c r="A192" s="76"/>
      <c r="B192" s="77" t="s">
        <v>81</v>
      </c>
      <c r="C192" s="78"/>
      <c r="D192" s="78"/>
      <c r="E192" s="78"/>
      <c r="F192" s="78"/>
      <c r="G192" s="64"/>
      <c r="H192" s="64"/>
      <c r="I192" s="64"/>
      <c r="J192" s="64"/>
      <c r="K192" s="64"/>
      <c r="L192" s="64"/>
      <c r="M192" s="64"/>
      <c r="N192" s="64"/>
      <c r="O192" s="64"/>
      <c r="P192" s="79">
        <v>5.9470000000000002E-2</v>
      </c>
      <c r="Q192" s="25"/>
      <c r="R192" s="25"/>
      <c r="S192" s="25"/>
      <c r="T192" s="5"/>
    </row>
    <row r="193" spans="1:20" ht="15.6" x14ac:dyDescent="0.3">
      <c r="A193" s="76"/>
      <c r="B193" s="77" t="s">
        <v>261</v>
      </c>
      <c r="C193" s="78"/>
      <c r="D193" s="78"/>
      <c r="E193" s="78"/>
      <c r="F193" s="78"/>
      <c r="G193" s="64"/>
      <c r="H193" s="64"/>
      <c r="I193" s="64"/>
      <c r="J193" s="64"/>
      <c r="K193" s="64"/>
      <c r="L193" s="64"/>
      <c r="M193" s="64"/>
      <c r="N193" s="64"/>
      <c r="O193" s="64"/>
      <c r="P193" s="79">
        <f>+R42</f>
        <v>4.8765794837298031E-2</v>
      </c>
      <c r="Q193" s="25"/>
      <c r="R193" s="25"/>
      <c r="S193" s="25"/>
      <c r="T193" s="5"/>
    </row>
    <row r="194" spans="1:20" ht="15.6" x14ac:dyDescent="0.3">
      <c r="A194" s="76"/>
      <c r="B194" s="77" t="s">
        <v>82</v>
      </c>
      <c r="C194" s="78"/>
      <c r="D194" s="78"/>
      <c r="E194" s="78"/>
      <c r="F194" s="78"/>
      <c r="G194" s="64"/>
      <c r="H194" s="64"/>
      <c r="I194" s="64"/>
      <c r="J194" s="64"/>
      <c r="K194" s="64"/>
      <c r="L194" s="64"/>
      <c r="M194" s="64"/>
      <c r="N194" s="64"/>
      <c r="O194" s="64"/>
      <c r="P194" s="79">
        <f>P192-P193</f>
        <v>1.0704205162701971E-2</v>
      </c>
      <c r="Q194" s="25"/>
      <c r="R194" s="25"/>
      <c r="S194" s="25"/>
      <c r="T194" s="5"/>
    </row>
    <row r="195" spans="1:20" ht="15.6" x14ac:dyDescent="0.3">
      <c r="A195" s="76"/>
      <c r="B195" s="77" t="s">
        <v>267</v>
      </c>
      <c r="C195" s="78"/>
      <c r="D195" s="78"/>
      <c r="E195" s="78"/>
      <c r="F195" s="78"/>
      <c r="G195" s="64"/>
      <c r="H195" s="64"/>
      <c r="I195" s="64"/>
      <c r="J195" s="64"/>
      <c r="K195" s="64"/>
      <c r="L195" s="64"/>
      <c r="M195" s="64"/>
      <c r="N195" s="64"/>
      <c r="O195" s="64"/>
      <c r="P195" s="79">
        <f>(+R97+R99)/J70</f>
        <v>1.5942699513910821E-2</v>
      </c>
      <c r="Q195" s="25"/>
      <c r="R195" s="25"/>
      <c r="S195" s="25"/>
      <c r="T195" s="5"/>
    </row>
    <row r="196" spans="1:20" ht="15.6" x14ac:dyDescent="0.3">
      <c r="A196" s="76"/>
      <c r="B196" s="77" t="s">
        <v>208</v>
      </c>
      <c r="C196" s="78"/>
      <c r="D196" s="78"/>
      <c r="E196" s="78"/>
      <c r="F196" s="78"/>
      <c r="G196" s="64"/>
      <c r="H196" s="64"/>
      <c r="I196" s="64"/>
      <c r="J196" s="64"/>
      <c r="K196" s="64"/>
      <c r="L196" s="64"/>
      <c r="M196" s="64"/>
      <c r="N196" s="64"/>
      <c r="O196" s="64"/>
      <c r="P196" s="132">
        <v>12875</v>
      </c>
      <c r="Q196" s="25"/>
      <c r="R196" s="25"/>
      <c r="S196" s="25"/>
      <c r="T196" s="5"/>
    </row>
    <row r="197" spans="1:20" ht="15.6" x14ac:dyDescent="0.3">
      <c r="A197" s="76"/>
      <c r="B197" s="77" t="s">
        <v>209</v>
      </c>
      <c r="C197" s="78"/>
      <c r="D197" s="78"/>
      <c r="E197" s="78"/>
      <c r="F197" s="78"/>
      <c r="G197" s="64"/>
      <c r="H197" s="64"/>
      <c r="I197" s="64"/>
      <c r="J197" s="64"/>
      <c r="K197" s="64"/>
      <c r="L197" s="64"/>
      <c r="M197" s="64"/>
      <c r="N197" s="64"/>
      <c r="O197" s="64"/>
      <c r="P197" s="132">
        <v>16163</v>
      </c>
      <c r="Q197" s="25"/>
      <c r="R197" s="25"/>
      <c r="S197" s="25"/>
      <c r="T197" s="5"/>
    </row>
    <row r="198" spans="1:20" ht="15.6" x14ac:dyDescent="0.3">
      <c r="A198" s="76"/>
      <c r="B198" s="77" t="s">
        <v>83</v>
      </c>
      <c r="C198" s="78"/>
      <c r="D198" s="78"/>
      <c r="E198" s="78"/>
      <c r="F198" s="78"/>
      <c r="G198" s="64"/>
      <c r="H198" s="64"/>
      <c r="I198" s="64"/>
      <c r="J198" s="64"/>
      <c r="K198" s="64"/>
      <c r="L198" s="64"/>
      <c r="M198" s="64"/>
      <c r="N198" s="64"/>
      <c r="O198" s="64"/>
      <c r="P198" s="136">
        <v>19.739999999999998</v>
      </c>
      <c r="Q198" s="25" t="s">
        <v>125</v>
      </c>
      <c r="R198" s="25"/>
      <c r="S198" s="25"/>
      <c r="T198" s="5"/>
    </row>
    <row r="199" spans="1:20" ht="15.6" x14ac:dyDescent="0.3">
      <c r="A199" s="76"/>
      <c r="B199" s="77" t="s">
        <v>84</v>
      </c>
      <c r="C199" s="78"/>
      <c r="D199" s="78"/>
      <c r="E199" s="78"/>
      <c r="F199" s="78"/>
      <c r="G199" s="64"/>
      <c r="H199" s="64"/>
      <c r="I199" s="64"/>
      <c r="J199" s="64"/>
      <c r="K199" s="64"/>
      <c r="L199" s="64"/>
      <c r="M199" s="64"/>
      <c r="N199" s="64"/>
      <c r="O199" s="64"/>
      <c r="P199" s="136">
        <v>19.239999999999998</v>
      </c>
      <c r="Q199" s="25" t="s">
        <v>125</v>
      </c>
      <c r="R199" s="25"/>
      <c r="S199" s="25"/>
      <c r="T199" s="5"/>
    </row>
    <row r="200" spans="1:20" ht="15.6" x14ac:dyDescent="0.3">
      <c r="A200" s="76"/>
      <c r="B200" s="77" t="s">
        <v>85</v>
      </c>
      <c r="C200" s="78"/>
      <c r="D200" s="78"/>
      <c r="E200" s="78"/>
      <c r="F200" s="78"/>
      <c r="G200" s="64"/>
      <c r="H200" s="64"/>
      <c r="I200" s="64"/>
      <c r="J200" s="64"/>
      <c r="K200" s="64"/>
      <c r="L200" s="64"/>
      <c r="M200" s="64"/>
      <c r="N200" s="64"/>
      <c r="O200" s="64"/>
      <c r="P200" s="79">
        <f>+L67/J67</f>
        <v>4.0135279865465993E-2</v>
      </c>
      <c r="Q200" s="25"/>
      <c r="R200" s="25"/>
      <c r="S200" s="25"/>
      <c r="T200" s="5"/>
    </row>
    <row r="201" spans="1:20" ht="15.6" x14ac:dyDescent="0.3">
      <c r="A201" s="76"/>
      <c r="B201" s="77" t="s">
        <v>86</v>
      </c>
      <c r="C201" s="78"/>
      <c r="D201" s="78"/>
      <c r="E201" s="78"/>
      <c r="F201" s="78"/>
      <c r="G201" s="64"/>
      <c r="H201" s="64"/>
      <c r="I201" s="64"/>
      <c r="J201" s="64"/>
      <c r="K201" s="64"/>
      <c r="L201" s="64"/>
      <c r="M201" s="64"/>
      <c r="N201" s="64"/>
      <c r="O201" s="64"/>
      <c r="P201" s="79">
        <v>0.13819999999999999</v>
      </c>
      <c r="Q201" s="25"/>
      <c r="R201" s="25"/>
      <c r="S201" s="25"/>
      <c r="T201" s="5"/>
    </row>
    <row r="202" spans="1:20" ht="15.6" x14ac:dyDescent="0.3">
      <c r="A202" s="76"/>
      <c r="B202" s="77"/>
      <c r="C202" s="77"/>
      <c r="D202" s="77"/>
      <c r="E202" s="77"/>
      <c r="F202" s="77"/>
      <c r="G202" s="25"/>
      <c r="H202" s="25"/>
      <c r="I202" s="25"/>
      <c r="J202" s="25"/>
      <c r="K202" s="25"/>
      <c r="L202" s="25"/>
      <c r="M202" s="25"/>
      <c r="N202" s="25"/>
      <c r="O202" s="25"/>
      <c r="P202" s="61"/>
      <c r="Q202" s="25"/>
      <c r="R202" s="80"/>
      <c r="S202" s="25"/>
      <c r="T202" s="5"/>
    </row>
    <row r="203" spans="1:20" ht="15.6" x14ac:dyDescent="0.3">
      <c r="A203" s="81"/>
      <c r="B203" s="14" t="s">
        <v>87</v>
      </c>
      <c r="C203" s="82"/>
      <c r="D203" s="82"/>
      <c r="E203" s="82"/>
      <c r="F203" s="83"/>
      <c r="G203" s="82"/>
      <c r="H203" s="17"/>
      <c r="I203" s="17"/>
      <c r="J203" s="17"/>
      <c r="K203" s="17"/>
      <c r="L203" s="17"/>
      <c r="M203" s="17"/>
      <c r="N203" s="17"/>
      <c r="O203" s="17" t="s">
        <v>113</v>
      </c>
      <c r="P203" s="84" t="s">
        <v>121</v>
      </c>
      <c r="Q203" s="8"/>
      <c r="R203" s="8"/>
      <c r="S203" s="8"/>
      <c r="T203" s="5"/>
    </row>
    <row r="204" spans="1:20" ht="15.6" x14ac:dyDescent="0.3">
      <c r="A204" s="85"/>
      <c r="B204" s="77" t="s">
        <v>88</v>
      </c>
      <c r="C204" s="54"/>
      <c r="D204" s="54"/>
      <c r="E204" s="54"/>
      <c r="F204" s="25"/>
      <c r="G204" s="25"/>
      <c r="H204" s="30"/>
      <c r="I204" s="30"/>
      <c r="J204" s="30"/>
      <c r="K204" s="30"/>
      <c r="L204" s="30"/>
      <c r="M204" s="30"/>
      <c r="N204" s="30"/>
      <c r="O204" s="30">
        <v>12</v>
      </c>
      <c r="P204" s="86">
        <v>576</v>
      </c>
      <c r="Q204" s="25"/>
      <c r="R204" s="80"/>
      <c r="S204" s="87"/>
      <c r="T204" s="5"/>
    </row>
    <row r="205" spans="1:20" ht="15.6" x14ac:dyDescent="0.3">
      <c r="A205" s="85"/>
      <c r="B205" s="77" t="s">
        <v>169</v>
      </c>
      <c r="C205" s="54"/>
      <c r="D205" s="54"/>
      <c r="E205" s="54"/>
      <c r="F205" s="25"/>
      <c r="G205" s="25"/>
      <c r="H205" s="30"/>
      <c r="I205" s="30"/>
      <c r="J205" s="30"/>
      <c r="K205" s="30"/>
      <c r="L205" s="30"/>
      <c r="M205" s="30"/>
      <c r="N205" s="30"/>
      <c r="O205" s="163">
        <f>+N244</f>
        <v>38</v>
      </c>
      <c r="P205" s="86">
        <f>+P244</f>
        <v>9029</v>
      </c>
      <c r="Q205" s="25"/>
      <c r="R205" s="80"/>
      <c r="S205" s="87"/>
      <c r="T205" s="5"/>
    </row>
    <row r="206" spans="1:20" ht="15.6" x14ac:dyDescent="0.3">
      <c r="A206" s="85"/>
      <c r="B206" s="77" t="s">
        <v>89</v>
      </c>
      <c r="C206" s="54"/>
      <c r="D206" s="54"/>
      <c r="E206" s="54"/>
      <c r="F206" s="25"/>
      <c r="G206" s="25"/>
      <c r="H206" s="30"/>
      <c r="I206" s="30"/>
      <c r="J206" s="30"/>
      <c r="K206" s="30"/>
      <c r="L206" s="30"/>
      <c r="M206" s="30"/>
      <c r="N206" s="30"/>
      <c r="O206" s="163">
        <f>+N256</f>
        <v>1</v>
      </c>
      <c r="P206" s="86">
        <f>+P256</f>
        <v>27</v>
      </c>
      <c r="Q206" s="25"/>
      <c r="R206" s="80"/>
      <c r="S206" s="87"/>
      <c r="T206" s="5"/>
    </row>
    <row r="207" spans="1:20" ht="15.6" x14ac:dyDescent="0.3">
      <c r="A207" s="85"/>
      <c r="B207" s="123" t="s">
        <v>90</v>
      </c>
      <c r="C207" s="54"/>
      <c r="D207" s="54"/>
      <c r="E207" s="54"/>
      <c r="F207" s="25"/>
      <c r="G207" s="25"/>
      <c r="H207" s="25"/>
      <c r="I207" s="25"/>
      <c r="J207" s="25"/>
      <c r="K207" s="25"/>
      <c r="L207" s="25"/>
      <c r="M207" s="25"/>
      <c r="N207" s="25"/>
      <c r="O207" s="25"/>
      <c r="P207" s="86">
        <v>0</v>
      </c>
      <c r="Q207" s="25"/>
      <c r="R207" s="80"/>
      <c r="S207" s="87"/>
      <c r="T207" s="5"/>
    </row>
    <row r="208" spans="1:20" ht="15.6" x14ac:dyDescent="0.3">
      <c r="A208" s="85"/>
      <c r="B208" s="123" t="s">
        <v>91</v>
      </c>
      <c r="C208" s="54"/>
      <c r="D208" s="54"/>
      <c r="E208" s="54"/>
      <c r="F208" s="25"/>
      <c r="G208" s="25"/>
      <c r="H208" s="25"/>
      <c r="I208" s="25"/>
      <c r="J208" s="25"/>
      <c r="K208" s="25"/>
      <c r="L208" s="25"/>
      <c r="M208" s="25"/>
      <c r="N208" s="25"/>
      <c r="O208" s="25"/>
      <c r="P208" s="62" t="s">
        <v>122</v>
      </c>
      <c r="Q208" s="25"/>
      <c r="R208" s="80"/>
      <c r="S208" s="87"/>
      <c r="T208" s="5"/>
    </row>
    <row r="209" spans="1:21" ht="15.6" x14ac:dyDescent="0.3">
      <c r="A209" s="88"/>
      <c r="B209" s="123" t="s">
        <v>92</v>
      </c>
      <c r="C209" s="77"/>
      <c r="D209" s="77"/>
      <c r="E209" s="77"/>
      <c r="F209" s="77"/>
      <c r="G209" s="25"/>
      <c r="H209" s="25"/>
      <c r="I209" s="25"/>
      <c r="J209" s="25"/>
      <c r="K209" s="25"/>
      <c r="L209" s="25"/>
      <c r="M209" s="25"/>
      <c r="N209" s="25"/>
      <c r="O209" s="25"/>
      <c r="P209" s="86"/>
      <c r="Q209" s="25"/>
      <c r="R209" s="80"/>
      <c r="S209" s="89"/>
      <c r="T209" s="5"/>
    </row>
    <row r="210" spans="1:21" ht="15.6" x14ac:dyDescent="0.3">
      <c r="A210" s="88"/>
      <c r="B210" s="134" t="s">
        <v>93</v>
      </c>
      <c r="C210" s="77"/>
      <c r="D210" s="77"/>
      <c r="E210" s="77"/>
      <c r="F210" s="77"/>
      <c r="G210" s="25"/>
      <c r="H210" s="25"/>
      <c r="I210" s="25"/>
      <c r="J210" s="25"/>
      <c r="K210" s="25"/>
      <c r="L210" s="25"/>
      <c r="M210" s="25"/>
      <c r="N210" s="25"/>
      <c r="O210" s="25">
        <v>0</v>
      </c>
      <c r="P210" s="86">
        <f>R158</f>
        <v>0</v>
      </c>
      <c r="Q210" s="25"/>
      <c r="R210" s="80"/>
      <c r="S210" s="89"/>
      <c r="T210" s="5"/>
    </row>
    <row r="211" spans="1:21" ht="15.6" x14ac:dyDescent="0.3">
      <c r="A211" s="85"/>
      <c r="B211" s="77" t="s">
        <v>94</v>
      </c>
      <c r="C211" s="54"/>
      <c r="D211" s="54"/>
      <c r="E211" s="54"/>
      <c r="F211" s="54"/>
      <c r="G211" s="25"/>
      <c r="H211" s="25"/>
      <c r="I211" s="25"/>
      <c r="J211" s="25"/>
      <c r="K211" s="25"/>
      <c r="L211" s="25"/>
      <c r="M211" s="25"/>
      <c r="N211" s="25"/>
      <c r="O211" s="25">
        <v>0</v>
      </c>
      <c r="P211" s="86">
        <f>+'March 06'!P211+P210</f>
        <v>0</v>
      </c>
      <c r="Q211" s="25"/>
      <c r="R211" s="80"/>
      <c r="S211" s="89"/>
      <c r="T211" s="5"/>
    </row>
    <row r="212" spans="1:21" ht="15.6" x14ac:dyDescent="0.3">
      <c r="A212" s="85"/>
      <c r="B212" s="77" t="s">
        <v>95</v>
      </c>
      <c r="C212" s="54"/>
      <c r="D212" s="54"/>
      <c r="E212" s="54"/>
      <c r="F212" s="54"/>
      <c r="G212" s="25"/>
      <c r="H212" s="25"/>
      <c r="I212" s="25"/>
      <c r="J212" s="25"/>
      <c r="K212" s="25"/>
      <c r="L212" s="25"/>
      <c r="M212" s="25"/>
      <c r="N212" s="25"/>
      <c r="O212" s="25"/>
      <c r="P212" s="86">
        <v>0</v>
      </c>
      <c r="Q212" s="25"/>
      <c r="R212" s="80"/>
      <c r="S212" s="89"/>
      <c r="T212" s="5"/>
    </row>
    <row r="213" spans="1:21" ht="15.6" x14ac:dyDescent="0.3">
      <c r="A213" s="88"/>
      <c r="B213" s="123" t="s">
        <v>256</v>
      </c>
      <c r="C213" s="77"/>
      <c r="D213" s="77"/>
      <c r="E213" s="77"/>
      <c r="F213" s="77"/>
      <c r="G213" s="25"/>
      <c r="H213" s="25"/>
      <c r="I213" s="25"/>
      <c r="J213" s="25"/>
      <c r="K213" s="25"/>
      <c r="L213" s="25"/>
      <c r="M213" s="25"/>
      <c r="N213" s="25"/>
      <c r="O213" s="25"/>
      <c r="P213" s="86"/>
      <c r="Q213" s="25"/>
      <c r="R213" s="80"/>
      <c r="S213" s="89"/>
      <c r="T213" s="5"/>
    </row>
    <row r="214" spans="1:21" ht="15.6" x14ac:dyDescent="0.3">
      <c r="A214" s="88"/>
      <c r="B214" s="77" t="s">
        <v>283</v>
      </c>
      <c r="C214" s="77"/>
      <c r="D214" s="77"/>
      <c r="E214" s="77"/>
      <c r="F214" s="77"/>
      <c r="G214" s="25"/>
      <c r="H214" s="25"/>
      <c r="I214" s="25"/>
      <c r="J214" s="25"/>
      <c r="K214" s="25"/>
      <c r="L214" s="25"/>
      <c r="M214" s="25"/>
      <c r="N214" s="25"/>
      <c r="O214" s="25">
        <v>2</v>
      </c>
      <c r="P214" s="86">
        <v>182</v>
      </c>
      <c r="Q214" s="25"/>
      <c r="R214" s="80"/>
      <c r="S214" s="89"/>
      <c r="T214" s="5"/>
    </row>
    <row r="215" spans="1:21" ht="15.6" x14ac:dyDescent="0.3">
      <c r="A215" s="85"/>
      <c r="B215" s="77" t="s">
        <v>97</v>
      </c>
      <c r="C215" s="90"/>
      <c r="D215" s="90"/>
      <c r="E215" s="90"/>
      <c r="F215" s="91"/>
      <c r="G215" s="25"/>
      <c r="H215" s="25"/>
      <c r="I215" s="25"/>
      <c r="J215" s="25"/>
      <c r="K215" s="25"/>
      <c r="L215" s="25"/>
      <c r="M215" s="25"/>
      <c r="N215" s="25"/>
      <c r="O215" s="25"/>
      <c r="P215" s="62">
        <v>15.708</v>
      </c>
      <c r="Q215" s="25"/>
      <c r="R215" s="80"/>
      <c r="S215" s="89"/>
      <c r="T215" s="5"/>
    </row>
    <row r="216" spans="1:21" ht="15.6" x14ac:dyDescent="0.3">
      <c r="A216" s="85"/>
      <c r="B216" s="77" t="s">
        <v>98</v>
      </c>
      <c r="C216" s="90"/>
      <c r="D216" s="90"/>
      <c r="E216" s="90"/>
      <c r="F216" s="91"/>
      <c r="G216" s="25"/>
      <c r="H216" s="25"/>
      <c r="I216" s="25"/>
      <c r="J216" s="25"/>
      <c r="K216" s="25"/>
      <c r="L216" s="25"/>
      <c r="M216" s="25"/>
      <c r="N216" s="25"/>
      <c r="O216" s="25"/>
      <c r="P216" s="62">
        <v>9.5</v>
      </c>
      <c r="Q216" s="25"/>
      <c r="R216" s="80"/>
      <c r="S216" s="89"/>
      <c r="T216" s="5"/>
    </row>
    <row r="217" spans="1:21" ht="15.6" x14ac:dyDescent="0.3">
      <c r="A217" s="85"/>
      <c r="B217" s="123" t="s">
        <v>257</v>
      </c>
      <c r="C217" s="90"/>
      <c r="D217" s="90"/>
      <c r="E217" s="90"/>
      <c r="F217" s="91"/>
      <c r="G217" s="25"/>
      <c r="H217" s="25"/>
      <c r="I217" s="25"/>
      <c r="J217" s="25"/>
      <c r="K217" s="25"/>
      <c r="L217" s="25"/>
      <c r="M217" s="25"/>
      <c r="N217" s="25"/>
      <c r="O217" s="25"/>
      <c r="P217" s="92"/>
      <c r="Q217" s="25"/>
      <c r="R217" s="80"/>
      <c r="S217" s="89"/>
      <c r="T217" s="5"/>
    </row>
    <row r="218" spans="1:21" ht="15.6" x14ac:dyDescent="0.3">
      <c r="A218" s="85"/>
      <c r="B218" s="77" t="s">
        <v>283</v>
      </c>
      <c r="C218" s="90"/>
      <c r="D218" s="90"/>
      <c r="E218" s="90"/>
      <c r="F218" s="91"/>
      <c r="G218" s="25"/>
      <c r="H218" s="25"/>
      <c r="I218" s="25"/>
      <c r="J218" s="25"/>
      <c r="K218" s="25"/>
      <c r="L218" s="25"/>
      <c r="M218" s="25"/>
      <c r="N218" s="25"/>
      <c r="O218" s="25">
        <v>6</v>
      </c>
      <c r="P218" s="86">
        <v>587</v>
      </c>
      <c r="Q218" s="25"/>
      <c r="R218" s="80"/>
      <c r="S218" s="89"/>
      <c r="T218" s="5"/>
    </row>
    <row r="219" spans="1:21" ht="15.6" x14ac:dyDescent="0.3">
      <c r="A219" s="85"/>
      <c r="B219" s="77" t="s">
        <v>258</v>
      </c>
      <c r="C219" s="90"/>
      <c r="D219" s="90"/>
      <c r="E219" s="90"/>
      <c r="F219" s="91"/>
      <c r="G219" s="25"/>
      <c r="H219" s="25"/>
      <c r="I219" s="25"/>
      <c r="J219" s="25"/>
      <c r="K219" s="25"/>
      <c r="L219" s="25"/>
      <c r="M219" s="25"/>
      <c r="N219" s="25"/>
      <c r="O219" s="25"/>
      <c r="P219" s="171">
        <v>4.78</v>
      </c>
      <c r="Q219" s="25"/>
      <c r="R219" s="80"/>
      <c r="S219" s="89"/>
      <c r="T219" s="5"/>
    </row>
    <row r="220" spans="1:21" ht="17.399999999999999" x14ac:dyDescent="0.3">
      <c r="A220" s="85"/>
      <c r="B220" s="166" t="s">
        <v>247</v>
      </c>
      <c r="C220" s="90"/>
      <c r="D220" s="90"/>
      <c r="E220" s="90"/>
      <c r="F220" s="91"/>
      <c r="G220" s="25"/>
      <c r="H220" s="25"/>
      <c r="I220" s="25"/>
      <c r="J220" s="168" t="s">
        <v>246</v>
      </c>
      <c r="K220" s="25"/>
      <c r="L220" s="25"/>
      <c r="M220" s="25"/>
      <c r="N220" s="25"/>
      <c r="O220" s="25"/>
      <c r="P220" s="92"/>
      <c r="Q220" s="25"/>
      <c r="R220" s="80"/>
      <c r="S220" s="89"/>
      <c r="T220" s="5"/>
    </row>
    <row r="221" spans="1:21" ht="15.6" x14ac:dyDescent="0.3">
      <c r="A221" s="85"/>
      <c r="B221" s="77"/>
      <c r="C221" s="90"/>
      <c r="D221" s="90"/>
      <c r="E221" s="90"/>
      <c r="F221" s="91"/>
      <c r="G221" s="25"/>
      <c r="H221" s="25"/>
      <c r="I221" s="25"/>
      <c r="J221" s="25"/>
      <c r="K221" s="25"/>
      <c r="L221" s="25"/>
      <c r="M221" s="25"/>
      <c r="N221" s="25"/>
      <c r="O221" s="25"/>
      <c r="P221" s="92"/>
      <c r="Q221" s="25"/>
      <c r="R221" s="80"/>
      <c r="S221" s="89"/>
      <c r="T221" s="5"/>
    </row>
    <row r="222" spans="1:21" ht="15.6" x14ac:dyDescent="0.3">
      <c r="A222" s="6"/>
      <c r="B222" s="14" t="s">
        <v>236</v>
      </c>
      <c r="C222" s="82"/>
      <c r="D222" s="82"/>
      <c r="E222" s="82"/>
      <c r="F222" s="83"/>
      <c r="G222" s="82"/>
      <c r="H222" s="17"/>
      <c r="I222" s="17"/>
      <c r="J222" s="17"/>
      <c r="K222" s="17"/>
      <c r="L222" s="17"/>
      <c r="M222" s="17"/>
      <c r="N222" s="84" t="s">
        <v>113</v>
      </c>
      <c r="O222" s="17" t="s">
        <v>114</v>
      </c>
      <c r="P222" s="84" t="s">
        <v>123</v>
      </c>
      <c r="Q222" s="17" t="s">
        <v>114</v>
      </c>
      <c r="R222" s="8"/>
      <c r="S222" s="93"/>
      <c r="T222" s="5"/>
    </row>
    <row r="223" spans="1:21" ht="15.6" x14ac:dyDescent="0.3">
      <c r="A223" s="24"/>
      <c r="B223" s="54" t="s">
        <v>99</v>
      </c>
      <c r="C223" s="94"/>
      <c r="D223" s="94"/>
      <c r="E223" s="94"/>
      <c r="F223" s="25"/>
      <c r="G223" s="94"/>
      <c r="H223" s="94"/>
      <c r="I223" s="94"/>
      <c r="J223" s="94"/>
      <c r="K223" s="94"/>
      <c r="L223" s="94"/>
      <c r="M223" s="94"/>
      <c r="N223" s="54">
        <v>7968</v>
      </c>
      <c r="O223" s="95">
        <f t="shared" ref="O223:O230" si="1">N223/$N$232</f>
        <v>0.98711595639246774</v>
      </c>
      <c r="P223" s="53">
        <v>812161</v>
      </c>
      <c r="Q223" s="135">
        <f t="shared" ref="Q223:Q230" si="2">P223/$P$232</f>
        <v>0.99034724788038198</v>
      </c>
      <c r="R223" s="80"/>
      <c r="S223" s="89"/>
      <c r="T223" s="5"/>
    </row>
    <row r="224" spans="1:21" ht="15.6" x14ac:dyDescent="0.3">
      <c r="A224" s="24"/>
      <c r="B224" s="54" t="s">
        <v>100</v>
      </c>
      <c r="C224" s="94"/>
      <c r="D224" s="94"/>
      <c r="E224" s="94"/>
      <c r="F224" s="25"/>
      <c r="G224" s="95"/>
      <c r="H224" s="94"/>
      <c r="I224" s="94"/>
      <c r="J224" s="94"/>
      <c r="K224" s="94"/>
      <c r="L224" s="94"/>
      <c r="M224" s="94"/>
      <c r="N224" s="54">
        <v>72</v>
      </c>
      <c r="O224" s="95">
        <f t="shared" si="1"/>
        <v>8.9197224975222991E-3</v>
      </c>
      <c r="P224" s="53">
        <v>4984</v>
      </c>
      <c r="Q224" s="135">
        <f t="shared" si="2"/>
        <v>6.0774780904719926E-3</v>
      </c>
      <c r="R224" s="80"/>
      <c r="S224" s="89"/>
      <c r="T224" s="5"/>
      <c r="U224" s="110"/>
    </row>
    <row r="225" spans="1:21" ht="15.6" x14ac:dyDescent="0.3">
      <c r="A225" s="24"/>
      <c r="B225" s="54" t="s">
        <v>101</v>
      </c>
      <c r="C225" s="94"/>
      <c r="D225" s="94"/>
      <c r="E225" s="94"/>
      <c r="F225" s="25"/>
      <c r="G225" s="95"/>
      <c r="H225" s="94"/>
      <c r="I225" s="94"/>
      <c r="J225" s="94"/>
      <c r="K225" s="94"/>
      <c r="L225" s="94"/>
      <c r="M225" s="94"/>
      <c r="N225" s="54">
        <v>14</v>
      </c>
      <c r="O225" s="95">
        <f t="shared" si="1"/>
        <v>1.7343904856293359E-3</v>
      </c>
      <c r="P225" s="53">
        <v>2081</v>
      </c>
      <c r="Q225" s="135">
        <f t="shared" si="2"/>
        <v>2.5375665943563838E-3</v>
      </c>
      <c r="R225" s="80"/>
      <c r="S225" s="89"/>
      <c r="T225" s="5"/>
    </row>
    <row r="226" spans="1:21" ht="15.6" x14ac:dyDescent="0.3">
      <c r="A226" s="24"/>
      <c r="B226" s="54" t="s">
        <v>210</v>
      </c>
      <c r="C226" s="94"/>
      <c r="D226" s="94"/>
      <c r="E226" s="94"/>
      <c r="F226" s="25"/>
      <c r="G226" s="95"/>
      <c r="H226" s="94"/>
      <c r="I226" s="94"/>
      <c r="J226" s="94"/>
      <c r="K226" s="94"/>
      <c r="L226" s="94"/>
      <c r="M226" s="94"/>
      <c r="N226" s="54">
        <v>6</v>
      </c>
      <c r="O226" s="95">
        <f t="shared" si="1"/>
        <v>7.4331020812685826E-4</v>
      </c>
      <c r="P226" s="53">
        <v>325</v>
      </c>
      <c r="Q226" s="135">
        <f t="shared" si="2"/>
        <v>3.9630424947901231E-4</v>
      </c>
      <c r="R226" s="80"/>
      <c r="S226" s="89"/>
      <c r="T226" s="5"/>
      <c r="U226" s="110"/>
    </row>
    <row r="227" spans="1:21" ht="15.6" x14ac:dyDescent="0.3">
      <c r="A227" s="24"/>
      <c r="B227" s="54" t="s">
        <v>211</v>
      </c>
      <c r="C227" s="94"/>
      <c r="D227" s="94"/>
      <c r="E227" s="94"/>
      <c r="F227" s="25"/>
      <c r="G227" s="95"/>
      <c r="H227" s="94"/>
      <c r="I227" s="94"/>
      <c r="J227" s="94"/>
      <c r="K227" s="94"/>
      <c r="L227" s="94"/>
      <c r="M227" s="94"/>
      <c r="N227" s="54">
        <v>3</v>
      </c>
      <c r="O227" s="95">
        <f t="shared" si="1"/>
        <v>3.7165510406342913E-4</v>
      </c>
      <c r="P227" s="53">
        <v>99</v>
      </c>
      <c r="Q227" s="135">
        <f t="shared" si="2"/>
        <v>1.2072037137976068E-4</v>
      </c>
      <c r="R227" s="80"/>
      <c r="S227" s="89"/>
      <c r="T227" s="5"/>
    </row>
    <row r="228" spans="1:21" ht="15.6" x14ac:dyDescent="0.3">
      <c r="A228" s="24"/>
      <c r="B228" s="54" t="s">
        <v>212</v>
      </c>
      <c r="C228" s="94"/>
      <c r="D228" s="94"/>
      <c r="E228" s="94"/>
      <c r="F228" s="25"/>
      <c r="G228" s="95"/>
      <c r="H228" s="94"/>
      <c r="I228" s="94"/>
      <c r="J228" s="94"/>
      <c r="K228" s="94"/>
      <c r="L228" s="94"/>
      <c r="M228" s="94"/>
      <c r="N228" s="54">
        <v>0</v>
      </c>
      <c r="O228" s="95">
        <f t="shared" si="1"/>
        <v>0</v>
      </c>
      <c r="P228" s="53">
        <v>0</v>
      </c>
      <c r="Q228" s="135">
        <f t="shared" si="2"/>
        <v>0</v>
      </c>
      <c r="R228" s="80"/>
      <c r="S228" s="89"/>
      <c r="T228" s="5"/>
      <c r="U228" s="110"/>
    </row>
    <row r="229" spans="1:21" ht="15.6" x14ac:dyDescent="0.3">
      <c r="A229" s="24"/>
      <c r="B229" s="54" t="s">
        <v>213</v>
      </c>
      <c r="C229" s="94"/>
      <c r="D229" s="94"/>
      <c r="E229" s="94"/>
      <c r="F229" s="25"/>
      <c r="G229" s="95"/>
      <c r="H229" s="94"/>
      <c r="I229" s="94"/>
      <c r="J229" s="94"/>
      <c r="K229" s="94"/>
      <c r="L229" s="94"/>
      <c r="M229" s="94"/>
      <c r="N229" s="54">
        <v>5</v>
      </c>
      <c r="O229" s="95">
        <f t="shared" si="1"/>
        <v>6.1942517343904855E-4</v>
      </c>
      <c r="P229" s="53">
        <v>206</v>
      </c>
      <c r="Q229" s="135">
        <f t="shared" si="2"/>
        <v>2.5119592428515857E-4</v>
      </c>
      <c r="R229" s="80"/>
      <c r="S229" s="89"/>
      <c r="T229" s="5"/>
    </row>
    <row r="230" spans="1:21" ht="15.6" x14ac:dyDescent="0.3">
      <c r="A230" s="24"/>
      <c r="B230" s="54" t="s">
        <v>214</v>
      </c>
      <c r="C230" s="94"/>
      <c r="D230" s="94"/>
      <c r="E230" s="94"/>
      <c r="F230" s="25"/>
      <c r="G230" s="95"/>
      <c r="H230" s="94"/>
      <c r="I230" s="94"/>
      <c r="J230" s="94"/>
      <c r="K230" s="94"/>
      <c r="L230" s="94"/>
      <c r="M230" s="94"/>
      <c r="N230" s="54">
        <v>4</v>
      </c>
      <c r="O230" s="95">
        <f t="shared" si="1"/>
        <v>4.9554013875123884E-4</v>
      </c>
      <c r="P230" s="53">
        <v>221</v>
      </c>
      <c r="Q230" s="135">
        <f t="shared" si="2"/>
        <v>2.6948688964572838E-4</v>
      </c>
      <c r="R230" s="80"/>
      <c r="S230" s="89"/>
      <c r="T230" s="5"/>
      <c r="U230" s="110"/>
    </row>
    <row r="231" spans="1:21" ht="15.6" x14ac:dyDescent="0.3">
      <c r="A231" s="24"/>
      <c r="B231" s="25"/>
      <c r="C231" s="94"/>
      <c r="D231" s="94"/>
      <c r="E231" s="94"/>
      <c r="F231" s="25"/>
      <c r="G231" s="95"/>
      <c r="H231" s="94"/>
      <c r="I231" s="94"/>
      <c r="J231" s="94"/>
      <c r="K231" s="94"/>
      <c r="L231" s="94"/>
      <c r="M231" s="94"/>
      <c r="N231" s="54"/>
      <c r="O231" s="95"/>
      <c r="P231" s="53"/>
      <c r="Q231" s="135"/>
      <c r="R231" s="80"/>
      <c r="S231" s="89"/>
      <c r="T231" s="5"/>
    </row>
    <row r="232" spans="1:21" ht="15.6" x14ac:dyDescent="0.3">
      <c r="A232" s="24"/>
      <c r="B232" s="25" t="s">
        <v>129</v>
      </c>
      <c r="C232" s="25"/>
      <c r="D232" s="25"/>
      <c r="E232" s="25"/>
      <c r="F232" s="25"/>
      <c r="G232" s="25"/>
      <c r="H232" s="96"/>
      <c r="I232" s="96"/>
      <c r="J232" s="96"/>
      <c r="K232" s="96"/>
      <c r="L232" s="96"/>
      <c r="M232" s="96"/>
      <c r="N232" s="34">
        <f>SUM(N223:N231)</f>
        <v>8072</v>
      </c>
      <c r="O232" s="135">
        <f>SUM(O223:O231)</f>
        <v>0.99999999999999989</v>
      </c>
      <c r="P232" s="53">
        <f>SUM(P223:P231)</f>
        <v>820077</v>
      </c>
      <c r="Q232" s="135">
        <f>SUM(Q223:Q231)</f>
        <v>0.99999999999999989</v>
      </c>
      <c r="R232" s="25"/>
      <c r="S232" s="25"/>
      <c r="T232" s="5"/>
    </row>
    <row r="233" spans="1:21" ht="15.6" x14ac:dyDescent="0.3">
      <c r="A233" s="24"/>
      <c r="B233" s="25"/>
      <c r="C233" s="25"/>
      <c r="D233" s="25"/>
      <c r="E233" s="25"/>
      <c r="F233" s="25"/>
      <c r="G233" s="25"/>
      <c r="H233" s="96"/>
      <c r="I233" s="96"/>
      <c r="J233" s="96"/>
      <c r="K233" s="96"/>
      <c r="L233" s="96"/>
      <c r="M233" s="96"/>
      <c r="N233" s="34"/>
      <c r="O233" s="135"/>
      <c r="P233" s="53"/>
      <c r="Q233" s="135"/>
      <c r="R233" s="25"/>
      <c r="S233" s="25"/>
      <c r="T233" s="5"/>
    </row>
    <row r="234" spans="1:21" ht="15.6" x14ac:dyDescent="0.3">
      <c r="A234" s="144"/>
      <c r="B234" s="14" t="s">
        <v>241</v>
      </c>
      <c r="C234" s="82"/>
      <c r="D234" s="82"/>
      <c r="E234" s="82"/>
      <c r="F234" s="83"/>
      <c r="G234" s="82"/>
      <c r="H234" s="17"/>
      <c r="I234" s="17"/>
      <c r="J234" s="17"/>
      <c r="K234" s="17"/>
      <c r="L234" s="17"/>
      <c r="M234" s="17"/>
      <c r="N234" s="84" t="s">
        <v>113</v>
      </c>
      <c r="O234" s="17" t="s">
        <v>114</v>
      </c>
      <c r="P234" s="84" t="s">
        <v>123</v>
      </c>
      <c r="Q234" s="17" t="s">
        <v>114</v>
      </c>
      <c r="R234" s="142"/>
      <c r="S234" s="143"/>
      <c r="T234" s="5"/>
    </row>
    <row r="235" spans="1:21" ht="15.6" x14ac:dyDescent="0.3">
      <c r="A235" s="24"/>
      <c r="B235" s="54" t="s">
        <v>99</v>
      </c>
      <c r="C235" s="94"/>
      <c r="D235" s="94"/>
      <c r="E235" s="94"/>
      <c r="F235" s="25"/>
      <c r="G235" s="94"/>
      <c r="H235" s="94"/>
      <c r="I235" s="94"/>
      <c r="J235" s="94"/>
      <c r="K235" s="94"/>
      <c r="L235" s="94"/>
      <c r="M235" s="94"/>
      <c r="N235" s="54">
        <v>18</v>
      </c>
      <c r="O235" s="95">
        <f t="shared" ref="O235:O242" si="3">N235/$N$244</f>
        <v>0.47368421052631576</v>
      </c>
      <c r="P235" s="53">
        <v>5763</v>
      </c>
      <c r="Q235" s="135">
        <f t="shared" ref="Q235:Q242" si="4">P235/$P$244</f>
        <v>0.63827666408240114</v>
      </c>
      <c r="R235" s="25"/>
      <c r="S235" s="25"/>
      <c r="T235" s="5"/>
    </row>
    <row r="236" spans="1:21" ht="15.6" x14ac:dyDescent="0.3">
      <c r="A236" s="24"/>
      <c r="B236" s="54" t="s">
        <v>100</v>
      </c>
      <c r="C236" s="94"/>
      <c r="D236" s="94"/>
      <c r="E236" s="94"/>
      <c r="F236" s="25"/>
      <c r="G236" s="95"/>
      <c r="H236" s="94"/>
      <c r="I236" s="94"/>
      <c r="J236" s="94"/>
      <c r="K236" s="94"/>
      <c r="L236" s="94"/>
      <c r="M236" s="94"/>
      <c r="N236" s="54">
        <v>1</v>
      </c>
      <c r="O236" s="95">
        <f t="shared" si="3"/>
        <v>2.6315789473684209E-2</v>
      </c>
      <c r="P236" s="53">
        <v>153</v>
      </c>
      <c r="Q236" s="135">
        <f t="shared" si="4"/>
        <v>1.6945398161479677E-2</v>
      </c>
      <c r="R236" s="25"/>
      <c r="S236" s="25"/>
      <c r="T236" s="5"/>
    </row>
    <row r="237" spans="1:21" ht="15.6" x14ac:dyDescent="0.3">
      <c r="A237" s="24"/>
      <c r="B237" s="54" t="s">
        <v>101</v>
      </c>
      <c r="C237" s="94"/>
      <c r="D237" s="94"/>
      <c r="E237" s="94"/>
      <c r="F237" s="25"/>
      <c r="G237" s="95"/>
      <c r="H237" s="94"/>
      <c r="I237" s="94"/>
      <c r="J237" s="94"/>
      <c r="K237" s="94"/>
      <c r="L237" s="94"/>
      <c r="M237" s="94"/>
      <c r="N237" s="54">
        <v>3</v>
      </c>
      <c r="O237" s="95">
        <f t="shared" si="3"/>
        <v>7.8947368421052627E-2</v>
      </c>
      <c r="P237" s="53">
        <v>516</v>
      </c>
      <c r="Q237" s="135">
        <f t="shared" si="4"/>
        <v>5.7149185956362834E-2</v>
      </c>
      <c r="R237" s="25"/>
      <c r="S237" s="25"/>
      <c r="T237" s="5"/>
    </row>
    <row r="238" spans="1:21" ht="15.6" x14ac:dyDescent="0.3">
      <c r="A238" s="24"/>
      <c r="B238" s="54" t="s">
        <v>210</v>
      </c>
      <c r="C238" s="94"/>
      <c r="D238" s="94"/>
      <c r="E238" s="94"/>
      <c r="F238" s="25"/>
      <c r="G238" s="95"/>
      <c r="H238" s="94"/>
      <c r="I238" s="94"/>
      <c r="J238" s="94"/>
      <c r="K238" s="94"/>
      <c r="L238" s="94"/>
      <c r="M238" s="94"/>
      <c r="N238" s="54">
        <v>1</v>
      </c>
      <c r="O238" s="95">
        <f t="shared" si="3"/>
        <v>2.6315789473684209E-2</v>
      </c>
      <c r="P238" s="53">
        <v>428</v>
      </c>
      <c r="Q238" s="135">
        <f t="shared" si="4"/>
        <v>4.740281315760328E-2</v>
      </c>
      <c r="R238" s="25"/>
      <c r="S238" s="25"/>
      <c r="T238" s="5"/>
    </row>
    <row r="239" spans="1:21" ht="15.6" x14ac:dyDescent="0.3">
      <c r="A239" s="24"/>
      <c r="B239" s="54" t="s">
        <v>211</v>
      </c>
      <c r="C239" s="94"/>
      <c r="D239" s="94"/>
      <c r="E239" s="94"/>
      <c r="F239" s="25"/>
      <c r="G239" s="95"/>
      <c r="H239" s="94"/>
      <c r="I239" s="94"/>
      <c r="J239" s="94"/>
      <c r="K239" s="94"/>
      <c r="L239" s="94"/>
      <c r="M239" s="94"/>
      <c r="N239" s="54">
        <v>1</v>
      </c>
      <c r="O239" s="95">
        <f t="shared" si="3"/>
        <v>2.6315789473684209E-2</v>
      </c>
      <c r="P239" s="53">
        <v>164</v>
      </c>
      <c r="Q239" s="135">
        <f t="shared" si="4"/>
        <v>1.8163694761324619E-2</v>
      </c>
      <c r="R239" s="25"/>
      <c r="S239" s="25"/>
      <c r="T239" s="5"/>
    </row>
    <row r="240" spans="1:21" ht="15.6" x14ac:dyDescent="0.3">
      <c r="A240" s="24"/>
      <c r="B240" s="54" t="s">
        <v>212</v>
      </c>
      <c r="C240" s="94"/>
      <c r="D240" s="94"/>
      <c r="E240" s="94"/>
      <c r="F240" s="25"/>
      <c r="G240" s="95"/>
      <c r="H240" s="94"/>
      <c r="I240" s="94"/>
      <c r="J240" s="94"/>
      <c r="K240" s="94"/>
      <c r="L240" s="94"/>
      <c r="M240" s="94"/>
      <c r="N240" s="54">
        <v>4</v>
      </c>
      <c r="O240" s="95">
        <f t="shared" si="3"/>
        <v>0.10526315789473684</v>
      </c>
      <c r="P240" s="53">
        <v>547</v>
      </c>
      <c r="Q240" s="135">
        <f t="shared" si="4"/>
        <v>6.058256728319858E-2</v>
      </c>
      <c r="R240" s="25"/>
      <c r="S240" s="25"/>
      <c r="T240" s="5"/>
    </row>
    <row r="241" spans="1:20" ht="15.6" x14ac:dyDescent="0.3">
      <c r="A241" s="24"/>
      <c r="B241" s="54" t="s">
        <v>213</v>
      </c>
      <c r="C241" s="94"/>
      <c r="D241" s="94"/>
      <c r="E241" s="94"/>
      <c r="F241" s="25"/>
      <c r="G241" s="95"/>
      <c r="H241" s="94"/>
      <c r="I241" s="94"/>
      <c r="J241" s="94"/>
      <c r="K241" s="94"/>
      <c r="L241" s="94"/>
      <c r="M241" s="94"/>
      <c r="N241" s="54">
        <v>9</v>
      </c>
      <c r="O241" s="95">
        <f t="shared" si="3"/>
        <v>0.23684210526315788</v>
      </c>
      <c r="P241" s="53">
        <v>1273</v>
      </c>
      <c r="Q241" s="135">
        <f t="shared" si="4"/>
        <v>0.14099014287296488</v>
      </c>
      <c r="R241" s="25"/>
      <c r="S241" s="25"/>
      <c r="T241" s="5"/>
    </row>
    <row r="242" spans="1:20" ht="15.6" x14ac:dyDescent="0.3">
      <c r="A242" s="24"/>
      <c r="B242" s="54" t="s">
        <v>214</v>
      </c>
      <c r="C242" s="94"/>
      <c r="D242" s="94"/>
      <c r="E242" s="94"/>
      <c r="F242" s="25"/>
      <c r="G242" s="95"/>
      <c r="H242" s="94"/>
      <c r="I242" s="94"/>
      <c r="J242" s="94"/>
      <c r="K242" s="94"/>
      <c r="L242" s="94"/>
      <c r="M242" s="94"/>
      <c r="N242" s="54">
        <v>1</v>
      </c>
      <c r="O242" s="95">
        <f t="shared" si="3"/>
        <v>2.6315789473684209E-2</v>
      </c>
      <c r="P242" s="53">
        <v>185</v>
      </c>
      <c r="Q242" s="135">
        <f t="shared" si="4"/>
        <v>2.0489533724664968E-2</v>
      </c>
      <c r="R242" s="25"/>
      <c r="S242" s="25"/>
      <c r="T242" s="5"/>
    </row>
    <row r="243" spans="1:20" ht="15.6" x14ac:dyDescent="0.3">
      <c r="A243" s="24"/>
      <c r="B243" s="25"/>
      <c r="C243" s="94"/>
      <c r="D243" s="94"/>
      <c r="E243" s="94"/>
      <c r="F243" s="25"/>
      <c r="G243" s="95"/>
      <c r="H243" s="94"/>
      <c r="I243" s="94"/>
      <c r="J243" s="94"/>
      <c r="K243" s="94"/>
      <c r="L243" s="94"/>
      <c r="M243" s="94"/>
      <c r="N243" s="54"/>
      <c r="O243" s="95"/>
      <c r="P243" s="53"/>
      <c r="Q243" s="135"/>
      <c r="R243" s="25"/>
      <c r="S243" s="25"/>
      <c r="T243" s="5"/>
    </row>
    <row r="244" spans="1:20" ht="15.6" x14ac:dyDescent="0.3">
      <c r="A244" s="24"/>
      <c r="B244" s="25" t="s">
        <v>129</v>
      </c>
      <c r="C244" s="25"/>
      <c r="D244" s="25"/>
      <c r="E244" s="25"/>
      <c r="F244" s="25"/>
      <c r="G244" s="25"/>
      <c r="H244" s="96"/>
      <c r="I244" s="96"/>
      <c r="J244" s="96"/>
      <c r="K244" s="96"/>
      <c r="L244" s="96"/>
      <c r="M244" s="96"/>
      <c r="N244" s="34">
        <f>SUM(N235:N243)</f>
        <v>38</v>
      </c>
      <c r="O244" s="135">
        <f>SUM(O235:O243)</f>
        <v>0.99999999999999989</v>
      </c>
      <c r="P244" s="53">
        <f>SUM(P235:P243)</f>
        <v>9029</v>
      </c>
      <c r="Q244" s="135">
        <f>SUM(Q235:Q243)</f>
        <v>1</v>
      </c>
      <c r="R244" s="25"/>
      <c r="S244" s="25"/>
      <c r="T244" s="5"/>
    </row>
    <row r="245" spans="1:20" ht="15.6" x14ac:dyDescent="0.3">
      <c r="A245" s="24"/>
      <c r="B245" s="25"/>
      <c r="C245" s="25"/>
      <c r="D245" s="25"/>
      <c r="E245" s="25"/>
      <c r="F245" s="25"/>
      <c r="G245" s="25"/>
      <c r="H245" s="96"/>
      <c r="I245" s="96"/>
      <c r="J245" s="96"/>
      <c r="K245" s="96"/>
      <c r="L245" s="96"/>
      <c r="M245" s="96"/>
      <c r="N245" s="34"/>
      <c r="O245" s="135"/>
      <c r="P245" s="53"/>
      <c r="Q245" s="135"/>
      <c r="R245" s="25"/>
      <c r="S245" s="25"/>
      <c r="T245" s="5"/>
    </row>
    <row r="246" spans="1:20" s="153" customFormat="1" ht="15.6" x14ac:dyDescent="0.3">
      <c r="A246" s="144"/>
      <c r="B246" s="14" t="s">
        <v>239</v>
      </c>
      <c r="C246" s="151"/>
      <c r="D246" s="151"/>
      <c r="E246" s="151"/>
      <c r="F246" s="151"/>
      <c r="G246" s="151"/>
      <c r="H246" s="152"/>
      <c r="I246" s="152"/>
      <c r="J246" s="152"/>
      <c r="K246" s="152"/>
      <c r="L246" s="152"/>
      <c r="M246" s="152"/>
      <c r="N246" s="84" t="s">
        <v>113</v>
      </c>
      <c r="O246" s="17" t="s">
        <v>114</v>
      </c>
      <c r="P246" s="84" t="s">
        <v>123</v>
      </c>
      <c r="Q246" s="17" t="s">
        <v>114</v>
      </c>
      <c r="R246" s="151"/>
      <c r="S246" s="151"/>
      <c r="T246" s="5"/>
    </row>
    <row r="247" spans="1:20" s="153" customFormat="1" ht="15.6" x14ac:dyDescent="0.3">
      <c r="A247" s="24"/>
      <c r="B247" s="54" t="s">
        <v>99</v>
      </c>
      <c r="C247" s="161"/>
      <c r="D247" s="161"/>
      <c r="E247" s="161"/>
      <c r="F247" s="161"/>
      <c r="G247" s="161"/>
      <c r="H247" s="162"/>
      <c r="I247" s="162"/>
      <c r="J247" s="162"/>
      <c r="K247" s="162"/>
      <c r="L247" s="162"/>
      <c r="M247" s="162"/>
      <c r="N247" s="54">
        <v>0</v>
      </c>
      <c r="O247" s="95">
        <f t="shared" ref="O247:O254" si="5">+N247/$N$256</f>
        <v>0</v>
      </c>
      <c r="P247" s="53">
        <v>0</v>
      </c>
      <c r="Q247" s="135">
        <f t="shared" ref="Q247:Q254" si="6">+P247/$P$256</f>
        <v>0</v>
      </c>
      <c r="R247" s="155"/>
      <c r="S247" s="160"/>
      <c r="T247" s="5"/>
    </row>
    <row r="248" spans="1:20" s="153" customFormat="1" ht="15.6" x14ac:dyDescent="0.3">
      <c r="A248" s="24"/>
      <c r="B248" s="54" t="s">
        <v>100</v>
      </c>
      <c r="C248" s="161"/>
      <c r="D248" s="161"/>
      <c r="E248" s="161"/>
      <c r="F248" s="161"/>
      <c r="G248" s="161"/>
      <c r="H248" s="162"/>
      <c r="I248" s="162"/>
      <c r="J248" s="162"/>
      <c r="K248" s="162"/>
      <c r="L248" s="162"/>
      <c r="M248" s="162"/>
      <c r="N248" s="54">
        <v>0</v>
      </c>
      <c r="O248" s="95">
        <f t="shared" si="5"/>
        <v>0</v>
      </c>
      <c r="P248" s="53">
        <v>0</v>
      </c>
      <c r="Q248" s="135">
        <f t="shared" si="6"/>
        <v>0</v>
      </c>
      <c r="R248" s="135"/>
      <c r="S248" s="160"/>
      <c r="T248" s="5"/>
    </row>
    <row r="249" spans="1:20" s="153" customFormat="1" ht="15.6" x14ac:dyDescent="0.3">
      <c r="A249" s="24"/>
      <c r="B249" s="54" t="s">
        <v>101</v>
      </c>
      <c r="C249" s="161"/>
      <c r="D249" s="161"/>
      <c r="E249" s="161"/>
      <c r="F249" s="161"/>
      <c r="G249" s="161"/>
      <c r="H249" s="162"/>
      <c r="I249" s="162"/>
      <c r="J249" s="162"/>
      <c r="K249" s="162"/>
      <c r="L249" s="162"/>
      <c r="M249" s="162"/>
      <c r="N249" s="54">
        <v>0</v>
      </c>
      <c r="O249" s="95">
        <f t="shared" si="5"/>
        <v>0</v>
      </c>
      <c r="P249" s="53">
        <v>0</v>
      </c>
      <c r="Q249" s="135">
        <f t="shared" si="6"/>
        <v>0</v>
      </c>
      <c r="R249" s="155"/>
      <c r="S249" s="160"/>
      <c r="T249" s="5"/>
    </row>
    <row r="250" spans="1:20" s="153" customFormat="1" ht="15.6" x14ac:dyDescent="0.3">
      <c r="A250" s="24"/>
      <c r="B250" s="54" t="s">
        <v>210</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t="s">
        <v>211</v>
      </c>
      <c r="C251" s="161"/>
      <c r="D251" s="161"/>
      <c r="E251" s="161"/>
      <c r="F251" s="161"/>
      <c r="G251" s="161"/>
      <c r="H251" s="162"/>
      <c r="I251" s="162"/>
      <c r="J251" s="162"/>
      <c r="K251" s="162"/>
      <c r="L251" s="162"/>
      <c r="M251" s="162"/>
      <c r="N251" s="54">
        <v>0</v>
      </c>
      <c r="O251" s="95">
        <f t="shared" si="5"/>
        <v>0</v>
      </c>
      <c r="P251" s="53">
        <v>0</v>
      </c>
      <c r="Q251" s="135">
        <f t="shared" si="6"/>
        <v>0</v>
      </c>
      <c r="R251" s="155"/>
      <c r="S251" s="160"/>
      <c r="T251" s="5"/>
    </row>
    <row r="252" spans="1:20" s="153" customFormat="1" ht="15.6" x14ac:dyDescent="0.3">
      <c r="A252" s="24"/>
      <c r="B252" s="54" t="s">
        <v>212</v>
      </c>
      <c r="C252" s="161"/>
      <c r="D252" s="161"/>
      <c r="E252" s="161"/>
      <c r="F252" s="161"/>
      <c r="G252" s="161"/>
      <c r="H252" s="162"/>
      <c r="I252" s="162"/>
      <c r="J252" s="162"/>
      <c r="K252" s="162"/>
      <c r="L252" s="162"/>
      <c r="M252" s="162"/>
      <c r="N252" s="54">
        <v>0</v>
      </c>
      <c r="O252" s="95">
        <f t="shared" si="5"/>
        <v>0</v>
      </c>
      <c r="P252" s="53">
        <v>0</v>
      </c>
      <c r="Q252" s="135">
        <f t="shared" si="6"/>
        <v>0</v>
      </c>
      <c r="R252" s="155"/>
      <c r="S252" s="160"/>
      <c r="T252" s="5"/>
    </row>
    <row r="253" spans="1:20" s="153" customFormat="1" ht="15.6" x14ac:dyDescent="0.3">
      <c r="A253" s="24"/>
      <c r="B253" s="54" t="s">
        <v>213</v>
      </c>
      <c r="C253" s="161"/>
      <c r="D253" s="161"/>
      <c r="E253" s="161"/>
      <c r="F253" s="161"/>
      <c r="G253" s="161"/>
      <c r="H253" s="162"/>
      <c r="I253" s="162"/>
      <c r="J253" s="162"/>
      <c r="K253" s="162"/>
      <c r="L253" s="162"/>
      <c r="M253" s="162"/>
      <c r="N253" s="54">
        <v>1</v>
      </c>
      <c r="O253" s="95">
        <f t="shared" si="5"/>
        <v>1</v>
      </c>
      <c r="P253" s="53">
        <v>27</v>
      </c>
      <c r="Q253" s="135">
        <f t="shared" si="6"/>
        <v>1</v>
      </c>
      <c r="R253" s="155"/>
      <c r="S253" s="160"/>
      <c r="T253" s="5"/>
    </row>
    <row r="254" spans="1:20" s="153" customFormat="1" ht="15.6" x14ac:dyDescent="0.3">
      <c r="A254" s="24"/>
      <c r="B254" s="54" t="s">
        <v>214</v>
      </c>
      <c r="C254" s="161"/>
      <c r="D254" s="161"/>
      <c r="E254" s="161"/>
      <c r="F254" s="161"/>
      <c r="G254" s="161"/>
      <c r="H254" s="162"/>
      <c r="I254" s="162"/>
      <c r="J254" s="162"/>
      <c r="K254" s="162"/>
      <c r="L254" s="162"/>
      <c r="M254" s="162"/>
      <c r="N254" s="54">
        <v>0</v>
      </c>
      <c r="O254" s="95">
        <f t="shared" si="5"/>
        <v>0</v>
      </c>
      <c r="P254" s="53">
        <v>0</v>
      </c>
      <c r="Q254" s="135">
        <f t="shared" si="6"/>
        <v>0</v>
      </c>
      <c r="R254" s="155"/>
      <c r="S254" s="160"/>
      <c r="T254" s="5"/>
    </row>
    <row r="255" spans="1:20" s="153" customFormat="1" ht="15.6" x14ac:dyDescent="0.3">
      <c r="A255" s="24"/>
      <c r="B255" s="54"/>
      <c r="C255" s="161"/>
      <c r="D255" s="161"/>
      <c r="E255" s="161"/>
      <c r="F255" s="161"/>
      <c r="G255" s="161"/>
      <c r="H255" s="162"/>
      <c r="I255" s="162"/>
      <c r="J255" s="162"/>
      <c r="K255" s="162"/>
      <c r="L255" s="162"/>
      <c r="M255" s="162"/>
      <c r="N255" s="54"/>
      <c r="O255" s="95"/>
      <c r="P255" s="53"/>
      <c r="Q255" s="135"/>
      <c r="R255" s="155"/>
      <c r="S255" s="160"/>
      <c r="T255" s="5"/>
    </row>
    <row r="256" spans="1:20" ht="15.6" x14ac:dyDescent="0.3">
      <c r="A256" s="24"/>
      <c r="B256" s="25" t="s">
        <v>129</v>
      </c>
      <c r="C256" s="161"/>
      <c r="D256" s="161"/>
      <c r="E256" s="161"/>
      <c r="F256" s="161"/>
      <c r="G256" s="161"/>
      <c r="H256" s="162"/>
      <c r="I256" s="162"/>
      <c r="J256" s="162"/>
      <c r="K256" s="162"/>
      <c r="L256" s="162"/>
      <c r="M256" s="162"/>
      <c r="N256" s="34">
        <f>SUM(N247:N254)</f>
        <v>1</v>
      </c>
      <c r="O256" s="95">
        <f>SUM(O247:O254)</f>
        <v>1</v>
      </c>
      <c r="P256" s="53">
        <f>SUM(P247:P254)</f>
        <v>27</v>
      </c>
      <c r="Q256" s="135">
        <f>SUM(Q247:Q254)</f>
        <v>1</v>
      </c>
      <c r="R256" s="155"/>
      <c r="S256" s="160"/>
      <c r="T256" s="5"/>
    </row>
    <row r="257" spans="1:20" ht="15.6" x14ac:dyDescent="0.3">
      <c r="A257" s="24"/>
      <c r="B257" s="25"/>
      <c r="C257" s="151"/>
      <c r="D257" s="151"/>
      <c r="E257" s="151"/>
      <c r="F257" s="151"/>
      <c r="G257" s="151"/>
      <c r="H257" s="152"/>
      <c r="I257" s="152"/>
      <c r="J257" s="152"/>
      <c r="K257" s="152"/>
      <c r="L257" s="152"/>
      <c r="M257" s="152"/>
      <c r="N257" s="34"/>
      <c r="O257" s="135"/>
      <c r="P257" s="53"/>
      <c r="Q257" s="135"/>
      <c r="R257" s="151"/>
      <c r="S257" s="151"/>
      <c r="T257" s="5"/>
    </row>
    <row r="258" spans="1:20" ht="15.6" x14ac:dyDescent="0.3">
      <c r="A258" s="24"/>
      <c r="B258" s="154" t="s">
        <v>240</v>
      </c>
      <c r="C258" s="155"/>
      <c r="D258" s="155"/>
      <c r="E258" s="155"/>
      <c r="F258" s="155"/>
      <c r="G258" s="155"/>
      <c r="H258" s="156"/>
      <c r="I258" s="156"/>
      <c r="J258" s="156"/>
      <c r="K258" s="156"/>
      <c r="L258" s="156"/>
      <c r="M258" s="156"/>
      <c r="N258" s="157"/>
      <c r="O258" s="158"/>
      <c r="P258" s="159">
        <f>+P256+P244+P232</f>
        <v>829133</v>
      </c>
      <c r="Q258" s="158"/>
      <c r="R258" s="155"/>
      <c r="S258" s="160"/>
      <c r="T258" s="5"/>
    </row>
    <row r="259" spans="1:20" ht="15.6" x14ac:dyDescent="0.3">
      <c r="A259" s="24"/>
      <c r="B259" s="154"/>
      <c r="C259" s="8"/>
      <c r="D259" s="8"/>
      <c r="E259" s="8"/>
      <c r="F259" s="8"/>
      <c r="G259" s="8"/>
      <c r="H259" s="97"/>
      <c r="I259" s="97"/>
      <c r="J259" s="97"/>
      <c r="K259" s="97"/>
      <c r="L259" s="97"/>
      <c r="M259" s="97"/>
      <c r="N259" s="97"/>
      <c r="O259" s="97"/>
      <c r="P259" s="98"/>
      <c r="Q259" s="97"/>
      <c r="R259" s="8"/>
      <c r="S259" s="8"/>
      <c r="T259" s="5"/>
    </row>
    <row r="260" spans="1:20" ht="15.6" x14ac:dyDescent="0.3">
      <c r="A260" s="150"/>
      <c r="B260" s="14" t="s">
        <v>102</v>
      </c>
      <c r="C260" s="15"/>
      <c r="D260" s="15"/>
      <c r="E260" s="15"/>
      <c r="F260" s="17" t="s">
        <v>108</v>
      </c>
      <c r="G260" s="15"/>
      <c r="H260" s="14" t="s">
        <v>110</v>
      </c>
      <c r="I260" s="145"/>
      <c r="J260" s="145"/>
      <c r="K260" s="145"/>
      <c r="L260" s="145"/>
      <c r="M260" s="145"/>
      <c r="N260" s="145"/>
      <c r="O260" s="145"/>
      <c r="P260" s="145"/>
      <c r="Q260" s="145"/>
      <c r="R260" s="145"/>
      <c r="S260" s="145"/>
      <c r="T260" s="5"/>
    </row>
    <row r="261" spans="1:20" ht="15.6" x14ac:dyDescent="0.3">
      <c r="A261" s="150"/>
      <c r="B261" s="145"/>
      <c r="C261" s="8"/>
      <c r="D261" s="8"/>
      <c r="E261" s="8"/>
      <c r="F261" s="8"/>
      <c r="G261" s="8"/>
      <c r="H261" s="8"/>
      <c r="I261" s="145"/>
      <c r="J261" s="145"/>
      <c r="K261" s="145"/>
      <c r="L261" s="145"/>
      <c r="M261" s="145"/>
      <c r="N261" s="145"/>
      <c r="O261" s="145"/>
      <c r="P261" s="145"/>
      <c r="Q261" s="145"/>
      <c r="R261" s="145"/>
      <c r="S261" s="145"/>
      <c r="T261" s="5"/>
    </row>
    <row r="262" spans="1:20" ht="15.6" x14ac:dyDescent="0.3">
      <c r="A262" s="150"/>
      <c r="B262" s="13" t="s">
        <v>103</v>
      </c>
      <c r="C262" s="13"/>
      <c r="D262" s="13"/>
      <c r="E262" s="13"/>
      <c r="F262" s="133" t="s">
        <v>172</v>
      </c>
      <c r="G262" s="13"/>
      <c r="H262" s="13" t="s">
        <v>200</v>
      </c>
      <c r="I262" s="145"/>
      <c r="J262" s="145"/>
      <c r="K262" s="145"/>
      <c r="L262" s="145"/>
      <c r="M262" s="145"/>
      <c r="N262" s="145"/>
      <c r="O262" s="145"/>
      <c r="P262" s="145"/>
      <c r="Q262" s="145"/>
      <c r="R262" s="145"/>
      <c r="S262" s="145"/>
      <c r="T262" s="5"/>
    </row>
    <row r="263" spans="1:20" ht="15.6" x14ac:dyDescent="0.3">
      <c r="A263" s="150"/>
      <c r="B263" s="13" t="s">
        <v>271</v>
      </c>
      <c r="C263" s="13"/>
      <c r="D263" s="13"/>
      <c r="E263" s="13"/>
      <c r="F263" s="133" t="s">
        <v>272</v>
      </c>
      <c r="G263" s="13"/>
      <c r="H263" s="13" t="s">
        <v>273</v>
      </c>
      <c r="I263" s="145"/>
      <c r="J263" s="145"/>
      <c r="K263" s="145"/>
      <c r="L263" s="145"/>
      <c r="M263" s="145"/>
      <c r="N263" s="145"/>
      <c r="O263" s="145"/>
      <c r="P263" s="145"/>
      <c r="Q263" s="145"/>
      <c r="R263" s="145"/>
      <c r="S263" s="145"/>
      <c r="T263" s="5"/>
    </row>
    <row r="264" spans="1:20" ht="15.6" x14ac:dyDescent="0.3">
      <c r="A264" s="150"/>
      <c r="B264" s="13" t="s">
        <v>104</v>
      </c>
      <c r="C264" s="13"/>
      <c r="D264" s="13"/>
      <c r="E264" s="13"/>
      <c r="F264" s="133" t="s">
        <v>171</v>
      </c>
      <c r="G264" s="13"/>
      <c r="H264" s="13" t="s">
        <v>201</v>
      </c>
      <c r="I264" s="145"/>
      <c r="J264" s="145"/>
      <c r="K264" s="145"/>
      <c r="L264" s="145"/>
      <c r="M264" s="145"/>
      <c r="N264" s="145"/>
      <c r="O264" s="145"/>
      <c r="P264" s="145"/>
      <c r="Q264" s="145"/>
      <c r="R264" s="145"/>
      <c r="S264" s="145"/>
      <c r="T264" s="5"/>
    </row>
    <row r="265" spans="1:20" ht="15.6" x14ac:dyDescent="0.3">
      <c r="A265" s="150"/>
      <c r="B265" s="13"/>
      <c r="C265" s="13"/>
      <c r="D265" s="13"/>
      <c r="E265" s="13"/>
      <c r="F265" s="13"/>
      <c r="G265" s="100"/>
      <c r="H265" s="145"/>
      <c r="I265" s="145"/>
      <c r="J265" s="145"/>
      <c r="K265" s="145"/>
      <c r="L265" s="145"/>
      <c r="M265" s="145"/>
      <c r="N265" s="145"/>
      <c r="O265" s="145"/>
      <c r="P265" s="145"/>
      <c r="Q265" s="145"/>
      <c r="R265" s="145"/>
      <c r="S265" s="145"/>
      <c r="T265" s="5"/>
    </row>
    <row r="266" spans="1:20" ht="18" thickBot="1" x14ac:dyDescent="0.35">
      <c r="A266" s="150"/>
      <c r="B266" s="49" t="str">
        <f>B186</f>
        <v>PM8 INVESTOR REPORT QUARTER ENDING JUNE 2006</v>
      </c>
      <c r="C266" s="13"/>
      <c r="D266" s="13"/>
      <c r="E266" s="13"/>
      <c r="F266" s="13"/>
      <c r="G266" s="100"/>
      <c r="H266" s="145"/>
      <c r="I266" s="145"/>
      <c r="J266" s="145"/>
      <c r="K266" s="145"/>
      <c r="L266" s="145"/>
      <c r="M266" s="145"/>
      <c r="N266" s="145"/>
      <c r="O266" s="145"/>
      <c r="P266" s="145"/>
      <c r="Q266" s="145"/>
      <c r="R266" s="145"/>
      <c r="S266" s="145"/>
      <c r="T266" s="5"/>
    </row>
    <row r="267" spans="1:20" x14ac:dyDescent="0.25">
      <c r="A267" s="101"/>
      <c r="B267" s="101"/>
      <c r="C267" s="101"/>
      <c r="D267" s="101"/>
      <c r="E267" s="101"/>
      <c r="F267" s="101"/>
      <c r="G267" s="101"/>
      <c r="H267" s="101"/>
      <c r="I267" s="101"/>
      <c r="J267" s="101"/>
      <c r="K267" s="101"/>
      <c r="L267" s="101"/>
      <c r="M267" s="101"/>
      <c r="N267" s="101"/>
      <c r="O267" s="101"/>
      <c r="P267" s="101"/>
      <c r="Q267" s="101"/>
      <c r="R267" s="101"/>
      <c r="S267" s="101"/>
    </row>
  </sheetData>
  <phoneticPr fontId="0" type="noConversion"/>
  <hyperlinks>
    <hyperlink ref="H9" r:id="rId1"/>
    <hyperlink ref="J220"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0" max="14" man="1"/>
    <brk id="186"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7"/>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0.82899999999999996</v>
      </c>
      <c r="P16" s="17" t="s">
        <v>161</v>
      </c>
      <c r="Q16" s="140">
        <v>0.17100000000000001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39017</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19487.95</v>
      </c>
      <c r="E31" s="32"/>
      <c r="F31" s="125">
        <f>F37*F30</f>
        <v>128620.47</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13324.150000000001</v>
      </c>
      <c r="E32" s="36"/>
      <c r="F32" s="126">
        <f>F36*F30</f>
        <v>87939.390000000014</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19487.95</v>
      </c>
      <c r="E34" s="32"/>
      <c r="F34" s="31">
        <f>+F31*0.696969697</f>
        <v>89644.570003897592</v>
      </c>
      <c r="G34" s="31"/>
      <c r="H34" s="31">
        <v>305000</v>
      </c>
      <c r="I34" s="31"/>
      <c r="J34" s="31">
        <v>315000</v>
      </c>
      <c r="K34" s="31"/>
      <c r="L34" s="31">
        <v>65000</v>
      </c>
      <c r="M34" s="31"/>
      <c r="N34" s="31">
        <v>35000</v>
      </c>
      <c r="O34" s="31"/>
      <c r="P34" s="31"/>
      <c r="Q34" s="147"/>
      <c r="R34" s="31">
        <f>SUM(C34:N34)</f>
        <v>829132.5200038976</v>
      </c>
      <c r="S34" s="34"/>
      <c r="T34" s="5"/>
    </row>
    <row r="35" spans="1:20" ht="15.6" x14ac:dyDescent="0.3">
      <c r="A35" s="28"/>
      <c r="B35" s="29" t="s">
        <v>287</v>
      </c>
      <c r="C35" s="36"/>
      <c r="D35" s="35">
        <f>D36*D33</f>
        <v>13324.150000000001</v>
      </c>
      <c r="E35" s="36"/>
      <c r="F35" s="35">
        <f>F36*F33</f>
        <v>61291.090000000004</v>
      </c>
      <c r="G35" s="35"/>
      <c r="H35" s="35">
        <v>305000</v>
      </c>
      <c r="I35" s="35"/>
      <c r="J35" s="35">
        <v>315000</v>
      </c>
      <c r="K35" s="35"/>
      <c r="L35" s="35">
        <v>65000</v>
      </c>
      <c r="M35" s="35"/>
      <c r="N35" s="35">
        <v>35000</v>
      </c>
      <c r="O35" s="35"/>
      <c r="P35" s="35"/>
      <c r="Q35" s="37"/>
      <c r="R35" s="35">
        <f>SUM(C35:N35)</f>
        <v>794615.24</v>
      </c>
      <c r="S35" s="34"/>
      <c r="T35" s="5"/>
    </row>
    <row r="36" spans="1:20" ht="15.6" x14ac:dyDescent="0.3">
      <c r="A36" s="28"/>
      <c r="B36" s="123" t="s">
        <v>149</v>
      </c>
      <c r="C36" s="127"/>
      <c r="D36" s="138">
        <v>0.26648300000000003</v>
      </c>
      <c r="E36" s="139"/>
      <c r="F36" s="138">
        <v>0.26648300000000003</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0.38975900000000002</v>
      </c>
      <c r="E37" s="139"/>
      <c r="F37" s="138">
        <v>0.38975900000000002</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4.80031E-2</v>
      </c>
      <c r="E39" s="25"/>
      <c r="F39" s="38">
        <v>3.2000000000000001E-2</v>
      </c>
      <c r="G39" s="39"/>
      <c r="H39" s="38">
        <v>4.8803100000000002E-2</v>
      </c>
      <c r="I39" s="39"/>
      <c r="J39" s="38">
        <v>3.27E-2</v>
      </c>
      <c r="K39" s="39"/>
      <c r="L39" s="38">
        <v>5.3403100000000002E-2</v>
      </c>
      <c r="M39" s="39"/>
      <c r="N39" s="38">
        <v>3.6900000000000002E-2</v>
      </c>
      <c r="O39" s="39"/>
      <c r="P39" s="38"/>
      <c r="Q39" s="146"/>
      <c r="R39" s="39"/>
      <c r="S39" s="25"/>
      <c r="T39" s="5"/>
    </row>
    <row r="40" spans="1:20" ht="15.6" x14ac:dyDescent="0.3">
      <c r="A40" s="24"/>
      <c r="B40" s="25" t="s">
        <v>14</v>
      </c>
      <c r="C40" s="25"/>
      <c r="D40" s="38">
        <v>4.7368800000000003E-2</v>
      </c>
      <c r="E40" s="25"/>
      <c r="F40" s="38">
        <v>2.8740000000000002E-2</v>
      </c>
      <c r="G40" s="39"/>
      <c r="H40" s="38">
        <v>4.8168799999999998E-2</v>
      </c>
      <c r="I40" s="39"/>
      <c r="J40" s="38">
        <v>2.9440000000000001E-2</v>
      </c>
      <c r="K40" s="39"/>
      <c r="L40" s="38">
        <v>5.2768799999999998E-2</v>
      </c>
      <c r="M40" s="39"/>
      <c r="N40" s="38">
        <v>3.3640000000000003E-2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4.80031E-2</v>
      </c>
      <c r="E42" s="25"/>
      <c r="F42" s="38">
        <v>4.8216099999999998E-2</v>
      </c>
      <c r="G42" s="39"/>
      <c r="H42" s="38">
        <f>+H39</f>
        <v>4.8803100000000002E-2</v>
      </c>
      <c r="I42" s="39"/>
      <c r="J42" s="38">
        <v>4.9201099999999998E-2</v>
      </c>
      <c r="K42" s="39"/>
      <c r="L42" s="38">
        <f>+L39</f>
        <v>5.3403100000000002E-2</v>
      </c>
      <c r="M42" s="39"/>
      <c r="N42" s="38">
        <v>5.3780099999999997E-2</v>
      </c>
      <c r="O42" s="39"/>
      <c r="P42" s="38"/>
      <c r="Q42" s="146"/>
      <c r="R42" s="39">
        <f>SUMPRODUCT(D42:N42,D34:N34)/R34</f>
        <v>4.9442748385043714E-2</v>
      </c>
      <c r="S42" s="25"/>
      <c r="T42" s="5"/>
    </row>
    <row r="43" spans="1:20" ht="15.6" x14ac:dyDescent="0.3">
      <c r="A43" s="24"/>
      <c r="B43" s="25" t="s">
        <v>290</v>
      </c>
      <c r="C43" s="25"/>
      <c r="D43" s="38">
        <f>+D40</f>
        <v>4.7368800000000003E-2</v>
      </c>
      <c r="E43" s="25"/>
      <c r="F43" s="38">
        <v>4.75818E-2</v>
      </c>
      <c r="G43" s="39"/>
      <c r="H43" s="38">
        <f>+H40</f>
        <v>4.8168799999999998E-2</v>
      </c>
      <c r="I43" s="39"/>
      <c r="J43" s="38">
        <v>4.85668E-2</v>
      </c>
      <c r="K43" s="39"/>
      <c r="L43" s="38">
        <f>+L40</f>
        <v>5.2768799999999998E-2</v>
      </c>
      <c r="M43" s="39"/>
      <c r="N43" s="38">
        <v>5.31458E-2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0.14396459254190852</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39006</v>
      </c>
      <c r="S54" s="25"/>
      <c r="T54" s="5"/>
    </row>
    <row r="55" spans="1:21" ht="15.6" x14ac:dyDescent="0.3">
      <c r="A55" s="24"/>
      <c r="B55" s="25" t="s">
        <v>140</v>
      </c>
      <c r="C55" s="25"/>
      <c r="D55" s="25"/>
      <c r="E55" s="25"/>
      <c r="F55" s="25"/>
      <c r="G55" s="25"/>
      <c r="H55" s="58"/>
      <c r="I55" s="58"/>
      <c r="J55" s="58"/>
      <c r="K55" s="58"/>
      <c r="L55" s="58"/>
      <c r="M55" s="58"/>
      <c r="N55" s="25">
        <f>+R55-P55+1</f>
        <v>90</v>
      </c>
      <c r="O55" s="58"/>
      <c r="P55" s="45">
        <v>38825</v>
      </c>
      <c r="Q55" s="46"/>
      <c r="R55" s="45">
        <v>38914</v>
      </c>
      <c r="S55" s="25"/>
      <c r="T55" s="5"/>
    </row>
    <row r="56" spans="1:21" ht="15.6" x14ac:dyDescent="0.3">
      <c r="A56" s="24"/>
      <c r="B56" s="25" t="s">
        <v>141</v>
      </c>
      <c r="C56" s="25"/>
      <c r="D56" s="25"/>
      <c r="E56" s="25"/>
      <c r="F56" s="25"/>
      <c r="G56" s="25"/>
      <c r="H56" s="25"/>
      <c r="I56" s="25"/>
      <c r="J56" s="25"/>
      <c r="K56" s="25"/>
      <c r="L56" s="25"/>
      <c r="M56" s="25"/>
      <c r="N56" s="25">
        <f>+R56-P56+1</f>
        <v>91</v>
      </c>
      <c r="O56" s="25"/>
      <c r="P56" s="45">
        <v>38915</v>
      </c>
      <c r="Q56" s="46"/>
      <c r="R56" s="45">
        <v>39005</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38992</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263</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829133</v>
      </c>
      <c r="K67" s="34"/>
      <c r="L67" s="34">
        <f>34517+6116+998+1</f>
        <v>41632</v>
      </c>
      <c r="M67" s="34"/>
      <c r="N67" s="34">
        <f>6116+998</f>
        <v>7114</v>
      </c>
      <c r="O67" s="34"/>
      <c r="P67" s="34">
        <v>0</v>
      </c>
      <c r="Q67" s="34"/>
      <c r="R67" s="53">
        <f>+J67-L67+N67-P67</f>
        <v>794615</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829133</v>
      </c>
      <c r="K70" s="34"/>
      <c r="L70" s="34">
        <f>SUM(L67:L69)</f>
        <v>41632</v>
      </c>
      <c r="M70" s="34"/>
      <c r="N70" s="34">
        <f>SUM(N67:N69)</f>
        <v>7114</v>
      </c>
      <c r="O70" s="34"/>
      <c r="P70" s="34">
        <f>SUM(P67:P69)</f>
        <v>0</v>
      </c>
      <c r="Q70" s="34"/>
      <c r="R70" s="54">
        <f>SUM(R67:R69)</f>
        <v>794615</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829133</v>
      </c>
      <c r="K83" s="34"/>
      <c r="L83" s="34"/>
      <c r="M83" s="34"/>
      <c r="N83" s="34"/>
      <c r="O83" s="34"/>
      <c r="P83" s="54"/>
      <c r="Q83" s="34"/>
      <c r="R83" s="54">
        <f>SUM(R70:R82)</f>
        <v>794615</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+P187</f>
        <v>38989</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v>41589</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11621+2527-1560-542</f>
        <v>12046</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578+78</f>
        <v>656</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531</v>
      </c>
      <c r="S91" s="25"/>
      <c r="T91" s="5"/>
    </row>
    <row r="92" spans="1:20" ht="15.6" x14ac:dyDescent="0.3">
      <c r="A92" s="24"/>
      <c r="B92" s="25" t="s">
        <v>154</v>
      </c>
      <c r="C92" s="25"/>
      <c r="D92" s="25"/>
      <c r="E92" s="25"/>
      <c r="F92" s="25"/>
      <c r="G92" s="25"/>
      <c r="H92" s="25"/>
      <c r="I92" s="25"/>
      <c r="J92" s="25"/>
      <c r="K92" s="25"/>
      <c r="L92" s="25"/>
      <c r="M92" s="25"/>
      <c r="N92" s="25"/>
      <c r="O92" s="25"/>
      <c r="P92" s="34"/>
      <c r="Q92" s="25"/>
      <c r="R92" s="53">
        <v>0</v>
      </c>
      <c r="S92" s="25"/>
      <c r="T92" s="5"/>
    </row>
    <row r="93" spans="1:20" ht="15.6" x14ac:dyDescent="0.3">
      <c r="A93" s="24"/>
      <c r="B93" s="25" t="s">
        <v>199</v>
      </c>
      <c r="C93" s="25"/>
      <c r="D93" s="25"/>
      <c r="E93" s="25"/>
      <c r="F93" s="25"/>
      <c r="G93" s="25"/>
      <c r="H93" s="25"/>
      <c r="I93" s="25"/>
      <c r="J93" s="25"/>
      <c r="K93" s="25"/>
      <c r="L93" s="25"/>
      <c r="M93" s="25"/>
      <c r="N93" s="25"/>
      <c r="O93" s="25"/>
      <c r="P93" s="34"/>
      <c r="Q93" s="25"/>
      <c r="R93" s="53">
        <v>439</v>
      </c>
      <c r="S93" s="25"/>
      <c r="T93" s="5"/>
    </row>
    <row r="94" spans="1:20" ht="15.6" x14ac:dyDescent="0.3">
      <c r="A94" s="24"/>
      <c r="B94" s="25" t="s">
        <v>35</v>
      </c>
      <c r="C94" s="25"/>
      <c r="D94" s="25"/>
      <c r="E94" s="25"/>
      <c r="F94" s="25"/>
      <c r="G94" s="25"/>
      <c r="H94" s="25"/>
      <c r="I94" s="25"/>
      <c r="J94" s="25"/>
      <c r="K94" s="25"/>
      <c r="L94" s="25"/>
      <c r="M94" s="25"/>
      <c r="N94" s="25"/>
      <c r="O94" s="25"/>
      <c r="P94" s="34">
        <f>SUM(P87:P93)</f>
        <v>41589</v>
      </c>
      <c r="Q94" s="25"/>
      <c r="R94" s="54">
        <f>SUM(R87:R93)</f>
        <v>13672</v>
      </c>
      <c r="S94" s="25"/>
      <c r="T94" s="5"/>
    </row>
    <row r="95" spans="1:20" ht="15.6" x14ac:dyDescent="0.3">
      <c r="A95" s="24"/>
      <c r="B95" s="25" t="s">
        <v>235</v>
      </c>
      <c r="C95" s="25"/>
      <c r="D95" s="25"/>
      <c r="E95" s="25"/>
      <c r="F95" s="25"/>
      <c r="G95" s="25"/>
      <c r="H95" s="25"/>
      <c r="I95" s="25"/>
      <c r="J95" s="25"/>
      <c r="K95" s="25"/>
      <c r="L95" s="25"/>
      <c r="M95" s="25"/>
      <c r="N95" s="25"/>
      <c r="O95" s="25"/>
      <c r="P95" s="34">
        <v>-38</v>
      </c>
      <c r="Q95" s="25"/>
      <c r="R95" s="54">
        <f>-P95</f>
        <v>38</v>
      </c>
      <c r="S95" s="25"/>
      <c r="T95" s="5"/>
    </row>
    <row r="96" spans="1:20" ht="15.6" x14ac:dyDescent="0.3">
      <c r="A96" s="24"/>
      <c r="B96" s="25" t="s">
        <v>36</v>
      </c>
      <c r="C96" s="25"/>
      <c r="D96" s="25"/>
      <c r="E96" s="25"/>
      <c r="F96" s="25"/>
      <c r="G96" s="25"/>
      <c r="H96" s="25"/>
      <c r="I96" s="25"/>
      <c r="J96" s="25"/>
      <c r="K96" s="25"/>
      <c r="L96" s="25"/>
      <c r="M96" s="25"/>
      <c r="N96" s="25"/>
      <c r="O96" s="25"/>
      <c r="P96" s="34">
        <f>-R96</f>
        <v>0</v>
      </c>
      <c r="Q96" s="25"/>
      <c r="R96" s="53">
        <v>0</v>
      </c>
      <c r="S96" s="25"/>
      <c r="T96" s="5"/>
    </row>
    <row r="97" spans="1:21" ht="15.6" x14ac:dyDescent="0.3">
      <c r="A97" s="24"/>
      <c r="B97" s="25" t="s">
        <v>37</v>
      </c>
      <c r="C97" s="25"/>
      <c r="D97" s="25"/>
      <c r="E97" s="25"/>
      <c r="F97" s="25"/>
      <c r="G97" s="25"/>
      <c r="H97" s="25"/>
      <c r="I97" s="25"/>
      <c r="J97" s="25"/>
      <c r="K97" s="25"/>
      <c r="L97" s="25"/>
      <c r="M97" s="25"/>
      <c r="N97" s="25"/>
      <c r="O97" s="25"/>
      <c r="P97" s="34">
        <f>P94+P96+P95</f>
        <v>41551</v>
      </c>
      <c r="Q97" s="25"/>
      <c r="R97" s="54">
        <f>R94+R96+R95</f>
        <v>13710</v>
      </c>
      <c r="S97" s="25"/>
      <c r="T97" s="5"/>
    </row>
    <row r="98" spans="1:21" ht="15.6" x14ac:dyDescent="0.3">
      <c r="A98" s="24"/>
      <c r="B98" s="119" t="s">
        <v>38</v>
      </c>
      <c r="C98" s="25"/>
      <c r="D98" s="25"/>
      <c r="E98" s="25"/>
      <c r="F98" s="25"/>
      <c r="G98" s="25"/>
      <c r="H98" s="25"/>
      <c r="I98" s="25"/>
      <c r="J98" s="25"/>
      <c r="K98" s="25"/>
      <c r="L98" s="25"/>
      <c r="M98" s="25"/>
      <c r="N98" s="25"/>
      <c r="O98" s="25"/>
      <c r="P98" s="34"/>
      <c r="Q98" s="25"/>
      <c r="R98" s="53"/>
      <c r="S98" s="25"/>
      <c r="T98" s="5"/>
    </row>
    <row r="99" spans="1:21" ht="15.6" x14ac:dyDescent="0.3">
      <c r="A99" s="24">
        <v>1</v>
      </c>
      <c r="B99" s="25" t="s">
        <v>39</v>
      </c>
      <c r="C99" s="25"/>
      <c r="D99" s="25"/>
      <c r="E99" s="25"/>
      <c r="F99" s="25"/>
      <c r="G99" s="25"/>
      <c r="H99" s="25"/>
      <c r="I99" s="25"/>
      <c r="J99" s="25"/>
      <c r="K99" s="25"/>
      <c r="L99" s="25"/>
      <c r="M99" s="25"/>
      <c r="N99" s="25"/>
      <c r="O99" s="25"/>
      <c r="P99" s="25"/>
      <c r="Q99" s="25"/>
      <c r="R99" s="53">
        <v>0</v>
      </c>
      <c r="S99" s="25"/>
      <c r="T99" s="5"/>
    </row>
    <row r="100" spans="1:21" ht="15.6" x14ac:dyDescent="0.3">
      <c r="A100" s="24">
        <f>+A99+1</f>
        <v>2</v>
      </c>
      <c r="B100" s="25" t="s">
        <v>40</v>
      </c>
      <c r="C100" s="25"/>
      <c r="D100" s="25"/>
      <c r="E100" s="25"/>
      <c r="F100" s="25"/>
      <c r="G100" s="25"/>
      <c r="H100" s="25"/>
      <c r="I100" s="25"/>
      <c r="J100" s="25"/>
      <c r="K100" s="25"/>
      <c r="L100" s="25"/>
      <c r="M100" s="25"/>
      <c r="N100" s="25"/>
      <c r="O100" s="25"/>
      <c r="P100" s="25"/>
      <c r="Q100" s="25"/>
      <c r="R100" s="53">
        <v>-2</v>
      </c>
      <c r="S100" s="25"/>
      <c r="T100" s="5"/>
    </row>
    <row r="101" spans="1:21" ht="15.6" x14ac:dyDescent="0.3">
      <c r="A101" s="24">
        <f>+A100+1</f>
        <v>3</v>
      </c>
      <c r="B101" s="25" t="s">
        <v>174</v>
      </c>
      <c r="C101" s="25"/>
      <c r="D101" s="25"/>
      <c r="E101" s="25"/>
      <c r="F101" s="25"/>
      <c r="G101" s="25"/>
      <c r="H101" s="25"/>
      <c r="I101" s="25"/>
      <c r="J101" s="25"/>
      <c r="K101" s="25"/>
      <c r="L101" s="25"/>
      <c r="M101" s="25"/>
      <c r="N101" s="25"/>
      <c r="O101" s="25"/>
      <c r="P101" s="25"/>
      <c r="Q101" s="25"/>
      <c r="R101" s="53">
        <f>-207-35-10</f>
        <v>-252</v>
      </c>
      <c r="S101" s="25"/>
      <c r="T101" s="5"/>
    </row>
    <row r="102" spans="1:21" ht="15.6" x14ac:dyDescent="0.3">
      <c r="A102" s="24" t="s">
        <v>146</v>
      </c>
      <c r="B102" s="25" t="s">
        <v>131</v>
      </c>
      <c r="C102" s="25"/>
      <c r="D102" s="25"/>
      <c r="E102" s="25"/>
      <c r="F102" s="25"/>
      <c r="G102" s="25"/>
      <c r="H102" s="25"/>
      <c r="I102" s="25"/>
      <c r="J102" s="25"/>
      <c r="K102" s="25"/>
      <c r="L102" s="25"/>
      <c r="M102" s="25"/>
      <c r="N102" s="25"/>
      <c r="O102" s="25"/>
      <c r="P102" s="25"/>
      <c r="Q102" s="25"/>
      <c r="R102" s="53">
        <v>-261</v>
      </c>
      <c r="S102" s="25"/>
      <c r="T102" s="5"/>
    </row>
    <row r="103" spans="1:21" ht="15.6" x14ac:dyDescent="0.3">
      <c r="A103" s="24" t="s">
        <v>147</v>
      </c>
      <c r="B103" s="25" t="s">
        <v>218</v>
      </c>
      <c r="C103" s="25"/>
      <c r="D103" s="25"/>
      <c r="E103" s="25"/>
      <c r="F103" s="25"/>
      <c r="G103" s="25"/>
      <c r="H103" s="25"/>
      <c r="I103" s="25"/>
      <c r="J103" s="25"/>
      <c r="K103" s="25"/>
      <c r="L103" s="25"/>
      <c r="M103" s="25"/>
      <c r="N103" s="25"/>
      <c r="O103" s="25"/>
      <c r="P103" s="25"/>
      <c r="Q103" s="25"/>
      <c r="R103" s="53">
        <v>-2</v>
      </c>
      <c r="S103" s="25"/>
      <c r="T103" s="5"/>
    </row>
    <row r="104" spans="1:21" ht="15.6" x14ac:dyDescent="0.3">
      <c r="A104" s="24" t="s">
        <v>176</v>
      </c>
      <c r="B104" s="25" t="s">
        <v>230</v>
      </c>
      <c r="C104" s="25"/>
      <c r="D104" s="25"/>
      <c r="E104" s="25"/>
      <c r="F104" s="25"/>
      <c r="G104" s="25"/>
      <c r="H104" s="25"/>
      <c r="I104" s="25"/>
      <c r="J104" s="25"/>
      <c r="K104" s="25"/>
      <c r="L104" s="25"/>
      <c r="M104" s="25"/>
      <c r="N104" s="25"/>
      <c r="O104" s="25"/>
      <c r="P104" s="25"/>
      <c r="Q104" s="25"/>
      <c r="R104" s="53">
        <v>-233</v>
      </c>
      <c r="S104" s="25"/>
      <c r="T104" s="5"/>
      <c r="U104" s="110"/>
    </row>
    <row r="105" spans="1:21" ht="15.6" x14ac:dyDescent="0.3">
      <c r="A105" s="24" t="s">
        <v>177</v>
      </c>
      <c r="B105" s="25" t="s">
        <v>231</v>
      </c>
      <c r="C105" s="25"/>
      <c r="D105" s="25"/>
      <c r="E105" s="25"/>
      <c r="F105" s="25"/>
      <c r="G105" s="25"/>
      <c r="H105" s="25"/>
      <c r="I105" s="25"/>
      <c r="J105" s="25"/>
      <c r="K105" s="25"/>
      <c r="L105" s="25"/>
      <c r="M105" s="25"/>
      <c r="N105" s="25"/>
      <c r="O105" s="25"/>
      <c r="P105" s="25"/>
      <c r="Q105" s="25"/>
      <c r="R105" s="53">
        <v>-1078</v>
      </c>
      <c r="S105" s="25"/>
      <c r="T105" s="5"/>
      <c r="U105" s="110"/>
    </row>
    <row r="106" spans="1:21" ht="15.6" x14ac:dyDescent="0.3">
      <c r="A106" s="24" t="s">
        <v>248</v>
      </c>
      <c r="B106" s="25" t="s">
        <v>232</v>
      </c>
      <c r="C106" s="25"/>
      <c r="D106" s="25"/>
      <c r="E106" s="25"/>
      <c r="F106" s="25"/>
      <c r="G106" s="25"/>
      <c r="H106" s="25"/>
      <c r="I106" s="25"/>
      <c r="J106" s="25"/>
      <c r="K106" s="25"/>
      <c r="L106" s="25"/>
      <c r="M106" s="25"/>
      <c r="N106" s="25"/>
      <c r="O106" s="25"/>
      <c r="P106" s="25"/>
      <c r="Q106" s="25"/>
      <c r="R106" s="53">
        <v>-3711</v>
      </c>
      <c r="S106" s="25"/>
      <c r="T106" s="5"/>
    </row>
    <row r="107" spans="1:21" ht="15.6" x14ac:dyDescent="0.3">
      <c r="A107" s="24" t="s">
        <v>205</v>
      </c>
      <c r="B107" s="25" t="s">
        <v>233</v>
      </c>
      <c r="C107" s="25"/>
      <c r="D107" s="25"/>
      <c r="E107" s="25"/>
      <c r="F107" s="25"/>
      <c r="G107" s="25"/>
      <c r="H107" s="25"/>
      <c r="I107" s="25"/>
      <c r="J107" s="25"/>
      <c r="K107" s="25"/>
      <c r="L107" s="25"/>
      <c r="M107" s="25"/>
      <c r="N107" s="25"/>
      <c r="O107" s="25"/>
      <c r="P107" s="25"/>
      <c r="Q107" s="25"/>
      <c r="R107" s="53">
        <v>-3864</v>
      </c>
      <c r="S107" s="25"/>
      <c r="T107" s="5"/>
      <c r="U107" s="110"/>
    </row>
    <row r="108" spans="1:21" ht="15.6" x14ac:dyDescent="0.3">
      <c r="A108" s="24" t="s">
        <v>249</v>
      </c>
      <c r="B108" s="25" t="s">
        <v>234</v>
      </c>
      <c r="C108" s="25"/>
      <c r="D108" s="25"/>
      <c r="E108" s="25"/>
      <c r="F108" s="25"/>
      <c r="G108" s="25"/>
      <c r="H108" s="25"/>
      <c r="I108" s="25"/>
      <c r="J108" s="25"/>
      <c r="K108" s="25"/>
      <c r="L108" s="25"/>
      <c r="M108" s="25"/>
      <c r="N108" s="25"/>
      <c r="O108" s="25"/>
      <c r="P108" s="25"/>
      <c r="Q108" s="25"/>
      <c r="R108" s="53">
        <v>-865</v>
      </c>
      <c r="S108" s="25"/>
      <c r="T108" s="5"/>
      <c r="U108" s="110"/>
    </row>
    <row r="109" spans="1:21" ht="15.6" x14ac:dyDescent="0.3">
      <c r="A109" s="24" t="s">
        <v>250</v>
      </c>
      <c r="B109" s="25" t="s">
        <v>168</v>
      </c>
      <c r="C109" s="25"/>
      <c r="D109" s="25"/>
      <c r="E109" s="25"/>
      <c r="F109" s="25"/>
      <c r="G109" s="25"/>
      <c r="H109" s="25"/>
      <c r="I109" s="25"/>
      <c r="J109" s="25"/>
      <c r="K109" s="25"/>
      <c r="L109" s="25"/>
      <c r="M109" s="25"/>
      <c r="N109" s="25"/>
      <c r="O109" s="25"/>
      <c r="P109" s="25"/>
      <c r="Q109" s="25"/>
      <c r="R109" s="53">
        <v>-470</v>
      </c>
      <c r="S109" s="25"/>
      <c r="T109" s="5"/>
    </row>
    <row r="110" spans="1:21" ht="15.6" x14ac:dyDescent="0.3">
      <c r="A110" s="24">
        <v>6</v>
      </c>
      <c r="B110" s="25" t="s">
        <v>41</v>
      </c>
      <c r="C110" s="25"/>
      <c r="D110" s="25"/>
      <c r="E110" s="25"/>
      <c r="F110" s="25"/>
      <c r="G110" s="25"/>
      <c r="H110" s="25"/>
      <c r="I110" s="25"/>
      <c r="J110" s="25"/>
      <c r="K110" s="25"/>
      <c r="L110" s="25"/>
      <c r="M110" s="25"/>
      <c r="N110" s="25"/>
      <c r="O110" s="25"/>
      <c r="P110" s="25"/>
      <c r="Q110" s="25"/>
      <c r="R110" s="53">
        <v>-8</v>
      </c>
      <c r="S110" s="25"/>
      <c r="T110" s="5"/>
    </row>
    <row r="111" spans="1:21" ht="15.6" x14ac:dyDescent="0.3">
      <c r="A111" s="24">
        <f t="shared" ref="A111:A116" si="0">+A110+1</f>
        <v>7</v>
      </c>
      <c r="B111" s="25" t="s">
        <v>53</v>
      </c>
      <c r="C111" s="25"/>
      <c r="D111" s="25"/>
      <c r="E111" s="25"/>
      <c r="F111" s="25"/>
      <c r="G111" s="25"/>
      <c r="H111" s="25"/>
      <c r="I111" s="25"/>
      <c r="J111" s="25"/>
      <c r="K111" s="25"/>
      <c r="L111" s="25"/>
      <c r="M111" s="25"/>
      <c r="N111" s="25"/>
      <c r="O111" s="25"/>
      <c r="P111" s="34">
        <f>-R111</f>
        <v>43</v>
      </c>
      <c r="Q111" s="25"/>
      <c r="R111" s="53">
        <v>-43</v>
      </c>
      <c r="S111" s="25"/>
      <c r="T111" s="5"/>
    </row>
    <row r="112" spans="1:21" ht="15.6" x14ac:dyDescent="0.3">
      <c r="A112" s="24">
        <f t="shared" si="0"/>
        <v>8</v>
      </c>
      <c r="B112" s="25" t="s">
        <v>144</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9</v>
      </c>
      <c r="B113" s="25" t="s">
        <v>42</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10</v>
      </c>
      <c r="B114" s="25" t="s">
        <v>43</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11</v>
      </c>
      <c r="B115" s="25" t="s">
        <v>175</v>
      </c>
      <c r="C115" s="25"/>
      <c r="D115" s="25"/>
      <c r="E115" s="25"/>
      <c r="F115" s="25"/>
      <c r="G115" s="25"/>
      <c r="H115" s="25"/>
      <c r="I115" s="25"/>
      <c r="J115" s="25"/>
      <c r="K115" s="25"/>
      <c r="L115" s="25"/>
      <c r="M115" s="25"/>
      <c r="N115" s="25"/>
      <c r="O115" s="25"/>
      <c r="P115" s="25"/>
      <c r="Q115" s="25"/>
      <c r="R115" s="53">
        <v>-421</v>
      </c>
      <c r="S115" s="25"/>
      <c r="T115" s="5"/>
    </row>
    <row r="116" spans="1:20" ht="15.6" x14ac:dyDescent="0.3">
      <c r="A116" s="24">
        <f t="shared" si="0"/>
        <v>12</v>
      </c>
      <c r="B116" s="25" t="s">
        <v>145</v>
      </c>
      <c r="C116" s="25"/>
      <c r="D116" s="25"/>
      <c r="E116" s="25"/>
      <c r="F116" s="25"/>
      <c r="G116" s="25"/>
      <c r="H116" s="25"/>
      <c r="I116" s="25"/>
      <c r="J116" s="25"/>
      <c r="K116" s="25"/>
      <c r="L116" s="25"/>
      <c r="M116" s="25"/>
      <c r="N116" s="25"/>
      <c r="O116" s="25"/>
      <c r="P116" s="25"/>
      <c r="Q116" s="25"/>
      <c r="R116" s="53">
        <f>-R97-SUM(R99:R115)</f>
        <v>-2500</v>
      </c>
      <c r="S116" s="25"/>
      <c r="T116" s="5"/>
    </row>
    <row r="117" spans="1:20" ht="15.6" x14ac:dyDescent="0.3">
      <c r="A117" s="24"/>
      <c r="B117" s="119" t="s">
        <v>44</v>
      </c>
      <c r="C117" s="25"/>
      <c r="D117" s="25"/>
      <c r="E117" s="25"/>
      <c r="F117" s="25"/>
      <c r="G117" s="25"/>
      <c r="H117" s="25"/>
      <c r="I117" s="25"/>
      <c r="J117" s="25"/>
      <c r="K117" s="25"/>
      <c r="L117" s="25"/>
      <c r="M117" s="25"/>
      <c r="N117" s="25"/>
      <c r="O117" s="25"/>
      <c r="P117" s="25"/>
      <c r="Q117" s="25"/>
      <c r="R117" s="59"/>
      <c r="S117" s="25"/>
      <c r="T117" s="5"/>
    </row>
    <row r="118" spans="1:20" ht="15.6" x14ac:dyDescent="0.3">
      <c r="A118" s="24"/>
      <c r="B118" s="25" t="s">
        <v>45</v>
      </c>
      <c r="C118" s="25"/>
      <c r="D118" s="25"/>
      <c r="E118" s="25"/>
      <c r="F118" s="25"/>
      <c r="G118" s="25"/>
      <c r="H118" s="25"/>
      <c r="I118" s="25"/>
      <c r="J118" s="25"/>
      <c r="K118" s="25"/>
      <c r="L118" s="25"/>
      <c r="M118" s="25"/>
      <c r="N118" s="25"/>
      <c r="O118" s="25"/>
      <c r="P118" s="34">
        <v>-14</v>
      </c>
      <c r="Q118" s="34"/>
      <c r="R118" s="53"/>
      <c r="S118" s="25"/>
      <c r="T118" s="5"/>
    </row>
    <row r="119" spans="1:20" ht="15.6" x14ac:dyDescent="0.3">
      <c r="A119" s="24"/>
      <c r="B119" s="25" t="s">
        <v>46</v>
      </c>
      <c r="C119" s="25"/>
      <c r="D119" s="25"/>
      <c r="E119" s="25"/>
      <c r="F119" s="25"/>
      <c r="G119" s="25"/>
      <c r="H119" s="25"/>
      <c r="I119" s="25"/>
      <c r="J119" s="25"/>
      <c r="K119" s="25"/>
      <c r="L119" s="25"/>
      <c r="M119" s="25"/>
      <c r="N119" s="25"/>
      <c r="O119" s="25"/>
      <c r="P119" s="34">
        <f>-O173</f>
        <v>-7062</v>
      </c>
      <c r="Q119" s="34"/>
      <c r="R119" s="53"/>
      <c r="S119" s="25"/>
      <c r="T119" s="5"/>
    </row>
    <row r="120" spans="1:20" ht="15.6" x14ac:dyDescent="0.3">
      <c r="A120" s="24"/>
      <c r="B120" s="25" t="s">
        <v>219</v>
      </c>
      <c r="C120" s="25"/>
      <c r="D120" s="25"/>
      <c r="E120" s="25"/>
      <c r="F120" s="25"/>
      <c r="G120" s="25"/>
      <c r="H120" s="25"/>
      <c r="I120" s="25"/>
      <c r="J120" s="25"/>
      <c r="K120" s="25"/>
      <c r="L120" s="25"/>
      <c r="M120" s="25"/>
      <c r="N120" s="25"/>
      <c r="O120" s="25"/>
      <c r="P120" s="34">
        <v>-6164</v>
      </c>
      <c r="Q120" s="34"/>
      <c r="R120" s="53"/>
      <c r="S120" s="25"/>
      <c r="T120" s="5"/>
    </row>
    <row r="121" spans="1:20" ht="15.6" x14ac:dyDescent="0.3">
      <c r="A121" s="24"/>
      <c r="B121" s="25" t="s">
        <v>220</v>
      </c>
      <c r="C121" s="25"/>
      <c r="D121" s="25"/>
      <c r="E121" s="25"/>
      <c r="F121" s="25"/>
      <c r="G121" s="25"/>
      <c r="H121" s="25"/>
      <c r="I121" s="25"/>
      <c r="J121" s="25"/>
      <c r="K121" s="25"/>
      <c r="L121" s="25"/>
      <c r="M121" s="25"/>
      <c r="N121" s="25"/>
      <c r="O121" s="25"/>
      <c r="P121" s="34">
        <v>-28354</v>
      </c>
      <c r="Q121" s="34"/>
      <c r="R121" s="53"/>
      <c r="S121" s="25"/>
      <c r="T121" s="5"/>
    </row>
    <row r="122" spans="1:20" ht="15.6" x14ac:dyDescent="0.3">
      <c r="A122" s="24"/>
      <c r="B122" s="25" t="s">
        <v>221</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222</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223</v>
      </c>
      <c r="C124" s="25"/>
      <c r="D124" s="25"/>
      <c r="E124" s="25"/>
      <c r="F124" s="25"/>
      <c r="G124" s="25"/>
      <c r="H124" s="25"/>
      <c r="I124" s="25"/>
      <c r="J124" s="25"/>
      <c r="K124" s="25"/>
      <c r="L124" s="25"/>
      <c r="M124" s="25"/>
      <c r="N124" s="25"/>
      <c r="O124" s="25"/>
      <c r="P124" s="34">
        <v>0</v>
      </c>
      <c r="Q124" s="34"/>
      <c r="R124" s="53"/>
      <c r="S124" s="25"/>
      <c r="T124" s="5"/>
    </row>
    <row r="125" spans="1:20" ht="15.6" x14ac:dyDescent="0.3">
      <c r="A125" s="24"/>
      <c r="B125" s="25" t="s">
        <v>173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47</v>
      </c>
      <c r="C126" s="25"/>
      <c r="D126" s="25"/>
      <c r="E126" s="25"/>
      <c r="F126" s="25"/>
      <c r="G126" s="25"/>
      <c r="H126" s="25"/>
      <c r="I126" s="25"/>
      <c r="J126" s="25"/>
      <c r="K126" s="25"/>
      <c r="L126" s="25"/>
      <c r="M126" s="25"/>
      <c r="N126" s="25"/>
      <c r="O126" s="25"/>
      <c r="P126" s="34">
        <f>SUM(P118:P125)</f>
        <v>-41594</v>
      </c>
      <c r="Q126" s="34"/>
      <c r="R126" s="34">
        <f>SUM(R98:R125)</f>
        <v>-13710</v>
      </c>
      <c r="S126" s="25"/>
      <c r="T126" s="5"/>
    </row>
    <row r="127" spans="1:20" ht="15.6" x14ac:dyDescent="0.3">
      <c r="A127" s="24"/>
      <c r="B127" s="25" t="s">
        <v>48</v>
      </c>
      <c r="C127" s="25"/>
      <c r="D127" s="25"/>
      <c r="E127" s="25"/>
      <c r="F127" s="25"/>
      <c r="G127" s="25"/>
      <c r="H127" s="25"/>
      <c r="I127" s="25"/>
      <c r="J127" s="25"/>
      <c r="K127" s="25"/>
      <c r="L127" s="25"/>
      <c r="M127" s="25"/>
      <c r="N127" s="25"/>
      <c r="O127" s="25"/>
      <c r="P127" s="34">
        <f>P97+P126+P111</f>
        <v>0</v>
      </c>
      <c r="Q127" s="34"/>
      <c r="R127" s="34">
        <f>R97+R126</f>
        <v>0</v>
      </c>
      <c r="S127" s="25"/>
      <c r="T127" s="5"/>
    </row>
    <row r="128" spans="1:20" ht="15.6" x14ac:dyDescent="0.3">
      <c r="A128" s="24"/>
      <c r="B128" s="25"/>
      <c r="C128" s="25"/>
      <c r="D128" s="25"/>
      <c r="E128" s="25"/>
      <c r="F128" s="25"/>
      <c r="G128" s="25"/>
      <c r="H128" s="25"/>
      <c r="I128" s="25"/>
      <c r="J128" s="25"/>
      <c r="K128" s="25"/>
      <c r="L128" s="25"/>
      <c r="M128" s="25"/>
      <c r="N128" s="25"/>
      <c r="O128" s="25"/>
      <c r="P128" s="34"/>
      <c r="Q128" s="34"/>
      <c r="R128" s="34"/>
      <c r="S128" s="25"/>
      <c r="T128" s="5"/>
    </row>
    <row r="129" spans="1:21" ht="15.6" x14ac:dyDescent="0.3">
      <c r="A129" s="6"/>
      <c r="B129" s="8"/>
      <c r="C129" s="8"/>
      <c r="D129" s="8"/>
      <c r="E129" s="8"/>
      <c r="F129" s="8"/>
      <c r="G129" s="8"/>
      <c r="H129" s="8"/>
      <c r="I129" s="8"/>
      <c r="J129" s="8"/>
      <c r="K129" s="8"/>
      <c r="L129" s="8"/>
      <c r="M129" s="8"/>
      <c r="N129" s="8"/>
      <c r="O129" s="8"/>
      <c r="P129" s="8"/>
      <c r="Q129" s="8"/>
      <c r="R129" s="52"/>
      <c r="S129" s="8"/>
      <c r="T129" s="5"/>
    </row>
    <row r="130" spans="1:21" ht="18" thickBot="1" x14ac:dyDescent="0.35">
      <c r="A130" s="102"/>
      <c r="B130" s="103" t="str">
        <f>B62</f>
        <v>PM8 INVESTOR REPORT QUARTER ENDING SEPTEMBER 2006</v>
      </c>
      <c r="C130" s="104"/>
      <c r="D130" s="104"/>
      <c r="E130" s="104"/>
      <c r="F130" s="104"/>
      <c r="G130" s="104"/>
      <c r="H130" s="104"/>
      <c r="I130" s="104"/>
      <c r="J130" s="104"/>
      <c r="K130" s="104"/>
      <c r="L130" s="104"/>
      <c r="M130" s="104"/>
      <c r="N130" s="104"/>
      <c r="O130" s="104"/>
      <c r="P130" s="104"/>
      <c r="Q130" s="104"/>
      <c r="R130" s="107"/>
      <c r="S130" s="106"/>
      <c r="T130" s="5"/>
    </row>
    <row r="131" spans="1:21" ht="15.6" x14ac:dyDescent="0.3">
      <c r="A131" s="2"/>
      <c r="B131" s="60" t="s">
        <v>49</v>
      </c>
      <c r="C131" s="4"/>
      <c r="D131" s="4"/>
      <c r="E131" s="4"/>
      <c r="F131" s="4"/>
      <c r="G131" s="4"/>
      <c r="H131" s="4"/>
      <c r="I131" s="4"/>
      <c r="J131" s="4"/>
      <c r="K131" s="4"/>
      <c r="L131" s="4"/>
      <c r="M131" s="4"/>
      <c r="N131" s="4"/>
      <c r="O131" s="4"/>
      <c r="P131" s="4"/>
      <c r="Q131" s="4"/>
      <c r="R131" s="50"/>
      <c r="S131" s="4"/>
      <c r="T131" s="5"/>
    </row>
    <row r="132" spans="1:21" ht="15.6" x14ac:dyDescent="0.3">
      <c r="A132" s="6"/>
      <c r="B132" s="21"/>
      <c r="C132" s="8"/>
      <c r="D132" s="8"/>
      <c r="E132" s="8"/>
      <c r="F132" s="8"/>
      <c r="G132" s="8"/>
      <c r="H132" s="8"/>
      <c r="I132" s="8"/>
      <c r="J132" s="8"/>
      <c r="K132" s="8"/>
      <c r="L132" s="8"/>
      <c r="M132" s="8"/>
      <c r="N132" s="8"/>
      <c r="O132" s="8"/>
      <c r="P132" s="8"/>
      <c r="Q132" s="8"/>
      <c r="R132" s="52"/>
      <c r="S132" s="8"/>
      <c r="T132" s="5"/>
    </row>
    <row r="133" spans="1:21" ht="15.6" x14ac:dyDescent="0.3">
      <c r="A133" s="6"/>
      <c r="B133" s="120" t="s">
        <v>50</v>
      </c>
      <c r="C133" s="8"/>
      <c r="D133" s="8"/>
      <c r="E133" s="8"/>
      <c r="F133" s="8"/>
      <c r="G133" s="8"/>
      <c r="H133" s="8"/>
      <c r="I133" s="8"/>
      <c r="J133" s="8"/>
      <c r="K133" s="8"/>
      <c r="L133" s="8"/>
      <c r="M133" s="8"/>
      <c r="N133" s="8"/>
      <c r="O133" s="8"/>
      <c r="P133" s="8"/>
      <c r="Q133" s="8"/>
      <c r="R133" s="52"/>
      <c r="S133" s="8"/>
      <c r="T133" s="5"/>
    </row>
    <row r="134" spans="1:21" ht="15.6" x14ac:dyDescent="0.3">
      <c r="A134" s="24"/>
      <c r="B134" s="25" t="s">
        <v>51</v>
      </c>
      <c r="C134" s="25"/>
      <c r="D134" s="25"/>
      <c r="E134" s="25"/>
      <c r="F134" s="25"/>
      <c r="G134" s="25"/>
      <c r="H134" s="25"/>
      <c r="I134" s="25"/>
      <c r="J134" s="25"/>
      <c r="K134" s="25"/>
      <c r="L134" s="25"/>
      <c r="M134" s="25"/>
      <c r="N134" s="25"/>
      <c r="O134" s="25"/>
      <c r="P134" s="25"/>
      <c r="Q134" s="25"/>
      <c r="R134" s="53">
        <f>+R33*0.019</f>
        <v>19000</v>
      </c>
      <c r="S134" s="25"/>
      <c r="T134" s="5"/>
    </row>
    <row r="135" spans="1:21" ht="15.6" x14ac:dyDescent="0.3">
      <c r="A135" s="24"/>
      <c r="B135" s="25" t="s">
        <v>52</v>
      </c>
      <c r="C135" s="25"/>
      <c r="D135" s="25"/>
      <c r="E135" s="25"/>
      <c r="F135" s="25"/>
      <c r="G135" s="25"/>
      <c r="H135" s="25"/>
      <c r="I135" s="25"/>
      <c r="J135" s="25"/>
      <c r="K135" s="25"/>
      <c r="L135" s="25"/>
      <c r="M135" s="25"/>
      <c r="N135" s="25"/>
      <c r="O135" s="25"/>
      <c r="P135" s="25"/>
      <c r="Q135" s="25"/>
      <c r="R135" s="53">
        <v>0</v>
      </c>
      <c r="S135" s="25"/>
      <c r="T135" s="5"/>
    </row>
    <row r="136" spans="1:21" ht="15.6" x14ac:dyDescent="0.3">
      <c r="A136" s="24"/>
      <c r="B136" s="25" t="s">
        <v>155</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142</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143</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53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148</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203</v>
      </c>
      <c r="C141" s="25"/>
      <c r="D141" s="25"/>
      <c r="E141" s="25"/>
      <c r="F141" s="25"/>
      <c r="G141" s="25"/>
      <c r="H141" s="25"/>
      <c r="I141" s="25"/>
      <c r="J141" s="25"/>
      <c r="K141" s="25"/>
      <c r="L141" s="25"/>
      <c r="M141" s="25"/>
      <c r="N141" s="25"/>
      <c r="O141" s="25"/>
      <c r="P141" s="25"/>
      <c r="Q141" s="25"/>
      <c r="R141" s="53">
        <v>0</v>
      </c>
      <c r="S141" s="25"/>
      <c r="T141" s="5"/>
      <c r="U141" s="110"/>
    </row>
    <row r="142" spans="1:21" ht="15.6" x14ac:dyDescent="0.3">
      <c r="A142" s="24"/>
      <c r="B142" s="25" t="s">
        <v>54</v>
      </c>
      <c r="C142" s="25"/>
      <c r="D142" s="25"/>
      <c r="E142" s="25"/>
      <c r="F142" s="25"/>
      <c r="G142" s="25"/>
      <c r="H142" s="25"/>
      <c r="I142" s="25"/>
      <c r="J142" s="25"/>
      <c r="K142" s="25"/>
      <c r="L142" s="25"/>
      <c r="M142" s="25"/>
      <c r="N142" s="25"/>
      <c r="O142" s="25"/>
      <c r="P142" s="25"/>
      <c r="Q142" s="25"/>
      <c r="R142" s="53">
        <f>SUM(R134:R141)</f>
        <v>19000</v>
      </c>
      <c r="S142" s="25"/>
      <c r="T142" s="5"/>
    </row>
    <row r="143" spans="1:21" ht="15.6" x14ac:dyDescent="0.3">
      <c r="A143" s="24"/>
      <c r="B143" s="25"/>
      <c r="C143" s="25"/>
      <c r="D143" s="25"/>
      <c r="E143" s="25"/>
      <c r="F143" s="25"/>
      <c r="G143" s="25"/>
      <c r="H143" s="25"/>
      <c r="I143" s="25"/>
      <c r="J143" s="25"/>
      <c r="K143" s="25"/>
      <c r="L143" s="25"/>
      <c r="M143" s="25"/>
      <c r="N143" s="25"/>
      <c r="O143" s="25"/>
      <c r="P143" s="25"/>
      <c r="Q143" s="25"/>
      <c r="R143" s="53"/>
      <c r="S143" s="25"/>
      <c r="T143" s="5"/>
    </row>
    <row r="144" spans="1:21" ht="15.6" x14ac:dyDescent="0.3">
      <c r="A144" s="24"/>
      <c r="B144" s="141" t="s">
        <v>264</v>
      </c>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25" t="s">
        <v>206</v>
      </c>
      <c r="C145" s="25"/>
      <c r="D145" s="25"/>
      <c r="E145" s="25"/>
      <c r="F145" s="25"/>
      <c r="G145" s="25"/>
      <c r="H145" s="25"/>
      <c r="I145" s="25"/>
      <c r="J145" s="25"/>
      <c r="K145" s="25"/>
      <c r="L145" s="25"/>
      <c r="M145" s="25"/>
      <c r="N145" s="25"/>
      <c r="O145" s="25"/>
      <c r="P145" s="25"/>
      <c r="Q145" s="25"/>
      <c r="R145" s="53">
        <f>+R33*0.005</f>
        <v>5000</v>
      </c>
      <c r="S145" s="25"/>
      <c r="T145" s="5"/>
    </row>
    <row r="146" spans="1:20" ht="15.6" x14ac:dyDescent="0.3">
      <c r="A146" s="24"/>
      <c r="B146" s="25" t="s">
        <v>260</v>
      </c>
      <c r="C146" s="25"/>
      <c r="D146" s="25"/>
      <c r="E146" s="25"/>
      <c r="F146" s="25"/>
      <c r="G146" s="25"/>
      <c r="H146" s="25"/>
      <c r="I146" s="25"/>
      <c r="J146" s="25"/>
      <c r="K146" s="25"/>
      <c r="L146" s="25"/>
      <c r="M146" s="25"/>
      <c r="N146" s="25"/>
      <c r="O146" s="25"/>
      <c r="P146" s="25"/>
      <c r="Q146" s="25"/>
      <c r="R146" s="53">
        <v>0</v>
      </c>
      <c r="S146" s="25"/>
      <c r="T146" s="5"/>
    </row>
    <row r="147" spans="1:20" ht="15.6" x14ac:dyDescent="0.3">
      <c r="A147" s="24"/>
      <c r="B147" s="25" t="s">
        <v>265</v>
      </c>
      <c r="C147" s="25"/>
      <c r="D147" s="25"/>
      <c r="E147" s="25"/>
      <c r="F147" s="25"/>
      <c r="G147" s="25"/>
      <c r="H147" s="25"/>
      <c r="I147" s="25"/>
      <c r="J147" s="25"/>
      <c r="K147" s="25"/>
      <c r="L147" s="25"/>
      <c r="M147" s="25"/>
      <c r="N147" s="25"/>
      <c r="O147" s="25"/>
      <c r="P147" s="25"/>
      <c r="Q147" s="25"/>
      <c r="R147" s="53">
        <f>SUM(R145:R146)</f>
        <v>5000</v>
      </c>
      <c r="S147" s="25"/>
      <c r="T147" s="5"/>
    </row>
    <row r="148" spans="1:20" ht="15.6" x14ac:dyDescent="0.3">
      <c r="A148" s="24"/>
      <c r="B148" s="25"/>
      <c r="C148" s="25"/>
      <c r="D148" s="25"/>
      <c r="E148" s="25"/>
      <c r="F148" s="25"/>
      <c r="G148" s="25"/>
      <c r="H148" s="25"/>
      <c r="I148" s="25"/>
      <c r="J148" s="25"/>
      <c r="K148" s="25"/>
      <c r="L148" s="25"/>
      <c r="M148" s="25"/>
      <c r="N148" s="25"/>
      <c r="O148" s="25"/>
      <c r="P148" s="25"/>
      <c r="Q148" s="25"/>
      <c r="R148" s="53"/>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61"/>
      <c r="S149" s="25"/>
      <c r="T149" s="5"/>
    </row>
    <row r="150" spans="1:20" ht="15.6" x14ac:dyDescent="0.3">
      <c r="A150" s="6"/>
      <c r="B150" s="120" t="s">
        <v>28</v>
      </c>
      <c r="C150" s="8"/>
      <c r="D150" s="8"/>
      <c r="E150" s="8"/>
      <c r="F150" s="8"/>
      <c r="G150" s="8"/>
      <c r="H150" s="8"/>
      <c r="I150" s="8"/>
      <c r="J150" s="8"/>
      <c r="K150" s="8"/>
      <c r="L150" s="8"/>
      <c r="M150" s="8"/>
      <c r="N150" s="8"/>
      <c r="O150" s="8"/>
      <c r="P150" s="8"/>
      <c r="Q150" s="8"/>
      <c r="R150" s="52"/>
      <c r="S150" s="8"/>
      <c r="T150" s="5"/>
    </row>
    <row r="151" spans="1:20" ht="15.6" x14ac:dyDescent="0.3">
      <c r="A151" s="24"/>
      <c r="B151" s="25" t="s">
        <v>55</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56</v>
      </c>
      <c r="C152" s="146"/>
      <c r="D152" s="146"/>
      <c r="E152" s="146"/>
      <c r="F152" s="146"/>
      <c r="G152" s="146"/>
      <c r="H152" s="146"/>
      <c r="I152" s="146"/>
      <c r="J152" s="146"/>
      <c r="K152" s="146"/>
      <c r="L152" s="146"/>
      <c r="M152" s="146"/>
      <c r="N152" s="146"/>
      <c r="O152" s="146"/>
      <c r="P152" s="146"/>
      <c r="Q152" s="146"/>
      <c r="R152" s="59" t="s">
        <v>137</v>
      </c>
      <c r="S152" s="25"/>
      <c r="T152" s="5"/>
    </row>
    <row r="153" spans="1:20" ht="15.6" x14ac:dyDescent="0.3">
      <c r="A153" s="24"/>
      <c r="B153" s="25" t="s">
        <v>57</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58</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c r="C155" s="25"/>
      <c r="D155" s="25"/>
      <c r="E155" s="25"/>
      <c r="F155" s="25"/>
      <c r="G155" s="25"/>
      <c r="H155" s="25"/>
      <c r="I155" s="25"/>
      <c r="J155" s="25"/>
      <c r="K155" s="25"/>
      <c r="L155" s="25"/>
      <c r="M155" s="25"/>
      <c r="N155" s="25"/>
      <c r="O155" s="25"/>
      <c r="P155" s="25"/>
      <c r="Q155" s="25"/>
      <c r="R155" s="61"/>
      <c r="S155" s="25"/>
      <c r="T155" s="5"/>
    </row>
    <row r="156" spans="1:20" ht="15.6" x14ac:dyDescent="0.3">
      <c r="A156" s="6"/>
      <c r="B156" s="120" t="s">
        <v>59</v>
      </c>
      <c r="C156" s="8"/>
      <c r="D156" s="8"/>
      <c r="E156" s="8"/>
      <c r="F156" s="8"/>
      <c r="G156" s="8"/>
      <c r="H156" s="8"/>
      <c r="I156" s="8"/>
      <c r="J156" s="8"/>
      <c r="K156" s="8"/>
      <c r="L156" s="8"/>
      <c r="M156" s="8"/>
      <c r="N156" s="8"/>
      <c r="O156" s="8"/>
      <c r="P156" s="8"/>
      <c r="Q156" s="8"/>
      <c r="R156" s="63"/>
      <c r="S156" s="8"/>
      <c r="T156" s="5"/>
    </row>
    <row r="157" spans="1:20" ht="15.6" x14ac:dyDescent="0.3">
      <c r="A157" s="24"/>
      <c r="B157" s="25" t="s">
        <v>60</v>
      </c>
      <c r="C157" s="25"/>
      <c r="D157" s="25"/>
      <c r="E157" s="25"/>
      <c r="F157" s="25"/>
      <c r="G157" s="25"/>
      <c r="H157" s="25"/>
      <c r="I157" s="25"/>
      <c r="J157" s="25"/>
      <c r="K157" s="25"/>
      <c r="L157" s="25"/>
      <c r="M157" s="25"/>
      <c r="N157" s="25"/>
      <c r="O157" s="25"/>
      <c r="P157" s="25"/>
      <c r="Q157" s="25"/>
      <c r="R157" s="53">
        <v>0</v>
      </c>
      <c r="S157" s="25"/>
      <c r="T157" s="5"/>
    </row>
    <row r="158" spans="1:20" ht="15.6" x14ac:dyDescent="0.3">
      <c r="A158" s="24"/>
      <c r="B158" s="25" t="s">
        <v>61</v>
      </c>
      <c r="C158" s="25"/>
      <c r="D158" s="25"/>
      <c r="E158" s="25"/>
      <c r="F158" s="25"/>
      <c r="G158" s="25"/>
      <c r="H158" s="25"/>
      <c r="I158" s="25"/>
      <c r="J158" s="25"/>
      <c r="K158" s="25"/>
      <c r="L158" s="25"/>
      <c r="M158" s="25"/>
      <c r="N158" s="25"/>
      <c r="O158" s="25"/>
      <c r="P158" s="25"/>
      <c r="Q158" s="25"/>
      <c r="R158" s="53">
        <f>P111</f>
        <v>43</v>
      </c>
      <c r="S158" s="25"/>
      <c r="T158" s="5"/>
    </row>
    <row r="159" spans="1:20" ht="15.6" x14ac:dyDescent="0.3">
      <c r="A159" s="24"/>
      <c r="B159" s="25" t="s">
        <v>62</v>
      </c>
      <c r="C159" s="25"/>
      <c r="D159" s="25"/>
      <c r="E159" s="25"/>
      <c r="F159" s="25"/>
      <c r="G159" s="25"/>
      <c r="H159" s="25"/>
      <c r="I159" s="25"/>
      <c r="J159" s="25"/>
      <c r="K159" s="25"/>
      <c r="L159" s="25"/>
      <c r="M159" s="25"/>
      <c r="N159" s="25"/>
      <c r="O159" s="25"/>
      <c r="P159" s="25"/>
      <c r="Q159" s="25"/>
      <c r="R159" s="53">
        <f>R158+R157</f>
        <v>43</v>
      </c>
      <c r="S159" s="25"/>
      <c r="T159" s="5"/>
    </row>
    <row r="160" spans="1:20" ht="15.6" x14ac:dyDescent="0.3">
      <c r="A160" s="24"/>
      <c r="B160" s="155" t="s">
        <v>308</v>
      </c>
      <c r="C160" s="25"/>
      <c r="D160" s="25"/>
      <c r="E160" s="25"/>
      <c r="F160" s="25"/>
      <c r="G160" s="25"/>
      <c r="H160" s="25"/>
      <c r="I160" s="25"/>
      <c r="J160" s="25"/>
      <c r="K160" s="25"/>
      <c r="L160" s="25"/>
      <c r="M160" s="25"/>
      <c r="N160" s="25"/>
      <c r="O160" s="25"/>
      <c r="P160" s="25"/>
      <c r="Q160" s="25"/>
      <c r="R160" s="53">
        <f>R111</f>
        <v>-43</v>
      </c>
      <c r="S160" s="25"/>
      <c r="T160" s="5"/>
    </row>
    <row r="161" spans="1:20" ht="15.6" x14ac:dyDescent="0.3">
      <c r="A161" s="24"/>
      <c r="B161" s="25" t="s">
        <v>63</v>
      </c>
      <c r="C161" s="25"/>
      <c r="D161" s="25"/>
      <c r="E161" s="25"/>
      <c r="F161" s="25"/>
      <c r="G161" s="25"/>
      <c r="H161" s="25"/>
      <c r="I161" s="25"/>
      <c r="J161" s="25"/>
      <c r="K161" s="25"/>
      <c r="L161" s="25"/>
      <c r="M161" s="25"/>
      <c r="N161" s="25"/>
      <c r="O161" s="25"/>
      <c r="P161" s="25"/>
      <c r="Q161" s="25"/>
      <c r="R161" s="53">
        <f>R159+R160</f>
        <v>0</v>
      </c>
      <c r="S161" s="25"/>
      <c r="T161" s="5"/>
    </row>
    <row r="162" spans="1:20" ht="16.2" thickBot="1" x14ac:dyDescent="0.35">
      <c r="A162" s="24"/>
      <c r="B162" s="25"/>
      <c r="C162" s="25"/>
      <c r="D162" s="25"/>
      <c r="E162" s="25"/>
      <c r="F162" s="25"/>
      <c r="G162" s="25"/>
      <c r="H162" s="25"/>
      <c r="I162" s="25"/>
      <c r="J162" s="25"/>
      <c r="K162" s="25"/>
      <c r="L162" s="25"/>
      <c r="M162" s="25"/>
      <c r="N162" s="25"/>
      <c r="O162" s="25"/>
      <c r="P162" s="25"/>
      <c r="Q162" s="25"/>
      <c r="R162" s="61"/>
      <c r="S162" s="25"/>
      <c r="T162" s="5"/>
    </row>
    <row r="163" spans="1:20" ht="15.6" x14ac:dyDescent="0.3">
      <c r="A163" s="2"/>
      <c r="B163" s="4"/>
      <c r="C163" s="4"/>
      <c r="D163" s="4"/>
      <c r="E163" s="4"/>
      <c r="F163" s="4"/>
      <c r="G163" s="4"/>
      <c r="H163" s="4"/>
      <c r="I163" s="4"/>
      <c r="J163" s="4"/>
      <c r="K163" s="4"/>
      <c r="L163" s="4"/>
      <c r="M163" s="4"/>
      <c r="N163" s="4"/>
      <c r="O163" s="4"/>
      <c r="P163" s="4"/>
      <c r="Q163" s="4"/>
      <c r="R163" s="50"/>
      <c r="S163" s="4"/>
      <c r="T163" s="5"/>
    </row>
    <row r="164" spans="1:20" ht="15.6" x14ac:dyDescent="0.3">
      <c r="A164" s="6"/>
      <c r="B164" s="120" t="s">
        <v>64</v>
      </c>
      <c r="C164" s="8"/>
      <c r="D164" s="8"/>
      <c r="E164" s="8"/>
      <c r="F164" s="8"/>
      <c r="G164" s="8"/>
      <c r="H164" s="8"/>
      <c r="I164" s="8"/>
      <c r="J164" s="8"/>
      <c r="K164" s="8"/>
      <c r="L164" s="8"/>
      <c r="M164" s="8"/>
      <c r="N164" s="8"/>
      <c r="O164" s="8"/>
      <c r="P164" s="8"/>
      <c r="Q164" s="8"/>
      <c r="R164" s="52"/>
      <c r="S164" s="8"/>
      <c r="T164" s="5"/>
    </row>
    <row r="165" spans="1:20" ht="15.6" x14ac:dyDescent="0.3">
      <c r="A165" s="6"/>
      <c r="B165" s="21"/>
      <c r="C165" s="8"/>
      <c r="D165" s="8"/>
      <c r="E165" s="8"/>
      <c r="F165" s="8"/>
      <c r="G165" s="8"/>
      <c r="H165" s="8"/>
      <c r="I165" s="8"/>
      <c r="J165" s="8"/>
      <c r="K165" s="8"/>
      <c r="L165" s="8"/>
      <c r="M165" s="8"/>
      <c r="N165" s="8"/>
      <c r="O165" s="8"/>
      <c r="P165" s="8"/>
      <c r="Q165" s="8"/>
      <c r="R165" s="52"/>
      <c r="S165" s="8"/>
      <c r="T165" s="5"/>
    </row>
    <row r="166" spans="1:20" ht="15.6" x14ac:dyDescent="0.3">
      <c r="A166" s="24"/>
      <c r="B166" s="25" t="s">
        <v>65</v>
      </c>
      <c r="C166" s="25"/>
      <c r="D166" s="25"/>
      <c r="E166" s="25"/>
      <c r="F166" s="25"/>
      <c r="G166" s="25"/>
      <c r="H166" s="25"/>
      <c r="I166" s="25"/>
      <c r="J166" s="25"/>
      <c r="K166" s="25"/>
      <c r="L166" s="25"/>
      <c r="M166" s="25"/>
      <c r="N166" s="25"/>
      <c r="O166" s="25"/>
      <c r="P166" s="25"/>
      <c r="Q166" s="25"/>
      <c r="R166" s="53">
        <f>R70</f>
        <v>794615</v>
      </c>
      <c r="S166" s="25"/>
      <c r="T166" s="5"/>
    </row>
    <row r="167" spans="1:20" ht="15.6" x14ac:dyDescent="0.3">
      <c r="A167" s="24"/>
      <c r="B167" s="25" t="s">
        <v>66</v>
      </c>
      <c r="C167" s="25"/>
      <c r="D167" s="25"/>
      <c r="E167" s="25"/>
      <c r="F167" s="25"/>
      <c r="G167" s="25"/>
      <c r="H167" s="25"/>
      <c r="I167" s="25"/>
      <c r="J167" s="25"/>
      <c r="K167" s="25"/>
      <c r="L167" s="25"/>
      <c r="M167" s="25"/>
      <c r="N167" s="25"/>
      <c r="O167" s="25"/>
      <c r="P167" s="25"/>
      <c r="Q167" s="25"/>
      <c r="R167" s="53">
        <f>R83</f>
        <v>794615</v>
      </c>
      <c r="S167" s="25"/>
      <c r="T167" s="5"/>
    </row>
    <row r="168" spans="1:20" ht="16.2" thickBot="1" x14ac:dyDescent="0.35">
      <c r="A168" s="24"/>
      <c r="B168" s="25"/>
      <c r="C168" s="25"/>
      <c r="D168" s="25"/>
      <c r="E168" s="25"/>
      <c r="F168" s="25"/>
      <c r="G168" s="25"/>
      <c r="H168" s="25"/>
      <c r="I168" s="25"/>
      <c r="J168" s="25"/>
      <c r="K168" s="25"/>
      <c r="L168" s="25"/>
      <c r="M168" s="25"/>
      <c r="N168" s="25"/>
      <c r="O168" s="25"/>
      <c r="P168" s="25"/>
      <c r="Q168" s="25"/>
      <c r="R168" s="61"/>
      <c r="S168" s="25"/>
      <c r="T168" s="5"/>
    </row>
    <row r="169" spans="1:20" ht="15.6" x14ac:dyDescent="0.3">
      <c r="A169" s="2"/>
      <c r="B169" s="4"/>
      <c r="C169" s="4"/>
      <c r="D169" s="4"/>
      <c r="E169" s="4"/>
      <c r="F169" s="4"/>
      <c r="G169" s="4"/>
      <c r="H169" s="4"/>
      <c r="I169" s="4"/>
      <c r="J169" s="4"/>
      <c r="K169" s="4"/>
      <c r="L169" s="4"/>
      <c r="M169" s="4"/>
      <c r="N169" s="4"/>
      <c r="O169" s="4"/>
      <c r="P169" s="4"/>
      <c r="Q169" s="4"/>
      <c r="R169" s="50"/>
      <c r="S169" s="4"/>
      <c r="T169" s="5"/>
    </row>
    <row r="170" spans="1:20" ht="15.6" x14ac:dyDescent="0.3">
      <c r="A170" s="6"/>
      <c r="B170" s="120" t="s">
        <v>67</v>
      </c>
      <c r="C170" s="118"/>
      <c r="D170" s="118"/>
      <c r="E170" s="118"/>
      <c r="F170" s="118"/>
      <c r="G170" s="118"/>
      <c r="H170" s="121"/>
      <c r="I170" s="121"/>
      <c r="J170" s="121"/>
      <c r="K170" s="121"/>
      <c r="L170" s="121"/>
      <c r="M170" s="121"/>
      <c r="N170" s="121"/>
      <c r="O170" s="121" t="s">
        <v>112</v>
      </c>
      <c r="P170" s="121" t="s">
        <v>120</v>
      </c>
      <c r="Q170" s="112"/>
      <c r="R170" s="122" t="s">
        <v>129</v>
      </c>
      <c r="S170" s="10"/>
      <c r="T170" s="5"/>
    </row>
    <row r="171" spans="1:20" ht="15.6" x14ac:dyDescent="0.3">
      <c r="A171" s="24"/>
      <c r="B171" s="25" t="s">
        <v>68</v>
      </c>
      <c r="C171" s="25"/>
      <c r="D171" s="25"/>
      <c r="E171" s="25"/>
      <c r="F171" s="25"/>
      <c r="G171" s="25"/>
      <c r="H171" s="25"/>
      <c r="I171" s="25"/>
      <c r="J171" s="25"/>
      <c r="K171" s="25"/>
      <c r="L171" s="25"/>
      <c r="M171" s="25"/>
      <c r="N171" s="25"/>
      <c r="O171" s="53">
        <v>160000</v>
      </c>
      <c r="P171" s="40"/>
      <c r="Q171" s="25"/>
      <c r="R171" s="53"/>
      <c r="S171" s="25"/>
      <c r="T171" s="5"/>
    </row>
    <row r="172" spans="1:20" ht="15.6" x14ac:dyDescent="0.3">
      <c r="A172" s="24"/>
      <c r="B172" s="25" t="s">
        <v>69</v>
      </c>
      <c r="C172" s="25"/>
      <c r="D172" s="25"/>
      <c r="E172" s="25"/>
      <c r="F172" s="25"/>
      <c r="G172" s="25"/>
      <c r="H172" s="25"/>
      <c r="I172" s="25"/>
      <c r="J172" s="25"/>
      <c r="K172" s="25"/>
      <c r="L172" s="25"/>
      <c r="M172" s="25"/>
      <c r="N172" s="25"/>
      <c r="O172" s="53">
        <f>+'June 06'!O174</f>
        <v>39749</v>
      </c>
      <c r="P172" s="53">
        <f>+'June 06'!P174</f>
        <v>7018</v>
      </c>
      <c r="Q172" s="25"/>
      <c r="R172" s="53">
        <f>O172+P172</f>
        <v>46767</v>
      </c>
      <c r="S172" s="25"/>
      <c r="T172" s="5"/>
    </row>
    <row r="173" spans="1:20" ht="15.6" x14ac:dyDescent="0.3">
      <c r="A173" s="24"/>
      <c r="B173" s="25" t="s">
        <v>70</v>
      </c>
      <c r="C173" s="25"/>
      <c r="D173" s="25"/>
      <c r="E173" s="25"/>
      <c r="F173" s="25"/>
      <c r="G173" s="25"/>
      <c r="H173" s="25"/>
      <c r="I173" s="25"/>
      <c r="J173" s="25"/>
      <c r="K173" s="25"/>
      <c r="L173" s="25"/>
      <c r="M173" s="25"/>
      <c r="N173" s="25"/>
      <c r="O173" s="34">
        <v>7062</v>
      </c>
      <c r="P173" s="34">
        <f>-P95-P118</f>
        <v>52</v>
      </c>
      <c r="Q173" s="25"/>
      <c r="R173" s="53">
        <f>O173+P173</f>
        <v>7114</v>
      </c>
      <c r="S173" s="25"/>
      <c r="T173" s="5"/>
    </row>
    <row r="174" spans="1:20" ht="15.6" x14ac:dyDescent="0.3">
      <c r="A174" s="24"/>
      <c r="B174" s="25" t="s">
        <v>71</v>
      </c>
      <c r="C174" s="25"/>
      <c r="D174" s="25"/>
      <c r="E174" s="25"/>
      <c r="F174" s="25"/>
      <c r="G174" s="25"/>
      <c r="H174" s="25"/>
      <c r="I174" s="25"/>
      <c r="J174" s="25"/>
      <c r="K174" s="25"/>
      <c r="L174" s="25"/>
      <c r="M174" s="25"/>
      <c r="N174" s="25"/>
      <c r="O174" s="53">
        <f>O172+O173</f>
        <v>46811</v>
      </c>
      <c r="P174" s="53">
        <f>P173+P172</f>
        <v>7070</v>
      </c>
      <c r="Q174" s="25"/>
      <c r="R174" s="53">
        <f>O174+P174</f>
        <v>53881</v>
      </c>
      <c r="S174" s="25"/>
      <c r="T174" s="5"/>
    </row>
    <row r="175" spans="1:20" ht="15.6" x14ac:dyDescent="0.3">
      <c r="A175" s="24"/>
      <c r="B175" s="25" t="s">
        <v>72</v>
      </c>
      <c r="C175" s="25"/>
      <c r="D175" s="25"/>
      <c r="E175" s="25"/>
      <c r="F175" s="25"/>
      <c r="G175" s="25"/>
      <c r="H175" s="25"/>
      <c r="I175" s="25"/>
      <c r="J175" s="25"/>
      <c r="K175" s="25"/>
      <c r="L175" s="25"/>
      <c r="M175" s="25"/>
      <c r="N175" s="25"/>
      <c r="O175" s="53">
        <f>O171-O174-P174</f>
        <v>106119</v>
      </c>
      <c r="P175" s="40"/>
      <c r="Q175" s="25"/>
      <c r="R175" s="53"/>
      <c r="S175" s="25"/>
      <c r="T175" s="5"/>
    </row>
    <row r="176" spans="1:20" ht="16.2" thickBot="1" x14ac:dyDescent="0.35">
      <c r="A176" s="24"/>
      <c r="B176" s="25"/>
      <c r="C176" s="25"/>
      <c r="D176" s="25"/>
      <c r="E176" s="25"/>
      <c r="F176" s="25"/>
      <c r="G176" s="25"/>
      <c r="H176" s="25"/>
      <c r="I176" s="25"/>
      <c r="J176" s="25"/>
      <c r="K176" s="25"/>
      <c r="L176" s="25"/>
      <c r="M176" s="25"/>
      <c r="N176" s="25"/>
      <c r="O176" s="25"/>
      <c r="P176" s="25"/>
      <c r="Q176" s="25"/>
      <c r="R176" s="61"/>
      <c r="S176" s="25"/>
      <c r="T176" s="5"/>
    </row>
    <row r="177" spans="1:20" ht="15.6" x14ac:dyDescent="0.3">
      <c r="A177" s="2"/>
      <c r="B177" s="4"/>
      <c r="C177" s="4"/>
      <c r="D177" s="4"/>
      <c r="E177" s="4"/>
      <c r="F177" s="4"/>
      <c r="G177" s="4"/>
      <c r="H177" s="4"/>
      <c r="I177" s="4"/>
      <c r="J177" s="4"/>
      <c r="K177" s="4"/>
      <c r="L177" s="4"/>
      <c r="M177" s="4"/>
      <c r="N177" s="4"/>
      <c r="O177" s="4"/>
      <c r="P177" s="4"/>
      <c r="Q177" s="4"/>
      <c r="R177" s="50"/>
      <c r="S177" s="4"/>
      <c r="T177" s="5"/>
    </row>
    <row r="178" spans="1:20" ht="15.6" x14ac:dyDescent="0.3">
      <c r="A178" s="6"/>
      <c r="B178" s="120" t="s">
        <v>73</v>
      </c>
      <c r="C178" s="8"/>
      <c r="D178" s="8"/>
      <c r="E178" s="8"/>
      <c r="F178" s="8"/>
      <c r="G178" s="8"/>
      <c r="H178" s="8"/>
      <c r="I178" s="8"/>
      <c r="J178" s="8"/>
      <c r="K178" s="8"/>
      <c r="L178" s="8"/>
      <c r="M178" s="8"/>
      <c r="N178" s="8"/>
      <c r="O178" s="8"/>
      <c r="P178" s="8"/>
      <c r="Q178" s="8"/>
      <c r="R178" s="65"/>
      <c r="S178" s="8"/>
      <c r="T178" s="5"/>
    </row>
    <row r="179" spans="1:20" ht="15.6" x14ac:dyDescent="0.3">
      <c r="A179" s="24"/>
      <c r="B179" s="25" t="s">
        <v>74</v>
      </c>
      <c r="C179" s="25"/>
      <c r="D179" s="25"/>
      <c r="E179" s="25"/>
      <c r="F179" s="25"/>
      <c r="G179" s="25"/>
      <c r="H179" s="25"/>
      <c r="I179" s="25"/>
      <c r="J179" s="25"/>
      <c r="K179" s="25"/>
      <c r="L179" s="25"/>
      <c r="M179" s="25"/>
      <c r="N179" s="25"/>
      <c r="O179" s="25"/>
      <c r="P179" s="25"/>
      <c r="Q179" s="25"/>
      <c r="R179" s="59">
        <f>(R97+R99+R100+R101+R102+R103)/-(R104+R105+R106+R107)</f>
        <v>1.4846950258834122</v>
      </c>
      <c r="S179" s="25" t="s">
        <v>130</v>
      </c>
      <c r="T179" s="5"/>
    </row>
    <row r="180" spans="1:20" ht="15.6" x14ac:dyDescent="0.3">
      <c r="A180" s="24"/>
      <c r="B180" s="25" t="s">
        <v>75</v>
      </c>
      <c r="C180" s="25"/>
      <c r="D180" s="25"/>
      <c r="E180" s="25"/>
      <c r="F180" s="25"/>
      <c r="G180" s="25"/>
      <c r="H180" s="25"/>
      <c r="I180" s="25"/>
      <c r="J180" s="25"/>
      <c r="K180" s="25"/>
      <c r="L180" s="25"/>
      <c r="M180" s="25"/>
      <c r="N180" s="25"/>
      <c r="O180" s="25"/>
      <c r="P180" s="25"/>
      <c r="Q180" s="25"/>
      <c r="R180" s="66">
        <v>1.36</v>
      </c>
      <c r="S180" s="25" t="s">
        <v>130</v>
      </c>
      <c r="T180" s="5"/>
    </row>
    <row r="181" spans="1:20" ht="15.6" x14ac:dyDescent="0.3">
      <c r="A181" s="24"/>
      <c r="B181" s="25" t="s">
        <v>76</v>
      </c>
      <c r="C181" s="25"/>
      <c r="D181" s="25"/>
      <c r="E181" s="25"/>
      <c r="F181" s="25"/>
      <c r="G181" s="25"/>
      <c r="H181" s="25"/>
      <c r="I181" s="25"/>
      <c r="J181" s="25"/>
      <c r="K181" s="25"/>
      <c r="L181" s="25"/>
      <c r="M181" s="25"/>
      <c r="N181" s="25"/>
      <c r="O181" s="25"/>
      <c r="P181" s="25"/>
      <c r="Q181" s="25"/>
      <c r="R181" s="59">
        <f>(R97+R99+R100+R101+R102+R103+R104+R105+R106+R107)/-(R108+R109)</f>
        <v>3.2262172284644195</v>
      </c>
      <c r="S181" s="25" t="s">
        <v>130</v>
      </c>
      <c r="T181" s="5"/>
    </row>
    <row r="182" spans="1:20" ht="15.6" x14ac:dyDescent="0.3">
      <c r="A182" s="24"/>
      <c r="B182" s="25" t="s">
        <v>77</v>
      </c>
      <c r="C182" s="25"/>
      <c r="D182" s="25"/>
      <c r="E182" s="25"/>
      <c r="F182" s="25"/>
      <c r="G182" s="25"/>
      <c r="H182" s="25"/>
      <c r="I182" s="25"/>
      <c r="J182" s="25"/>
      <c r="K182" s="25"/>
      <c r="L182" s="25"/>
      <c r="M182" s="25"/>
      <c r="N182" s="25"/>
      <c r="O182" s="25"/>
      <c r="P182" s="25"/>
      <c r="Q182" s="25"/>
      <c r="R182" s="67">
        <v>2.71</v>
      </c>
      <c r="S182" s="25" t="s">
        <v>130</v>
      </c>
      <c r="T182" s="5"/>
    </row>
    <row r="183" spans="1:20" ht="15.6" x14ac:dyDescent="0.3">
      <c r="A183" s="24"/>
      <c r="B183" s="25"/>
      <c r="C183" s="25"/>
      <c r="D183" s="25"/>
      <c r="E183" s="25"/>
      <c r="F183" s="25"/>
      <c r="G183" s="25"/>
      <c r="H183" s="25"/>
      <c r="I183" s="25"/>
      <c r="J183" s="25"/>
      <c r="K183" s="25"/>
      <c r="L183" s="25"/>
      <c r="M183" s="25"/>
      <c r="N183" s="25"/>
      <c r="O183" s="25"/>
      <c r="P183" s="25"/>
      <c r="Q183" s="25"/>
      <c r="R183" s="25"/>
      <c r="S183" s="25"/>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6"/>
      <c r="B185" s="8"/>
      <c r="C185" s="8"/>
      <c r="D185" s="8"/>
      <c r="E185" s="8"/>
      <c r="F185" s="8"/>
      <c r="G185" s="8"/>
      <c r="H185" s="8"/>
      <c r="I185" s="8"/>
      <c r="J185" s="8"/>
      <c r="K185" s="8"/>
      <c r="L185" s="8"/>
      <c r="M185" s="8"/>
      <c r="N185" s="8"/>
      <c r="O185" s="8"/>
      <c r="P185" s="8"/>
      <c r="Q185" s="8"/>
      <c r="R185" s="8"/>
      <c r="S185" s="8"/>
      <c r="T185" s="5"/>
    </row>
    <row r="186" spans="1:20" ht="18" thickBot="1" x14ac:dyDescent="0.35">
      <c r="A186" s="102"/>
      <c r="B186" s="103" t="str">
        <f>B130</f>
        <v>PM8 INVESTOR REPORT QUARTER ENDING SEPTEMBER 2006</v>
      </c>
      <c r="C186" s="148"/>
      <c r="D186" s="148"/>
      <c r="E186" s="148"/>
      <c r="F186" s="148"/>
      <c r="G186" s="148"/>
      <c r="H186" s="148"/>
      <c r="I186" s="148"/>
      <c r="J186" s="148"/>
      <c r="K186" s="148"/>
      <c r="L186" s="148"/>
      <c r="M186" s="148"/>
      <c r="N186" s="148"/>
      <c r="O186" s="148"/>
      <c r="P186" s="148"/>
      <c r="Q186" s="148"/>
      <c r="R186" s="148"/>
      <c r="S186" s="149"/>
      <c r="T186" s="5"/>
    </row>
    <row r="187" spans="1:20" ht="15.6" x14ac:dyDescent="0.3">
      <c r="A187" s="68"/>
      <c r="B187" s="60" t="s">
        <v>78</v>
      </c>
      <c r="C187" s="69"/>
      <c r="D187" s="69"/>
      <c r="E187" s="69"/>
      <c r="F187" s="69"/>
      <c r="G187" s="70"/>
      <c r="H187" s="70"/>
      <c r="I187" s="70"/>
      <c r="J187" s="70"/>
      <c r="K187" s="70"/>
      <c r="L187" s="70"/>
      <c r="M187" s="70"/>
      <c r="N187" s="70"/>
      <c r="O187" s="70"/>
      <c r="P187" s="71">
        <v>38989</v>
      </c>
      <c r="Q187" s="4"/>
      <c r="R187" s="4"/>
      <c r="S187" s="4"/>
      <c r="T187" s="5"/>
    </row>
    <row r="188" spans="1:20" ht="15.6" x14ac:dyDescent="0.3">
      <c r="A188" s="72"/>
      <c r="B188" s="73"/>
      <c r="C188" s="74"/>
      <c r="D188" s="74"/>
      <c r="E188" s="74"/>
      <c r="F188" s="74"/>
      <c r="G188" s="75"/>
      <c r="H188" s="75"/>
      <c r="I188" s="75"/>
      <c r="J188" s="75"/>
      <c r="K188" s="75"/>
      <c r="L188" s="75"/>
      <c r="M188" s="75"/>
      <c r="N188" s="75"/>
      <c r="O188" s="75"/>
      <c r="P188" s="75"/>
      <c r="Q188" s="8"/>
      <c r="R188" s="8"/>
      <c r="S188" s="8"/>
      <c r="T188" s="5"/>
    </row>
    <row r="189" spans="1:20" ht="15.6" x14ac:dyDescent="0.3">
      <c r="A189" s="76"/>
      <c r="B189" s="77" t="s">
        <v>79</v>
      </c>
      <c r="C189" s="78"/>
      <c r="D189" s="78"/>
      <c r="E189" s="78"/>
      <c r="F189" s="78"/>
      <c r="G189" s="64"/>
      <c r="H189" s="64"/>
      <c r="I189" s="64"/>
      <c r="J189" s="64"/>
      <c r="K189" s="64"/>
      <c r="L189" s="64"/>
      <c r="M189" s="64"/>
      <c r="N189" s="64"/>
      <c r="O189" s="64"/>
      <c r="P189" s="79">
        <v>6.2039999999999998E-2</v>
      </c>
      <c r="Q189" s="25"/>
      <c r="R189" s="25"/>
      <c r="S189" s="25"/>
      <c r="T189" s="5"/>
    </row>
    <row r="190" spans="1:20" ht="15.6" x14ac:dyDescent="0.3">
      <c r="A190" s="76"/>
      <c r="B190" s="77" t="s">
        <v>178</v>
      </c>
      <c r="C190" s="78"/>
      <c r="D190" s="78"/>
      <c r="E190" s="78"/>
      <c r="F190" s="78"/>
      <c r="G190" s="64"/>
      <c r="H190" s="64"/>
      <c r="I190" s="64"/>
      <c r="J190" s="64"/>
      <c r="K190" s="64"/>
      <c r="L190" s="64"/>
      <c r="M190" s="64"/>
      <c r="N190" s="64"/>
      <c r="O190" s="64"/>
      <c r="P190" s="39">
        <v>5.1733455000000005E-2</v>
      </c>
      <c r="Q190" s="25"/>
      <c r="R190" s="25"/>
      <c r="S190" s="25"/>
      <c r="T190" s="5"/>
    </row>
    <row r="191" spans="1:20" ht="15.6" x14ac:dyDescent="0.3">
      <c r="A191" s="76"/>
      <c r="B191" s="77" t="s">
        <v>80</v>
      </c>
      <c r="C191" s="78"/>
      <c r="D191" s="78"/>
      <c r="E191" s="78"/>
      <c r="F191" s="78"/>
      <c r="G191" s="64"/>
      <c r="H191" s="64"/>
      <c r="I191" s="64"/>
      <c r="J191" s="64"/>
      <c r="K191" s="64"/>
      <c r="L191" s="64"/>
      <c r="M191" s="64"/>
      <c r="N191" s="64"/>
      <c r="O191" s="64"/>
      <c r="P191" s="79">
        <f>P189-P190</f>
        <v>1.0306544999999993E-2</v>
      </c>
      <c r="Q191" s="25"/>
      <c r="R191" s="25"/>
      <c r="S191" s="25"/>
      <c r="T191" s="5"/>
    </row>
    <row r="192" spans="1:20" ht="15.6" x14ac:dyDescent="0.3">
      <c r="A192" s="76"/>
      <c r="B192" s="77" t="s">
        <v>81</v>
      </c>
      <c r="C192" s="78"/>
      <c r="D192" s="78"/>
      <c r="E192" s="78"/>
      <c r="F192" s="78"/>
      <c r="G192" s="64"/>
      <c r="H192" s="64"/>
      <c r="I192" s="64"/>
      <c r="J192" s="64"/>
      <c r="K192" s="64"/>
      <c r="L192" s="64"/>
      <c r="M192" s="64"/>
      <c r="N192" s="64"/>
      <c r="O192" s="64"/>
      <c r="P192" s="79">
        <v>6.0389999999999999E-2</v>
      </c>
      <c r="Q192" s="25"/>
      <c r="R192" s="25"/>
      <c r="S192" s="25"/>
      <c r="T192" s="5"/>
    </row>
    <row r="193" spans="1:20" ht="15.6" x14ac:dyDescent="0.3">
      <c r="A193" s="76"/>
      <c r="B193" s="77" t="s">
        <v>261</v>
      </c>
      <c r="C193" s="78"/>
      <c r="D193" s="78"/>
      <c r="E193" s="78"/>
      <c r="F193" s="78"/>
      <c r="G193" s="64"/>
      <c r="H193" s="64"/>
      <c r="I193" s="64"/>
      <c r="J193" s="64"/>
      <c r="K193" s="64"/>
      <c r="L193" s="64"/>
      <c r="M193" s="64"/>
      <c r="N193" s="64"/>
      <c r="O193" s="64"/>
      <c r="P193" s="79">
        <f>+R42</f>
        <v>4.9442748385043714E-2</v>
      </c>
      <c r="Q193" s="25"/>
      <c r="R193" s="25"/>
      <c r="S193" s="25"/>
      <c r="T193" s="5"/>
    </row>
    <row r="194" spans="1:20" ht="15.6" x14ac:dyDescent="0.3">
      <c r="A194" s="76"/>
      <c r="B194" s="77" t="s">
        <v>82</v>
      </c>
      <c r="C194" s="78"/>
      <c r="D194" s="78"/>
      <c r="E194" s="78"/>
      <c r="F194" s="78"/>
      <c r="G194" s="64"/>
      <c r="H194" s="64"/>
      <c r="I194" s="64"/>
      <c r="J194" s="64"/>
      <c r="K194" s="64"/>
      <c r="L194" s="64"/>
      <c r="M194" s="64"/>
      <c r="N194" s="64"/>
      <c r="O194" s="64"/>
      <c r="P194" s="79">
        <f>P192-P193</f>
        <v>1.0947251614956285E-2</v>
      </c>
      <c r="Q194" s="25"/>
      <c r="R194" s="25"/>
      <c r="S194" s="25"/>
      <c r="T194" s="5"/>
    </row>
    <row r="195" spans="1:20" ht="15.6" x14ac:dyDescent="0.3">
      <c r="A195" s="76"/>
      <c r="B195" s="77" t="s">
        <v>267</v>
      </c>
      <c r="C195" s="78"/>
      <c r="D195" s="78"/>
      <c r="E195" s="78"/>
      <c r="F195" s="78"/>
      <c r="G195" s="64"/>
      <c r="H195" s="64"/>
      <c r="I195" s="64"/>
      <c r="J195" s="64"/>
      <c r="K195" s="64"/>
      <c r="L195" s="64"/>
      <c r="M195" s="64"/>
      <c r="N195" s="64"/>
      <c r="O195" s="64"/>
      <c r="P195" s="79">
        <f>(+R97+R99)/J70</f>
        <v>1.6535344751686401E-2</v>
      </c>
      <c r="Q195" s="25"/>
      <c r="R195" s="25"/>
      <c r="S195" s="25"/>
      <c r="T195" s="5"/>
    </row>
    <row r="196" spans="1:20" ht="15.6" x14ac:dyDescent="0.3">
      <c r="A196" s="76"/>
      <c r="B196" s="77" t="s">
        <v>208</v>
      </c>
      <c r="C196" s="78"/>
      <c r="D196" s="78"/>
      <c r="E196" s="78"/>
      <c r="F196" s="78"/>
      <c r="G196" s="64"/>
      <c r="H196" s="64"/>
      <c r="I196" s="64"/>
      <c r="J196" s="64"/>
      <c r="K196" s="64"/>
      <c r="L196" s="64"/>
      <c r="M196" s="64"/>
      <c r="N196" s="64"/>
      <c r="O196" s="64"/>
      <c r="P196" s="132">
        <v>12875</v>
      </c>
      <c r="Q196" s="25"/>
      <c r="R196" s="25"/>
      <c r="S196" s="25"/>
      <c r="T196" s="5"/>
    </row>
    <row r="197" spans="1:20" ht="15.6" x14ac:dyDescent="0.3">
      <c r="A197" s="76"/>
      <c r="B197" s="77" t="s">
        <v>209</v>
      </c>
      <c r="C197" s="78"/>
      <c r="D197" s="78"/>
      <c r="E197" s="78"/>
      <c r="F197" s="78"/>
      <c r="G197" s="64"/>
      <c r="H197" s="64"/>
      <c r="I197" s="64"/>
      <c r="J197" s="64"/>
      <c r="K197" s="64"/>
      <c r="L197" s="64"/>
      <c r="M197" s="64"/>
      <c r="N197" s="64"/>
      <c r="O197" s="64"/>
      <c r="P197" s="132">
        <v>16163</v>
      </c>
      <c r="Q197" s="25"/>
      <c r="R197" s="25"/>
      <c r="S197" s="25"/>
      <c r="T197" s="5"/>
    </row>
    <row r="198" spans="1:20" ht="15.6" x14ac:dyDescent="0.3">
      <c r="A198" s="76"/>
      <c r="B198" s="77" t="s">
        <v>83</v>
      </c>
      <c r="C198" s="78"/>
      <c r="D198" s="78"/>
      <c r="E198" s="78"/>
      <c r="F198" s="78"/>
      <c r="G198" s="64"/>
      <c r="H198" s="64"/>
      <c r="I198" s="64"/>
      <c r="J198" s="64"/>
      <c r="K198" s="64"/>
      <c r="L198" s="64"/>
      <c r="M198" s="64"/>
      <c r="N198" s="64"/>
      <c r="O198" s="64"/>
      <c r="P198" s="136">
        <v>19.739999999999998</v>
      </c>
      <c r="Q198" s="25" t="s">
        <v>125</v>
      </c>
      <c r="R198" s="25"/>
      <c r="S198" s="25"/>
      <c r="T198" s="5"/>
    </row>
    <row r="199" spans="1:20" ht="15.6" x14ac:dyDescent="0.3">
      <c r="A199" s="76"/>
      <c r="B199" s="77" t="s">
        <v>84</v>
      </c>
      <c r="C199" s="78"/>
      <c r="D199" s="78"/>
      <c r="E199" s="78"/>
      <c r="F199" s="78"/>
      <c r="G199" s="64"/>
      <c r="H199" s="64"/>
      <c r="I199" s="64"/>
      <c r="J199" s="64"/>
      <c r="K199" s="64"/>
      <c r="L199" s="64"/>
      <c r="M199" s="64"/>
      <c r="N199" s="64"/>
      <c r="O199" s="64"/>
      <c r="P199" s="136">
        <v>19.03</v>
      </c>
      <c r="Q199" s="25" t="s">
        <v>125</v>
      </c>
      <c r="R199" s="25"/>
      <c r="S199" s="25"/>
      <c r="T199" s="5"/>
    </row>
    <row r="200" spans="1:20" ht="15.6" x14ac:dyDescent="0.3">
      <c r="A200" s="76"/>
      <c r="B200" s="77" t="s">
        <v>85</v>
      </c>
      <c r="C200" s="78"/>
      <c r="D200" s="78"/>
      <c r="E200" s="78"/>
      <c r="F200" s="78"/>
      <c r="G200" s="64"/>
      <c r="H200" s="64"/>
      <c r="I200" s="64"/>
      <c r="J200" s="64"/>
      <c r="K200" s="64"/>
      <c r="L200" s="64"/>
      <c r="M200" s="64"/>
      <c r="N200" s="64"/>
      <c r="O200" s="64"/>
      <c r="P200" s="79">
        <f>+L67/J67</f>
        <v>5.0211485973902861E-2</v>
      </c>
      <c r="Q200" s="25"/>
      <c r="R200" s="25"/>
      <c r="S200" s="25"/>
      <c r="T200" s="5"/>
    </row>
    <row r="201" spans="1:20" ht="15.6" x14ac:dyDescent="0.3">
      <c r="A201" s="76"/>
      <c r="B201" s="77" t="s">
        <v>86</v>
      </c>
      <c r="C201" s="78"/>
      <c r="D201" s="78"/>
      <c r="E201" s="78"/>
      <c r="F201" s="78"/>
      <c r="G201" s="64"/>
      <c r="H201" s="64"/>
      <c r="I201" s="64"/>
      <c r="J201" s="64"/>
      <c r="K201" s="64"/>
      <c r="L201" s="64"/>
      <c r="M201" s="64"/>
      <c r="N201" s="64"/>
      <c r="O201" s="64"/>
      <c r="P201" s="79">
        <v>0.14449999999999999</v>
      </c>
      <c r="Q201" s="25"/>
      <c r="R201" s="25"/>
      <c r="S201" s="25"/>
      <c r="T201" s="5"/>
    </row>
    <row r="202" spans="1:20" ht="15.6" x14ac:dyDescent="0.3">
      <c r="A202" s="76"/>
      <c r="B202" s="77"/>
      <c r="C202" s="77"/>
      <c r="D202" s="77"/>
      <c r="E202" s="77"/>
      <c r="F202" s="77"/>
      <c r="G202" s="25"/>
      <c r="H202" s="25"/>
      <c r="I202" s="25"/>
      <c r="J202" s="25"/>
      <c r="K202" s="25"/>
      <c r="L202" s="25"/>
      <c r="M202" s="25"/>
      <c r="N202" s="25"/>
      <c r="O202" s="25"/>
      <c r="P202" s="61"/>
      <c r="Q202" s="25"/>
      <c r="R202" s="80"/>
      <c r="S202" s="25"/>
      <c r="T202" s="5"/>
    </row>
    <row r="203" spans="1:20" ht="15.6" x14ac:dyDescent="0.3">
      <c r="A203" s="81"/>
      <c r="B203" s="14" t="s">
        <v>87</v>
      </c>
      <c r="C203" s="82"/>
      <c r="D203" s="82"/>
      <c r="E203" s="82"/>
      <c r="F203" s="83"/>
      <c r="G203" s="82"/>
      <c r="H203" s="17"/>
      <c r="I203" s="17"/>
      <c r="J203" s="17"/>
      <c r="K203" s="17"/>
      <c r="L203" s="17"/>
      <c r="M203" s="17"/>
      <c r="N203" s="17"/>
      <c r="O203" s="17" t="s">
        <v>113</v>
      </c>
      <c r="P203" s="84" t="s">
        <v>121</v>
      </c>
      <c r="Q203" s="8"/>
      <c r="R203" s="8"/>
      <c r="S203" s="8"/>
      <c r="T203" s="5"/>
    </row>
    <row r="204" spans="1:20" ht="15.6" x14ac:dyDescent="0.3">
      <c r="A204" s="85"/>
      <c r="B204" s="77" t="s">
        <v>88</v>
      </c>
      <c r="C204" s="54"/>
      <c r="D204" s="54"/>
      <c r="E204" s="54"/>
      <c r="F204" s="25"/>
      <c r="G204" s="25"/>
      <c r="H204" s="30"/>
      <c r="I204" s="30"/>
      <c r="J204" s="30"/>
      <c r="K204" s="30"/>
      <c r="L204" s="30"/>
      <c r="M204" s="30"/>
      <c r="N204" s="30"/>
      <c r="O204" s="30">
        <v>5</v>
      </c>
      <c r="P204" s="86">
        <v>206</v>
      </c>
      <c r="Q204" s="25"/>
      <c r="R204" s="80"/>
      <c r="S204" s="87"/>
      <c r="T204" s="5"/>
    </row>
    <row r="205" spans="1:20" ht="15.6" x14ac:dyDescent="0.3">
      <c r="A205" s="85"/>
      <c r="B205" s="77" t="s">
        <v>169</v>
      </c>
      <c r="C205" s="54"/>
      <c r="D205" s="54"/>
      <c r="E205" s="54"/>
      <c r="F205" s="25"/>
      <c r="G205" s="25"/>
      <c r="H205" s="30"/>
      <c r="I205" s="30"/>
      <c r="J205" s="30"/>
      <c r="K205" s="30"/>
      <c r="L205" s="30"/>
      <c r="M205" s="30"/>
      <c r="N205" s="30"/>
      <c r="O205" s="163">
        <f>+N244</f>
        <v>27</v>
      </c>
      <c r="P205" s="86">
        <f>+P244</f>
        <v>6677</v>
      </c>
      <c r="Q205" s="25"/>
      <c r="R205" s="80"/>
      <c r="S205" s="87"/>
      <c r="T205" s="5"/>
    </row>
    <row r="206" spans="1:20" ht="15.6" x14ac:dyDescent="0.3">
      <c r="A206" s="85"/>
      <c r="B206" s="77" t="s">
        <v>89</v>
      </c>
      <c r="C206" s="54"/>
      <c r="D206" s="54"/>
      <c r="E206" s="54"/>
      <c r="F206" s="25"/>
      <c r="G206" s="25"/>
      <c r="H206" s="30"/>
      <c r="I206" s="30"/>
      <c r="J206" s="30"/>
      <c r="K206" s="30"/>
      <c r="L206" s="30"/>
      <c r="M206" s="30"/>
      <c r="N206" s="30"/>
      <c r="O206" s="163">
        <f>+N256</f>
        <v>3</v>
      </c>
      <c r="P206" s="86">
        <f>+P256</f>
        <v>61</v>
      </c>
      <c r="Q206" s="25"/>
      <c r="R206" s="80"/>
      <c r="S206" s="87"/>
      <c r="T206" s="5"/>
    </row>
    <row r="207" spans="1:20" ht="15.6" x14ac:dyDescent="0.3">
      <c r="A207" s="85"/>
      <c r="B207" s="123" t="s">
        <v>90</v>
      </c>
      <c r="C207" s="54"/>
      <c r="D207" s="54"/>
      <c r="E207" s="54"/>
      <c r="F207" s="25"/>
      <c r="G207" s="25"/>
      <c r="H207" s="25"/>
      <c r="I207" s="25"/>
      <c r="J207" s="25"/>
      <c r="K207" s="25"/>
      <c r="L207" s="25"/>
      <c r="M207" s="25"/>
      <c r="N207" s="25"/>
      <c r="O207" s="25"/>
      <c r="P207" s="86">
        <v>0</v>
      </c>
      <c r="Q207" s="25"/>
      <c r="R207" s="80"/>
      <c r="S207" s="87"/>
      <c r="T207" s="5"/>
    </row>
    <row r="208" spans="1:20" ht="15.6" x14ac:dyDescent="0.3">
      <c r="A208" s="85"/>
      <c r="B208" s="123" t="s">
        <v>91</v>
      </c>
      <c r="C208" s="54"/>
      <c r="D208" s="54"/>
      <c r="E208" s="54"/>
      <c r="F208" s="25"/>
      <c r="G208" s="25"/>
      <c r="H208" s="25"/>
      <c r="I208" s="25"/>
      <c r="J208" s="25"/>
      <c r="K208" s="25"/>
      <c r="L208" s="25"/>
      <c r="M208" s="25"/>
      <c r="N208" s="25"/>
      <c r="O208" s="25"/>
      <c r="P208" s="62" t="s">
        <v>122</v>
      </c>
      <c r="Q208" s="25"/>
      <c r="R208" s="80"/>
      <c r="S208" s="87"/>
      <c r="T208" s="5"/>
    </row>
    <row r="209" spans="1:21" ht="15.6" x14ac:dyDescent="0.3">
      <c r="A209" s="88"/>
      <c r="B209" s="123" t="s">
        <v>92</v>
      </c>
      <c r="C209" s="77"/>
      <c r="D209" s="77"/>
      <c r="E209" s="77"/>
      <c r="F209" s="77"/>
      <c r="G209" s="25"/>
      <c r="H209" s="25"/>
      <c r="I209" s="25"/>
      <c r="J209" s="25"/>
      <c r="K209" s="25"/>
      <c r="L209" s="25"/>
      <c r="M209" s="25"/>
      <c r="N209" s="25"/>
      <c r="O209" s="25"/>
      <c r="P209" s="86"/>
      <c r="Q209" s="25"/>
      <c r="R209" s="80"/>
      <c r="S209" s="89"/>
      <c r="T209" s="5"/>
    </row>
    <row r="210" spans="1:21" ht="15.6" x14ac:dyDescent="0.3">
      <c r="A210" s="88"/>
      <c r="B210" s="134" t="s">
        <v>93</v>
      </c>
      <c r="C210" s="77"/>
      <c r="D210" s="77"/>
      <c r="E210" s="77"/>
      <c r="F210" s="77"/>
      <c r="G210" s="25"/>
      <c r="H210" s="25"/>
      <c r="I210" s="25"/>
      <c r="J210" s="25"/>
      <c r="K210" s="25"/>
      <c r="L210" s="25"/>
      <c r="M210" s="25"/>
      <c r="N210" s="25"/>
      <c r="O210" s="30"/>
      <c r="P210" s="86">
        <f>R158</f>
        <v>43</v>
      </c>
      <c r="Q210" s="25"/>
      <c r="R210" s="80"/>
      <c r="S210" s="89"/>
      <c r="T210" s="5"/>
    </row>
    <row r="211" spans="1:21" ht="15.6" x14ac:dyDescent="0.3">
      <c r="A211" s="85"/>
      <c r="B211" s="77" t="s">
        <v>94</v>
      </c>
      <c r="C211" s="54"/>
      <c r="D211" s="54"/>
      <c r="E211" s="54"/>
      <c r="F211" s="54"/>
      <c r="G211" s="25"/>
      <c r="H211" s="25"/>
      <c r="I211" s="25"/>
      <c r="J211" s="25"/>
      <c r="K211" s="25"/>
      <c r="L211" s="25"/>
      <c r="M211" s="25"/>
      <c r="N211" s="25"/>
      <c r="O211" s="30"/>
      <c r="P211" s="86">
        <f>+'June 06'!P211+P210</f>
        <v>43</v>
      </c>
      <c r="Q211" s="25"/>
      <c r="R211" s="80"/>
      <c r="S211" s="89"/>
      <c r="T211" s="5"/>
    </row>
    <row r="212" spans="1:21" ht="15.6" x14ac:dyDescent="0.3">
      <c r="A212" s="85"/>
      <c r="B212" s="77" t="s">
        <v>95</v>
      </c>
      <c r="C212" s="54"/>
      <c r="D212" s="54"/>
      <c r="E212" s="54"/>
      <c r="F212" s="54"/>
      <c r="G212" s="25"/>
      <c r="H212" s="25"/>
      <c r="I212" s="25"/>
      <c r="J212" s="25"/>
      <c r="K212" s="25"/>
      <c r="L212" s="25"/>
      <c r="M212" s="25"/>
      <c r="N212" s="25"/>
      <c r="O212" s="25"/>
      <c r="P212" s="86">
        <v>0</v>
      </c>
      <c r="Q212" s="25"/>
      <c r="R212" s="80"/>
      <c r="S212" s="89"/>
      <c r="T212" s="5"/>
    </row>
    <row r="213" spans="1:21" ht="15.6" x14ac:dyDescent="0.3">
      <c r="A213" s="88" t="s">
        <v>255</v>
      </c>
      <c r="B213" s="123" t="s">
        <v>256</v>
      </c>
      <c r="C213" s="77"/>
      <c r="D213" s="77"/>
      <c r="E213" s="77"/>
      <c r="F213" s="77"/>
      <c r="G213" s="25"/>
      <c r="H213" s="25"/>
      <c r="I213" s="25"/>
      <c r="J213" s="25"/>
      <c r="K213" s="25"/>
      <c r="L213" s="25"/>
      <c r="M213" s="25"/>
      <c r="N213" s="25"/>
      <c r="O213" s="25"/>
      <c r="P213" s="86"/>
      <c r="Q213" s="25"/>
      <c r="R213" s="80"/>
      <c r="S213" s="89"/>
      <c r="T213" s="5"/>
    </row>
    <row r="214" spans="1:21" ht="15.6" x14ac:dyDescent="0.3">
      <c r="A214" s="88"/>
      <c r="B214" s="77" t="s">
        <v>283</v>
      </c>
      <c r="C214" s="77"/>
      <c r="D214" s="77"/>
      <c r="E214" s="77"/>
      <c r="F214" s="77"/>
      <c r="G214" s="25"/>
      <c r="H214" s="25"/>
      <c r="I214" s="25"/>
      <c r="J214" s="25"/>
      <c r="K214" s="25"/>
      <c r="L214" s="25"/>
      <c r="M214" s="25"/>
      <c r="N214" s="25"/>
      <c r="O214" s="30">
        <v>0</v>
      </c>
      <c r="P214" s="86">
        <v>0</v>
      </c>
      <c r="Q214" s="25"/>
      <c r="R214" s="80"/>
      <c r="S214" s="89"/>
      <c r="T214" s="5"/>
    </row>
    <row r="215" spans="1:21" ht="15.6" x14ac:dyDescent="0.3">
      <c r="A215" s="85"/>
      <c r="B215" s="77" t="s">
        <v>97</v>
      </c>
      <c r="C215" s="90"/>
      <c r="D215" s="90"/>
      <c r="E215" s="90"/>
      <c r="F215" s="91"/>
      <c r="G215" s="25"/>
      <c r="H215" s="25"/>
      <c r="I215" s="25"/>
      <c r="J215" s="25"/>
      <c r="K215" s="25"/>
      <c r="L215" s="25"/>
      <c r="M215" s="25"/>
      <c r="N215" s="25"/>
      <c r="O215" s="30"/>
      <c r="P215" s="62">
        <v>0</v>
      </c>
      <c r="Q215" s="25"/>
      <c r="R215" s="80"/>
      <c r="S215" s="89"/>
      <c r="T215" s="5"/>
    </row>
    <row r="216" spans="1:21" ht="15.6" x14ac:dyDescent="0.3">
      <c r="A216" s="85"/>
      <c r="B216" s="77" t="s">
        <v>98</v>
      </c>
      <c r="C216" s="90"/>
      <c r="D216" s="90"/>
      <c r="E216" s="90"/>
      <c r="F216" s="91"/>
      <c r="G216" s="25"/>
      <c r="H216" s="25"/>
      <c r="I216" s="25"/>
      <c r="J216" s="25"/>
      <c r="K216" s="25"/>
      <c r="L216" s="25"/>
      <c r="M216" s="25"/>
      <c r="N216" s="25"/>
      <c r="O216" s="30"/>
      <c r="P216" s="62">
        <v>0</v>
      </c>
      <c r="Q216" s="25"/>
      <c r="R216" s="80"/>
      <c r="S216" s="89"/>
      <c r="T216" s="5"/>
    </row>
    <row r="217" spans="1:21" ht="15.6" x14ac:dyDescent="0.3">
      <c r="A217" s="85"/>
      <c r="B217" s="123" t="s">
        <v>257</v>
      </c>
      <c r="C217" s="90"/>
      <c r="D217" s="90"/>
      <c r="E217" s="90"/>
      <c r="F217" s="91"/>
      <c r="G217" s="25"/>
      <c r="H217" s="25"/>
      <c r="I217" s="25"/>
      <c r="J217" s="25"/>
      <c r="K217" s="25"/>
      <c r="L217" s="25"/>
      <c r="M217" s="25"/>
      <c r="N217" s="25"/>
      <c r="O217" s="30"/>
      <c r="P217" s="92"/>
      <c r="Q217" s="25"/>
      <c r="R217" s="80"/>
      <c r="S217" s="89"/>
      <c r="T217" s="5"/>
    </row>
    <row r="218" spans="1:21" ht="15.6" x14ac:dyDescent="0.3">
      <c r="A218" s="85"/>
      <c r="B218" s="77" t="s">
        <v>283</v>
      </c>
      <c r="C218" s="90"/>
      <c r="D218" s="90"/>
      <c r="E218" s="90"/>
      <c r="F218" s="91"/>
      <c r="G218" s="25"/>
      <c r="H218" s="25"/>
      <c r="I218" s="25"/>
      <c r="J218" s="25"/>
      <c r="K218" s="25"/>
      <c r="L218" s="25"/>
      <c r="M218" s="25"/>
      <c r="N218" s="25"/>
      <c r="O218" s="30">
        <v>7</v>
      </c>
      <c r="P218" s="86">
        <v>1305</v>
      </c>
      <c r="Q218" s="25"/>
      <c r="R218" s="80"/>
      <c r="S218" s="89"/>
      <c r="T218" s="5"/>
    </row>
    <row r="219" spans="1:21" ht="15.6" x14ac:dyDescent="0.3">
      <c r="A219" s="85"/>
      <c r="B219" s="77" t="s">
        <v>258</v>
      </c>
      <c r="C219" s="90"/>
      <c r="D219" s="90"/>
      <c r="E219" s="90"/>
      <c r="F219" s="91"/>
      <c r="G219" s="25"/>
      <c r="H219" s="25"/>
      <c r="I219" s="25"/>
      <c r="J219" s="25"/>
      <c r="K219" s="25"/>
      <c r="L219" s="25"/>
      <c r="M219" s="25"/>
      <c r="N219" s="25"/>
      <c r="O219" s="25"/>
      <c r="P219" s="171">
        <v>5.76</v>
      </c>
      <c r="Q219" s="25"/>
      <c r="R219" s="80"/>
      <c r="S219" s="89"/>
      <c r="T219" s="5"/>
    </row>
    <row r="220" spans="1:21" ht="17.399999999999999" x14ac:dyDescent="0.3">
      <c r="A220" s="85"/>
      <c r="B220" s="166" t="s">
        <v>247</v>
      </c>
      <c r="C220" s="90"/>
      <c r="D220" s="90"/>
      <c r="E220" s="90"/>
      <c r="F220" s="91"/>
      <c r="G220" s="25"/>
      <c r="H220" s="25"/>
      <c r="I220" s="25"/>
      <c r="J220" s="168" t="s">
        <v>246</v>
      </c>
      <c r="K220" s="25"/>
      <c r="L220" s="25"/>
      <c r="M220" s="25"/>
      <c r="N220" s="25"/>
      <c r="O220" s="25"/>
      <c r="P220" s="92"/>
      <c r="Q220" s="25"/>
      <c r="R220" s="80"/>
      <c r="S220" s="89"/>
      <c r="T220" s="5"/>
    </row>
    <row r="221" spans="1:21" ht="15.6" x14ac:dyDescent="0.3">
      <c r="A221" s="85"/>
      <c r="B221" s="77"/>
      <c r="C221" s="90"/>
      <c r="D221" s="90"/>
      <c r="E221" s="90"/>
      <c r="F221" s="91"/>
      <c r="G221" s="25"/>
      <c r="H221" s="25"/>
      <c r="I221" s="25"/>
      <c r="J221" s="25"/>
      <c r="K221" s="25"/>
      <c r="L221" s="25"/>
      <c r="M221" s="25"/>
      <c r="N221" s="25"/>
      <c r="O221" s="25"/>
      <c r="P221" s="92"/>
      <c r="Q221" s="25"/>
      <c r="R221" s="80"/>
      <c r="S221" s="89"/>
      <c r="T221" s="5"/>
    </row>
    <row r="222" spans="1:21" ht="15.6" x14ac:dyDescent="0.3">
      <c r="A222" s="6"/>
      <c r="B222" s="14" t="s">
        <v>236</v>
      </c>
      <c r="C222" s="82"/>
      <c r="D222" s="82"/>
      <c r="E222" s="82"/>
      <c r="F222" s="83"/>
      <c r="G222" s="82"/>
      <c r="H222" s="17"/>
      <c r="I222" s="17"/>
      <c r="J222" s="17"/>
      <c r="K222" s="17"/>
      <c r="L222" s="17"/>
      <c r="M222" s="17"/>
      <c r="N222" s="84" t="s">
        <v>113</v>
      </c>
      <c r="O222" s="17" t="s">
        <v>114</v>
      </c>
      <c r="P222" s="84" t="s">
        <v>123</v>
      </c>
      <c r="Q222" s="17" t="s">
        <v>114</v>
      </c>
      <c r="R222" s="8"/>
      <c r="S222" s="93"/>
      <c r="T222" s="5"/>
    </row>
    <row r="223" spans="1:21" ht="15.6" x14ac:dyDescent="0.3">
      <c r="A223" s="24"/>
      <c r="B223" s="54" t="s">
        <v>99</v>
      </c>
      <c r="C223" s="94"/>
      <c r="D223" s="94"/>
      <c r="E223" s="94"/>
      <c r="F223" s="25"/>
      <c r="G223" s="94"/>
      <c r="H223" s="94"/>
      <c r="I223" s="94"/>
      <c r="J223" s="94"/>
      <c r="K223" s="94"/>
      <c r="L223" s="94"/>
      <c r="M223" s="94"/>
      <c r="N223" s="54">
        <v>7577</v>
      </c>
      <c r="O223" s="95">
        <f t="shared" ref="O223:O230" si="1">N223/$N$232</f>
        <v>0.99162413296688912</v>
      </c>
      <c r="P223" s="53">
        <v>781859</v>
      </c>
      <c r="Q223" s="135">
        <f t="shared" ref="Q223:Q230" si="2">P223/$P$232</f>
        <v>0.99236175189782161</v>
      </c>
      <c r="R223" s="80"/>
      <c r="S223" s="89"/>
      <c r="T223" s="5"/>
    </row>
    <row r="224" spans="1:21" ht="15.6" x14ac:dyDescent="0.3">
      <c r="A224" s="24"/>
      <c r="B224" s="54" t="s">
        <v>100</v>
      </c>
      <c r="C224" s="94"/>
      <c r="D224" s="94"/>
      <c r="E224" s="94"/>
      <c r="F224" s="25"/>
      <c r="G224" s="95"/>
      <c r="H224" s="94"/>
      <c r="I224" s="94"/>
      <c r="J224" s="94"/>
      <c r="K224" s="94"/>
      <c r="L224" s="94"/>
      <c r="M224" s="94"/>
      <c r="N224" s="54">
        <v>27</v>
      </c>
      <c r="O224" s="95">
        <f t="shared" si="1"/>
        <v>3.5335689045936395E-3</v>
      </c>
      <c r="P224" s="53">
        <v>3292</v>
      </c>
      <c r="Q224" s="135">
        <f t="shared" si="2"/>
        <v>4.1783171738735865E-3</v>
      </c>
      <c r="R224" s="80"/>
      <c r="S224" s="89"/>
      <c r="T224" s="5"/>
      <c r="U224" s="110"/>
    </row>
    <row r="225" spans="1:21" ht="15.6" x14ac:dyDescent="0.3">
      <c r="A225" s="24"/>
      <c r="B225" s="54" t="s">
        <v>101</v>
      </c>
      <c r="C225" s="94"/>
      <c r="D225" s="94"/>
      <c r="E225" s="94"/>
      <c r="F225" s="25"/>
      <c r="G225" s="95"/>
      <c r="H225" s="94"/>
      <c r="I225" s="94"/>
      <c r="J225" s="94"/>
      <c r="K225" s="94"/>
      <c r="L225" s="94"/>
      <c r="M225" s="94"/>
      <c r="N225" s="54">
        <v>21</v>
      </c>
      <c r="O225" s="95">
        <f t="shared" si="1"/>
        <v>2.7483313702394976E-3</v>
      </c>
      <c r="P225" s="53">
        <v>1779</v>
      </c>
      <c r="Q225" s="135">
        <f t="shared" si="2"/>
        <v>2.2579666623089643E-3</v>
      </c>
      <c r="R225" s="80"/>
      <c r="S225" s="89"/>
      <c r="T225" s="5"/>
    </row>
    <row r="226" spans="1:21" ht="15.6" x14ac:dyDescent="0.3">
      <c r="A226" s="24"/>
      <c r="B226" s="54" t="s">
        <v>210</v>
      </c>
      <c r="C226" s="94"/>
      <c r="D226" s="94"/>
      <c r="E226" s="94"/>
      <c r="F226" s="25"/>
      <c r="G226" s="95"/>
      <c r="H226" s="94"/>
      <c r="I226" s="94"/>
      <c r="J226" s="94"/>
      <c r="K226" s="94"/>
      <c r="L226" s="94"/>
      <c r="M226" s="94"/>
      <c r="N226" s="54">
        <v>6</v>
      </c>
      <c r="O226" s="95">
        <f t="shared" si="1"/>
        <v>7.8523753435414214E-4</v>
      </c>
      <c r="P226" s="53">
        <v>580</v>
      </c>
      <c r="Q226" s="135">
        <f t="shared" si="2"/>
        <v>7.3615551666059555E-4</v>
      </c>
      <c r="R226" s="80"/>
      <c r="S226" s="89"/>
      <c r="T226" s="5"/>
      <c r="U226" s="110"/>
    </row>
    <row r="227" spans="1:21" ht="15.6" x14ac:dyDescent="0.3">
      <c r="A227" s="24"/>
      <c r="B227" s="54" t="s">
        <v>211</v>
      </c>
      <c r="C227" s="94"/>
      <c r="D227" s="94"/>
      <c r="E227" s="94"/>
      <c r="F227" s="25"/>
      <c r="G227" s="95"/>
      <c r="H227" s="94"/>
      <c r="I227" s="94"/>
      <c r="J227" s="94"/>
      <c r="K227" s="94"/>
      <c r="L227" s="94"/>
      <c r="M227" s="94"/>
      <c r="N227" s="54">
        <v>1</v>
      </c>
      <c r="O227" s="95">
        <f t="shared" si="1"/>
        <v>1.3087292239235702E-4</v>
      </c>
      <c r="P227" s="53">
        <v>55</v>
      </c>
      <c r="Q227" s="135">
        <f t="shared" si="2"/>
        <v>6.9807850717815086E-5</v>
      </c>
      <c r="R227" s="80"/>
      <c r="S227" s="89"/>
      <c r="T227" s="5"/>
    </row>
    <row r="228" spans="1:21" ht="15.6" x14ac:dyDescent="0.3">
      <c r="A228" s="24"/>
      <c r="B228" s="54" t="s">
        <v>212</v>
      </c>
      <c r="C228" s="94"/>
      <c r="D228" s="94"/>
      <c r="E228" s="94"/>
      <c r="F228" s="25"/>
      <c r="G228" s="95"/>
      <c r="H228" s="94"/>
      <c r="I228" s="94"/>
      <c r="J228" s="94"/>
      <c r="K228" s="94"/>
      <c r="L228" s="94"/>
      <c r="M228" s="94"/>
      <c r="N228" s="54">
        <v>4</v>
      </c>
      <c r="O228" s="95">
        <f t="shared" si="1"/>
        <v>5.2349168956942809E-4</v>
      </c>
      <c r="P228" s="53">
        <v>111</v>
      </c>
      <c r="Q228" s="135">
        <f t="shared" si="2"/>
        <v>1.4088493508504501E-4</v>
      </c>
      <c r="R228" s="80"/>
      <c r="S228" s="89"/>
      <c r="T228" s="5"/>
      <c r="U228" s="110"/>
    </row>
    <row r="229" spans="1:21" ht="15.6" x14ac:dyDescent="0.3">
      <c r="A229" s="24"/>
      <c r="B229" s="54" t="s">
        <v>213</v>
      </c>
      <c r="C229" s="94"/>
      <c r="D229" s="94"/>
      <c r="E229" s="94"/>
      <c r="F229" s="25"/>
      <c r="G229" s="95"/>
      <c r="H229" s="94"/>
      <c r="I229" s="94"/>
      <c r="J229" s="94"/>
      <c r="K229" s="94"/>
      <c r="L229" s="94"/>
      <c r="M229" s="94"/>
      <c r="N229" s="54">
        <v>1</v>
      </c>
      <c r="O229" s="95">
        <f t="shared" si="1"/>
        <v>1.3087292239235702E-4</v>
      </c>
      <c r="P229" s="53">
        <v>32</v>
      </c>
      <c r="Q229" s="135">
        <f t="shared" si="2"/>
        <v>4.0615476781274234E-5</v>
      </c>
      <c r="R229" s="80"/>
      <c r="S229" s="89"/>
      <c r="T229" s="5"/>
    </row>
    <row r="230" spans="1:21" ht="15.6" x14ac:dyDescent="0.3">
      <c r="A230" s="24"/>
      <c r="B230" s="54" t="s">
        <v>214</v>
      </c>
      <c r="C230" s="94"/>
      <c r="D230" s="94"/>
      <c r="E230" s="94"/>
      <c r="F230" s="25"/>
      <c r="G230" s="95"/>
      <c r="H230" s="94"/>
      <c r="I230" s="94"/>
      <c r="J230" s="94"/>
      <c r="K230" s="94"/>
      <c r="L230" s="94"/>
      <c r="M230" s="94"/>
      <c r="N230" s="54">
        <v>4</v>
      </c>
      <c r="O230" s="95">
        <f t="shared" si="1"/>
        <v>5.2349168956942809E-4</v>
      </c>
      <c r="P230" s="53">
        <v>169</v>
      </c>
      <c r="Q230" s="135">
        <f t="shared" si="2"/>
        <v>2.1450048675110455E-4</v>
      </c>
      <c r="R230" s="80"/>
      <c r="S230" s="89"/>
      <c r="T230" s="5"/>
      <c r="U230" s="110"/>
    </row>
    <row r="231" spans="1:21" ht="15.6" x14ac:dyDescent="0.3">
      <c r="A231" s="24"/>
      <c r="B231" s="25"/>
      <c r="C231" s="94"/>
      <c r="D231" s="94"/>
      <c r="E231" s="94"/>
      <c r="F231" s="25"/>
      <c r="G231" s="95"/>
      <c r="H231" s="94"/>
      <c r="I231" s="94"/>
      <c r="J231" s="94"/>
      <c r="K231" s="94"/>
      <c r="L231" s="94"/>
      <c r="M231" s="94"/>
      <c r="N231" s="54"/>
      <c r="O231" s="95"/>
      <c r="P231" s="53"/>
      <c r="Q231" s="135"/>
      <c r="R231" s="80"/>
      <c r="S231" s="89"/>
      <c r="T231" s="5"/>
    </row>
    <row r="232" spans="1:21" ht="15.6" x14ac:dyDescent="0.3">
      <c r="A232" s="24"/>
      <c r="B232" s="25" t="s">
        <v>129</v>
      </c>
      <c r="C232" s="25"/>
      <c r="D232" s="25"/>
      <c r="E232" s="25"/>
      <c r="F232" s="25"/>
      <c r="G232" s="25"/>
      <c r="H232" s="96"/>
      <c r="I232" s="96"/>
      <c r="J232" s="96"/>
      <c r="K232" s="96"/>
      <c r="L232" s="96"/>
      <c r="M232" s="96"/>
      <c r="N232" s="34">
        <f>SUM(N223:N231)</f>
        <v>7641</v>
      </c>
      <c r="O232" s="135">
        <f>SUM(O223:O231)</f>
        <v>0.99999999999999989</v>
      </c>
      <c r="P232" s="53">
        <f>SUM(P223:P231)</f>
        <v>787877</v>
      </c>
      <c r="Q232" s="135">
        <f>SUM(Q223:Q231)</f>
        <v>1</v>
      </c>
      <c r="R232" s="25"/>
      <c r="S232" s="25"/>
      <c r="T232" s="5"/>
    </row>
    <row r="233" spans="1:21" ht="15.6" x14ac:dyDescent="0.3">
      <c r="A233" s="24"/>
      <c r="B233" s="25"/>
      <c r="C233" s="25"/>
      <c r="D233" s="25"/>
      <c r="E233" s="25"/>
      <c r="F233" s="25"/>
      <c r="G233" s="25"/>
      <c r="H233" s="96"/>
      <c r="I233" s="96"/>
      <c r="J233" s="96"/>
      <c r="K233" s="96"/>
      <c r="L233" s="96"/>
      <c r="M233" s="96"/>
      <c r="N233" s="34"/>
      <c r="O233" s="135"/>
      <c r="P233" s="53"/>
      <c r="Q233" s="135"/>
      <c r="R233" s="25"/>
      <c r="S233" s="25"/>
      <c r="T233" s="5"/>
    </row>
    <row r="234" spans="1:21" ht="15.6" x14ac:dyDescent="0.3">
      <c r="A234" s="144"/>
      <c r="B234" s="14" t="s">
        <v>241</v>
      </c>
      <c r="C234" s="82"/>
      <c r="D234" s="82"/>
      <c r="E234" s="82"/>
      <c r="F234" s="83"/>
      <c r="G234" s="82"/>
      <c r="H234" s="17"/>
      <c r="I234" s="17"/>
      <c r="J234" s="17"/>
      <c r="K234" s="17"/>
      <c r="L234" s="17"/>
      <c r="M234" s="17"/>
      <c r="N234" s="84" t="s">
        <v>113</v>
      </c>
      <c r="O234" s="17" t="s">
        <v>114</v>
      </c>
      <c r="P234" s="84" t="s">
        <v>123</v>
      </c>
      <c r="Q234" s="17" t="s">
        <v>114</v>
      </c>
      <c r="R234" s="142"/>
      <c r="S234" s="143"/>
      <c r="T234" s="5"/>
    </row>
    <row r="235" spans="1:21" ht="15.6" x14ac:dyDescent="0.3">
      <c r="A235" s="24"/>
      <c r="B235" s="54" t="s">
        <v>99</v>
      </c>
      <c r="C235" s="94"/>
      <c r="D235" s="94"/>
      <c r="E235" s="94"/>
      <c r="F235" s="25"/>
      <c r="G235" s="94"/>
      <c r="H235" s="94"/>
      <c r="I235" s="94"/>
      <c r="J235" s="94"/>
      <c r="K235" s="94"/>
      <c r="L235" s="94"/>
      <c r="M235" s="94"/>
      <c r="N235" s="54">
        <v>5</v>
      </c>
      <c r="O235" s="95">
        <f t="shared" ref="O235:O242" si="3">N235/$N$244</f>
        <v>0.18518518518518517</v>
      </c>
      <c r="P235" s="53">
        <v>2233</v>
      </c>
      <c r="Q235" s="135">
        <f t="shared" ref="Q235:Q242" si="4">P235/$P$244</f>
        <v>0.33443163097199341</v>
      </c>
      <c r="R235" s="25"/>
      <c r="S235" s="25"/>
      <c r="T235" s="5"/>
    </row>
    <row r="236" spans="1:21" ht="15.6" x14ac:dyDescent="0.3">
      <c r="A236" s="24"/>
      <c r="B236" s="54" t="s">
        <v>100</v>
      </c>
      <c r="C236" s="94"/>
      <c r="D236" s="94"/>
      <c r="E236" s="94"/>
      <c r="F236" s="25"/>
      <c r="G236" s="95"/>
      <c r="H236" s="94"/>
      <c r="I236" s="94"/>
      <c r="J236" s="94"/>
      <c r="K236" s="94"/>
      <c r="L236" s="94"/>
      <c r="M236" s="94"/>
      <c r="N236" s="54">
        <v>1</v>
      </c>
      <c r="O236" s="95">
        <f t="shared" si="3"/>
        <v>3.7037037037037035E-2</v>
      </c>
      <c r="P236" s="53">
        <v>213</v>
      </c>
      <c r="Q236" s="135">
        <f t="shared" si="4"/>
        <v>3.1900554141081325E-2</v>
      </c>
      <c r="R236" s="25"/>
      <c r="S236" s="25"/>
      <c r="T236" s="5"/>
    </row>
    <row r="237" spans="1:21" ht="15.6" x14ac:dyDescent="0.3">
      <c r="A237" s="24"/>
      <c r="B237" s="54" t="s">
        <v>101</v>
      </c>
      <c r="C237" s="94"/>
      <c r="D237" s="94"/>
      <c r="E237" s="94"/>
      <c r="F237" s="25"/>
      <c r="G237" s="95"/>
      <c r="H237" s="94"/>
      <c r="I237" s="94"/>
      <c r="J237" s="94"/>
      <c r="K237" s="94"/>
      <c r="L237" s="94"/>
      <c r="M237" s="94"/>
      <c r="N237" s="54">
        <v>2</v>
      </c>
      <c r="O237" s="95">
        <f t="shared" si="3"/>
        <v>7.407407407407407E-2</v>
      </c>
      <c r="P237" s="53">
        <v>251</v>
      </c>
      <c r="Q237" s="135">
        <f t="shared" si="4"/>
        <v>3.7591732814138086E-2</v>
      </c>
      <c r="R237" s="25"/>
      <c r="S237" s="25"/>
      <c r="T237" s="5"/>
    </row>
    <row r="238" spans="1:21" ht="15.6" x14ac:dyDescent="0.3">
      <c r="A238" s="24"/>
      <c r="B238" s="54" t="s">
        <v>210</v>
      </c>
      <c r="C238" s="94"/>
      <c r="D238" s="94"/>
      <c r="E238" s="94"/>
      <c r="F238" s="25"/>
      <c r="G238" s="95"/>
      <c r="H238" s="94"/>
      <c r="I238" s="94"/>
      <c r="J238" s="94"/>
      <c r="K238" s="94"/>
      <c r="L238" s="94"/>
      <c r="M238" s="94"/>
      <c r="N238" s="54">
        <v>2</v>
      </c>
      <c r="O238" s="95">
        <f t="shared" si="3"/>
        <v>7.407407407407407E-2</v>
      </c>
      <c r="P238" s="53">
        <v>367</v>
      </c>
      <c r="Q238" s="135">
        <f t="shared" si="4"/>
        <v>5.496480455294294E-2</v>
      </c>
      <c r="R238" s="25"/>
      <c r="S238" s="25"/>
      <c r="T238" s="5"/>
    </row>
    <row r="239" spans="1:21" ht="15.6" x14ac:dyDescent="0.3">
      <c r="A239" s="24"/>
      <c r="B239" s="54" t="s">
        <v>211</v>
      </c>
      <c r="C239" s="94"/>
      <c r="D239" s="94"/>
      <c r="E239" s="94"/>
      <c r="F239" s="25"/>
      <c r="G239" s="95"/>
      <c r="H239" s="94"/>
      <c r="I239" s="94"/>
      <c r="J239" s="94"/>
      <c r="K239" s="94"/>
      <c r="L239" s="94"/>
      <c r="M239" s="94"/>
      <c r="N239" s="54">
        <v>5</v>
      </c>
      <c r="O239" s="95">
        <f t="shared" si="3"/>
        <v>0.18518518518518517</v>
      </c>
      <c r="P239" s="53">
        <v>1422</v>
      </c>
      <c r="Q239" s="135">
        <f t="shared" si="4"/>
        <v>0.21296989666017674</v>
      </c>
      <c r="R239" s="25"/>
      <c r="S239" s="25"/>
      <c r="T239" s="5"/>
    </row>
    <row r="240" spans="1:21" ht="15.6" x14ac:dyDescent="0.3">
      <c r="A240" s="24"/>
      <c r="B240" s="54" t="s">
        <v>212</v>
      </c>
      <c r="C240" s="94"/>
      <c r="D240" s="94"/>
      <c r="E240" s="94"/>
      <c r="F240" s="25"/>
      <c r="G240" s="95"/>
      <c r="H240" s="94"/>
      <c r="I240" s="94"/>
      <c r="J240" s="94"/>
      <c r="K240" s="94"/>
      <c r="L240" s="94"/>
      <c r="M240" s="94"/>
      <c r="N240" s="54">
        <v>2</v>
      </c>
      <c r="O240" s="95">
        <f t="shared" si="3"/>
        <v>7.407407407407407E-2</v>
      </c>
      <c r="P240" s="53">
        <v>752</v>
      </c>
      <c r="Q240" s="135">
        <f t="shared" si="4"/>
        <v>0.11262543058259697</v>
      </c>
      <c r="R240" s="25"/>
      <c r="S240" s="25"/>
      <c r="T240" s="5"/>
    </row>
    <row r="241" spans="1:20" ht="15.6" x14ac:dyDescent="0.3">
      <c r="A241" s="24"/>
      <c r="B241" s="54" t="s">
        <v>213</v>
      </c>
      <c r="C241" s="94"/>
      <c r="D241" s="94"/>
      <c r="E241" s="94"/>
      <c r="F241" s="25"/>
      <c r="G241" s="95"/>
      <c r="H241" s="94"/>
      <c r="I241" s="94"/>
      <c r="J241" s="94"/>
      <c r="K241" s="94"/>
      <c r="L241" s="94"/>
      <c r="M241" s="94"/>
      <c r="N241" s="54">
        <v>8</v>
      </c>
      <c r="O241" s="95">
        <f t="shared" si="3"/>
        <v>0.29629629629629628</v>
      </c>
      <c r="P241" s="53">
        <v>1101</v>
      </c>
      <c r="Q241" s="135">
        <f t="shared" si="4"/>
        <v>0.16489441365882881</v>
      </c>
      <c r="R241" s="25"/>
      <c r="S241" s="25"/>
      <c r="T241" s="5"/>
    </row>
    <row r="242" spans="1:20" ht="15.6" x14ac:dyDescent="0.3">
      <c r="A242" s="24"/>
      <c r="B242" s="54" t="s">
        <v>214</v>
      </c>
      <c r="C242" s="94"/>
      <c r="D242" s="94"/>
      <c r="E242" s="94"/>
      <c r="F242" s="25"/>
      <c r="G242" s="95"/>
      <c r="H242" s="94"/>
      <c r="I242" s="94"/>
      <c r="J242" s="94"/>
      <c r="K242" s="94"/>
      <c r="L242" s="94"/>
      <c r="M242" s="94"/>
      <c r="N242" s="54">
        <v>2</v>
      </c>
      <c r="O242" s="95">
        <f t="shared" si="3"/>
        <v>7.407407407407407E-2</v>
      </c>
      <c r="P242" s="53">
        <v>338</v>
      </c>
      <c r="Q242" s="135">
        <f t="shared" si="4"/>
        <v>5.0621536618241723E-2</v>
      </c>
      <c r="R242" s="25"/>
      <c r="S242" s="25"/>
      <c r="T242" s="5"/>
    </row>
    <row r="243" spans="1:20" ht="15.6" x14ac:dyDescent="0.3">
      <c r="A243" s="24"/>
      <c r="B243" s="25"/>
      <c r="C243" s="94"/>
      <c r="D243" s="94"/>
      <c r="E243" s="94"/>
      <c r="F243" s="25"/>
      <c r="G243" s="95"/>
      <c r="H243" s="94"/>
      <c r="I243" s="94"/>
      <c r="J243" s="94"/>
      <c r="K243" s="94"/>
      <c r="L243" s="94"/>
      <c r="M243" s="94"/>
      <c r="N243" s="54"/>
      <c r="O243" s="95"/>
      <c r="P243" s="53"/>
      <c r="Q243" s="135"/>
      <c r="R243" s="25"/>
      <c r="S243" s="25"/>
      <c r="T243" s="5"/>
    </row>
    <row r="244" spans="1:20" ht="15.6" x14ac:dyDescent="0.3">
      <c r="A244" s="24"/>
      <c r="B244" s="25" t="s">
        <v>129</v>
      </c>
      <c r="C244" s="25"/>
      <c r="D244" s="25"/>
      <c r="E244" s="25"/>
      <c r="F244" s="25"/>
      <c r="G244" s="25"/>
      <c r="H244" s="96"/>
      <c r="I244" s="96"/>
      <c r="J244" s="96"/>
      <c r="K244" s="96"/>
      <c r="L244" s="96"/>
      <c r="M244" s="96"/>
      <c r="N244" s="34">
        <f>SUM(N235:N243)</f>
        <v>27</v>
      </c>
      <c r="O244" s="135">
        <f>SUM(O235:O243)</f>
        <v>1</v>
      </c>
      <c r="P244" s="53">
        <f>SUM(P235:P243)</f>
        <v>6677</v>
      </c>
      <c r="Q244" s="135">
        <f>SUM(Q235:Q243)</f>
        <v>1</v>
      </c>
      <c r="R244" s="25"/>
      <c r="S244" s="25"/>
      <c r="T244" s="5"/>
    </row>
    <row r="245" spans="1:20" ht="15.6" x14ac:dyDescent="0.3">
      <c r="A245" s="24"/>
      <c r="B245" s="25"/>
      <c r="C245" s="25"/>
      <c r="D245" s="25"/>
      <c r="E245" s="25"/>
      <c r="F245" s="25"/>
      <c r="G245" s="25"/>
      <c r="H245" s="96"/>
      <c r="I245" s="96"/>
      <c r="J245" s="96"/>
      <c r="K245" s="96"/>
      <c r="L245" s="96"/>
      <c r="M245" s="96"/>
      <c r="N245" s="34"/>
      <c r="O245" s="135"/>
      <c r="P245" s="53"/>
      <c r="Q245" s="135"/>
      <c r="R245" s="25"/>
      <c r="S245" s="25"/>
      <c r="T245" s="5"/>
    </row>
    <row r="246" spans="1:20" s="153" customFormat="1" ht="15.6" x14ac:dyDescent="0.3">
      <c r="A246" s="144"/>
      <c r="B246" s="14" t="s">
        <v>239</v>
      </c>
      <c r="C246" s="151"/>
      <c r="D246" s="151"/>
      <c r="E246" s="151"/>
      <c r="F246" s="151"/>
      <c r="G246" s="151"/>
      <c r="H246" s="152"/>
      <c r="I246" s="152"/>
      <c r="J246" s="152"/>
      <c r="K246" s="152"/>
      <c r="L246" s="152"/>
      <c r="M246" s="152"/>
      <c r="N246" s="84" t="s">
        <v>113</v>
      </c>
      <c r="O246" s="17" t="s">
        <v>114</v>
      </c>
      <c r="P246" s="84" t="s">
        <v>123</v>
      </c>
      <c r="Q246" s="17" t="s">
        <v>114</v>
      </c>
      <c r="R246" s="151"/>
      <c r="S246" s="151"/>
      <c r="T246" s="5"/>
    </row>
    <row r="247" spans="1:20" s="153" customFormat="1" ht="15.6" x14ac:dyDescent="0.3">
      <c r="A247" s="24"/>
      <c r="B247" s="54" t="s">
        <v>99</v>
      </c>
      <c r="C247" s="161"/>
      <c r="D247" s="161"/>
      <c r="E247" s="161"/>
      <c r="F247" s="161"/>
      <c r="G247" s="161"/>
      <c r="H247" s="162"/>
      <c r="I247" s="162"/>
      <c r="J247" s="162"/>
      <c r="K247" s="162"/>
      <c r="L247" s="162"/>
      <c r="M247" s="162"/>
      <c r="N247" s="54">
        <v>1</v>
      </c>
      <c r="O247" s="95">
        <f>N247/$N$256</f>
        <v>0.33333333333333331</v>
      </c>
      <c r="P247" s="53">
        <v>2</v>
      </c>
      <c r="Q247" s="135">
        <f>P247/$P$256</f>
        <v>3.2786885245901641E-2</v>
      </c>
      <c r="R247" s="155"/>
      <c r="S247" s="160"/>
      <c r="T247" s="5"/>
    </row>
    <row r="248" spans="1:20" s="153" customFormat="1" ht="15.6" x14ac:dyDescent="0.3">
      <c r="A248" s="24"/>
      <c r="B248" s="54" t="s">
        <v>100</v>
      </c>
      <c r="C248" s="161"/>
      <c r="D248" s="161"/>
      <c r="E248" s="161"/>
      <c r="F248" s="161"/>
      <c r="G248" s="161"/>
      <c r="H248" s="162"/>
      <c r="I248" s="162"/>
      <c r="J248" s="162"/>
      <c r="K248" s="162"/>
      <c r="L248" s="162"/>
      <c r="M248" s="162"/>
      <c r="N248" s="54">
        <v>0</v>
      </c>
      <c r="O248" s="95">
        <f t="shared" ref="O248:O254" si="5">N248/$N$256</f>
        <v>0</v>
      </c>
      <c r="P248" s="53">
        <v>0</v>
      </c>
      <c r="Q248" s="135">
        <f t="shared" ref="Q248:Q254" si="6">P248/$P$256</f>
        <v>0</v>
      </c>
      <c r="R248" s="135"/>
      <c r="S248" s="160"/>
      <c r="T248" s="5"/>
    </row>
    <row r="249" spans="1:20" s="153" customFormat="1" ht="15.6" x14ac:dyDescent="0.3">
      <c r="A249" s="24"/>
      <c r="B249" s="54" t="s">
        <v>101</v>
      </c>
      <c r="C249" s="161"/>
      <c r="D249" s="161"/>
      <c r="E249" s="161"/>
      <c r="F249" s="161"/>
      <c r="G249" s="161"/>
      <c r="H249" s="162"/>
      <c r="I249" s="162"/>
      <c r="J249" s="162"/>
      <c r="K249" s="162"/>
      <c r="L249" s="162"/>
      <c r="M249" s="162"/>
      <c r="N249" s="54">
        <v>0</v>
      </c>
      <c r="O249" s="95">
        <f t="shared" si="5"/>
        <v>0</v>
      </c>
      <c r="P249" s="53">
        <v>0</v>
      </c>
      <c r="Q249" s="135">
        <f t="shared" si="6"/>
        <v>0</v>
      </c>
      <c r="R249" s="155"/>
      <c r="S249" s="160"/>
      <c r="T249" s="5"/>
    </row>
    <row r="250" spans="1:20" s="153" customFormat="1" ht="15.6" x14ac:dyDescent="0.3">
      <c r="A250" s="24"/>
      <c r="B250" s="54" t="s">
        <v>210</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t="s">
        <v>211</v>
      </c>
      <c r="C251" s="161"/>
      <c r="D251" s="161"/>
      <c r="E251" s="161"/>
      <c r="F251" s="161"/>
      <c r="G251" s="161"/>
      <c r="H251" s="162"/>
      <c r="I251" s="162"/>
      <c r="J251" s="162"/>
      <c r="K251" s="162"/>
      <c r="L251" s="162"/>
      <c r="M251" s="162"/>
      <c r="N251" s="54">
        <v>0</v>
      </c>
      <c r="O251" s="95">
        <f t="shared" si="5"/>
        <v>0</v>
      </c>
      <c r="P251" s="53">
        <v>0</v>
      </c>
      <c r="Q251" s="135">
        <f t="shared" si="6"/>
        <v>0</v>
      </c>
      <c r="R251" s="155"/>
      <c r="S251" s="160"/>
      <c r="T251" s="5"/>
    </row>
    <row r="252" spans="1:20" s="153" customFormat="1" ht="15.6" x14ac:dyDescent="0.3">
      <c r="A252" s="24"/>
      <c r="B252" s="54" t="s">
        <v>212</v>
      </c>
      <c r="C252" s="161"/>
      <c r="D252" s="161"/>
      <c r="E252" s="161"/>
      <c r="F252" s="161"/>
      <c r="G252" s="161"/>
      <c r="H252" s="162"/>
      <c r="I252" s="162"/>
      <c r="J252" s="162"/>
      <c r="K252" s="162"/>
      <c r="L252" s="162"/>
      <c r="M252" s="162"/>
      <c r="N252" s="54">
        <v>0</v>
      </c>
      <c r="O252" s="95">
        <f t="shared" si="5"/>
        <v>0</v>
      </c>
      <c r="P252" s="53">
        <v>0</v>
      </c>
      <c r="Q252" s="135">
        <f t="shared" si="6"/>
        <v>0</v>
      </c>
      <c r="R252" s="155"/>
      <c r="S252" s="160"/>
      <c r="T252" s="5"/>
    </row>
    <row r="253" spans="1:20" s="153" customFormat="1" ht="15.6" x14ac:dyDescent="0.3">
      <c r="A253" s="24"/>
      <c r="B253" s="54" t="s">
        <v>213</v>
      </c>
      <c r="C253" s="161"/>
      <c r="D253" s="161"/>
      <c r="E253" s="161"/>
      <c r="F253" s="161"/>
      <c r="G253" s="161"/>
      <c r="H253" s="162"/>
      <c r="I253" s="162"/>
      <c r="J253" s="162"/>
      <c r="K253" s="162"/>
      <c r="L253" s="162"/>
      <c r="M253" s="162"/>
      <c r="N253" s="54">
        <v>1</v>
      </c>
      <c r="O253" s="95">
        <f t="shared" si="5"/>
        <v>0.33333333333333331</v>
      </c>
      <c r="P253" s="53">
        <v>32</v>
      </c>
      <c r="Q253" s="135">
        <f t="shared" si="6"/>
        <v>0.52459016393442626</v>
      </c>
      <c r="R253" s="155"/>
      <c r="S253" s="160"/>
      <c r="T253" s="5"/>
    </row>
    <row r="254" spans="1:20" s="153" customFormat="1" ht="15.6" x14ac:dyDescent="0.3">
      <c r="A254" s="24"/>
      <c r="B254" s="54" t="s">
        <v>214</v>
      </c>
      <c r="C254" s="161"/>
      <c r="D254" s="161"/>
      <c r="E254" s="161"/>
      <c r="F254" s="161"/>
      <c r="G254" s="161"/>
      <c r="H254" s="162"/>
      <c r="I254" s="162"/>
      <c r="J254" s="162"/>
      <c r="K254" s="162"/>
      <c r="L254" s="162"/>
      <c r="M254" s="162"/>
      <c r="N254" s="54">
        <v>1</v>
      </c>
      <c r="O254" s="95">
        <f t="shared" si="5"/>
        <v>0.33333333333333331</v>
      </c>
      <c r="P254" s="53">
        <v>27</v>
      </c>
      <c r="Q254" s="135">
        <f t="shared" si="6"/>
        <v>0.44262295081967212</v>
      </c>
      <c r="R254" s="155"/>
      <c r="S254" s="160"/>
      <c r="T254" s="5"/>
    </row>
    <row r="255" spans="1:20" s="153" customFormat="1" ht="15.6" x14ac:dyDescent="0.3">
      <c r="A255" s="24"/>
      <c r="B255" s="54"/>
      <c r="C255" s="161"/>
      <c r="D255" s="161"/>
      <c r="E255" s="161"/>
      <c r="F255" s="161"/>
      <c r="G255" s="161"/>
      <c r="H255" s="162"/>
      <c r="I255" s="162"/>
      <c r="J255" s="162"/>
      <c r="K255" s="162"/>
      <c r="L255" s="162"/>
      <c r="M255" s="162"/>
      <c r="N255" s="54"/>
      <c r="O255" s="95"/>
      <c r="P255" s="53"/>
      <c r="Q255" s="135"/>
      <c r="R255" s="155"/>
      <c r="S255" s="160"/>
      <c r="T255" s="5"/>
    </row>
    <row r="256" spans="1:20" ht="15.6" x14ac:dyDescent="0.3">
      <c r="A256" s="24"/>
      <c r="B256" s="25" t="s">
        <v>129</v>
      </c>
      <c r="C256" s="161"/>
      <c r="D256" s="161"/>
      <c r="E256" s="161"/>
      <c r="F256" s="161"/>
      <c r="G256" s="161"/>
      <c r="H256" s="162"/>
      <c r="I256" s="162"/>
      <c r="J256" s="162"/>
      <c r="K256" s="162"/>
      <c r="L256" s="162"/>
      <c r="M256" s="162"/>
      <c r="N256" s="34">
        <f>SUM(N247:N254)</f>
        <v>3</v>
      </c>
      <c r="O256" s="95">
        <f>SUM(O247:O254)</f>
        <v>1</v>
      </c>
      <c r="P256" s="53">
        <f>SUM(P247:P254)</f>
        <v>61</v>
      </c>
      <c r="Q256" s="135">
        <f>SUM(Q247:Q254)</f>
        <v>1</v>
      </c>
      <c r="R256" s="155"/>
      <c r="S256" s="160"/>
      <c r="T256" s="5"/>
    </row>
    <row r="257" spans="1:20" ht="15.6" x14ac:dyDescent="0.3">
      <c r="A257" s="24"/>
      <c r="B257" s="25"/>
      <c r="C257" s="151"/>
      <c r="D257" s="151"/>
      <c r="E257" s="151"/>
      <c r="F257" s="151"/>
      <c r="G257" s="151"/>
      <c r="H257" s="152"/>
      <c r="I257" s="152"/>
      <c r="J257" s="152"/>
      <c r="K257" s="152"/>
      <c r="L257" s="152"/>
      <c r="M257" s="152"/>
      <c r="N257" s="34"/>
      <c r="O257" s="135"/>
      <c r="P257" s="53"/>
      <c r="Q257" s="135"/>
      <c r="R257" s="151"/>
      <c r="S257" s="151"/>
      <c r="T257" s="5"/>
    </row>
    <row r="258" spans="1:20" ht="15.6" x14ac:dyDescent="0.3">
      <c r="A258" s="24"/>
      <c r="B258" s="154" t="s">
        <v>240</v>
      </c>
      <c r="C258" s="155"/>
      <c r="D258" s="155"/>
      <c r="E258" s="155"/>
      <c r="F258" s="155"/>
      <c r="G258" s="155"/>
      <c r="H258" s="156"/>
      <c r="I258" s="156"/>
      <c r="J258" s="156"/>
      <c r="K258" s="156"/>
      <c r="L258" s="156"/>
      <c r="M258" s="156"/>
      <c r="N258" s="157"/>
      <c r="O258" s="158"/>
      <c r="P258" s="159">
        <f>+P256+P244+P232</f>
        <v>794615</v>
      </c>
      <c r="Q258" s="158"/>
      <c r="R258" s="155"/>
      <c r="S258" s="160"/>
      <c r="T258" s="5"/>
    </row>
    <row r="259" spans="1:20" ht="15.6" x14ac:dyDescent="0.3">
      <c r="A259" s="24"/>
      <c r="B259" s="154"/>
      <c r="C259" s="8"/>
      <c r="D259" s="8"/>
      <c r="E259" s="8"/>
      <c r="F259" s="8"/>
      <c r="G259" s="8"/>
      <c r="H259" s="97"/>
      <c r="I259" s="97"/>
      <c r="J259" s="97"/>
      <c r="K259" s="97"/>
      <c r="L259" s="97"/>
      <c r="M259" s="97"/>
      <c r="N259" s="97"/>
      <c r="O259" s="97"/>
      <c r="P259" s="98"/>
      <c r="Q259" s="97"/>
      <c r="R259" s="8"/>
      <c r="S259" s="8"/>
      <c r="T259" s="5"/>
    </row>
    <row r="260" spans="1:20" ht="15.6" x14ac:dyDescent="0.3">
      <c r="A260" s="150"/>
      <c r="B260" s="14" t="s">
        <v>102</v>
      </c>
      <c r="C260" s="15"/>
      <c r="D260" s="15"/>
      <c r="E260" s="15"/>
      <c r="F260" s="17" t="s">
        <v>108</v>
      </c>
      <c r="G260" s="15"/>
      <c r="H260" s="14" t="s">
        <v>110</v>
      </c>
      <c r="I260" s="145"/>
      <c r="J260" s="145"/>
      <c r="K260" s="145"/>
      <c r="L260" s="145"/>
      <c r="M260" s="145"/>
      <c r="N260" s="145"/>
      <c r="O260" s="145"/>
      <c r="P260" s="145"/>
      <c r="Q260" s="145"/>
      <c r="R260" s="145"/>
      <c r="S260" s="145"/>
      <c r="T260" s="5"/>
    </row>
    <row r="261" spans="1:20" ht="15.6" x14ac:dyDescent="0.3">
      <c r="A261" s="150"/>
      <c r="B261" s="145"/>
      <c r="C261" s="8"/>
      <c r="D261" s="8"/>
      <c r="E261" s="8"/>
      <c r="F261" s="8"/>
      <c r="G261" s="8"/>
      <c r="H261" s="8"/>
      <c r="I261" s="145"/>
      <c r="J261" s="145"/>
      <c r="K261" s="145"/>
      <c r="L261" s="145"/>
      <c r="M261" s="145"/>
      <c r="N261" s="145"/>
      <c r="O261" s="145"/>
      <c r="P261" s="145"/>
      <c r="Q261" s="145"/>
      <c r="R261" s="145"/>
      <c r="S261" s="145"/>
      <c r="T261" s="5"/>
    </row>
    <row r="262" spans="1:20" ht="15.6" x14ac:dyDescent="0.3">
      <c r="A262" s="150"/>
      <c r="B262" s="13" t="s">
        <v>103</v>
      </c>
      <c r="C262" s="13"/>
      <c r="D262" s="13"/>
      <c r="E262" s="13"/>
      <c r="F262" s="133" t="s">
        <v>172</v>
      </c>
      <c r="G262" s="13"/>
      <c r="H262" s="13" t="s">
        <v>200</v>
      </c>
      <c r="I262" s="145"/>
      <c r="J262" s="145"/>
      <c r="K262" s="145"/>
      <c r="L262" s="145"/>
      <c r="M262" s="145"/>
      <c r="N262" s="145"/>
      <c r="O262" s="145"/>
      <c r="P262" s="145"/>
      <c r="Q262" s="145"/>
      <c r="R262" s="145"/>
      <c r="S262" s="145"/>
      <c r="T262" s="5"/>
    </row>
    <row r="263" spans="1:20" ht="15.6" x14ac:dyDescent="0.3">
      <c r="A263" s="150"/>
      <c r="B263" s="13" t="s">
        <v>271</v>
      </c>
      <c r="C263" s="13"/>
      <c r="D263" s="13"/>
      <c r="E263" s="13"/>
      <c r="F263" s="133" t="s">
        <v>272</v>
      </c>
      <c r="G263" s="13"/>
      <c r="H263" s="13" t="s">
        <v>273</v>
      </c>
      <c r="I263" s="145"/>
      <c r="J263" s="145"/>
      <c r="K263" s="145"/>
      <c r="L263" s="145"/>
      <c r="M263" s="145"/>
      <c r="N263" s="145"/>
      <c r="O263" s="145"/>
      <c r="P263" s="145"/>
      <c r="Q263" s="145"/>
      <c r="R263" s="145"/>
      <c r="S263" s="145"/>
      <c r="T263" s="5"/>
    </row>
    <row r="264" spans="1:20" ht="15.6" x14ac:dyDescent="0.3">
      <c r="A264" s="150"/>
      <c r="B264" s="13" t="s">
        <v>104</v>
      </c>
      <c r="C264" s="13"/>
      <c r="D264" s="13"/>
      <c r="E264" s="13"/>
      <c r="F264" s="133" t="s">
        <v>171</v>
      </c>
      <c r="G264" s="13"/>
      <c r="H264" s="13" t="s">
        <v>201</v>
      </c>
      <c r="I264" s="145"/>
      <c r="J264" s="145"/>
      <c r="K264" s="145"/>
      <c r="L264" s="145"/>
      <c r="M264" s="145"/>
      <c r="N264" s="145"/>
      <c r="O264" s="145"/>
      <c r="P264" s="145"/>
      <c r="Q264" s="145"/>
      <c r="R264" s="145"/>
      <c r="S264" s="145"/>
      <c r="T264" s="5"/>
    </row>
    <row r="265" spans="1:20" ht="15.6" x14ac:dyDescent="0.3">
      <c r="A265" s="150"/>
      <c r="B265" s="13"/>
      <c r="C265" s="13"/>
      <c r="D265" s="13"/>
      <c r="E265" s="13"/>
      <c r="F265" s="13"/>
      <c r="G265" s="100"/>
      <c r="H265" s="145"/>
      <c r="I265" s="145"/>
      <c r="J265" s="145"/>
      <c r="K265" s="145"/>
      <c r="L265" s="145"/>
      <c r="M265" s="145"/>
      <c r="N265" s="145"/>
      <c r="O265" s="145"/>
      <c r="P265" s="145"/>
      <c r="Q265" s="145"/>
      <c r="R265" s="145"/>
      <c r="S265" s="145"/>
      <c r="T265" s="5"/>
    </row>
    <row r="266" spans="1:20" ht="18" thickBot="1" x14ac:dyDescent="0.35">
      <c r="A266" s="150"/>
      <c r="B266" s="49" t="str">
        <f>B186</f>
        <v>PM8 INVESTOR REPORT QUARTER ENDING SEPTEMBER 2006</v>
      </c>
      <c r="C266" s="13"/>
      <c r="D266" s="13"/>
      <c r="E266" s="13"/>
      <c r="F266" s="13"/>
      <c r="G266" s="100"/>
      <c r="H266" s="145"/>
      <c r="I266" s="145"/>
      <c r="J266" s="145"/>
      <c r="K266" s="145"/>
      <c r="L266" s="145"/>
      <c r="M266" s="145"/>
      <c r="N266" s="145"/>
      <c r="O266" s="145"/>
      <c r="P266" s="145"/>
      <c r="Q266" s="145"/>
      <c r="R266" s="145"/>
      <c r="S266" s="145"/>
      <c r="T266" s="5"/>
    </row>
    <row r="267" spans="1:20" x14ac:dyDescent="0.25">
      <c r="A267" s="101"/>
      <c r="B267" s="101"/>
      <c r="C267" s="101"/>
      <c r="D267" s="101"/>
      <c r="E267" s="101"/>
      <c r="F267" s="101"/>
      <c r="G267" s="101"/>
      <c r="H267" s="101"/>
      <c r="I267" s="101"/>
      <c r="J267" s="101"/>
      <c r="K267" s="101"/>
      <c r="L267" s="101"/>
      <c r="M267" s="101"/>
      <c r="N267" s="101"/>
      <c r="O267" s="101"/>
      <c r="P267" s="101"/>
      <c r="Q267" s="101"/>
      <c r="R267" s="101"/>
      <c r="S267" s="101"/>
    </row>
  </sheetData>
  <phoneticPr fontId="0" type="noConversion"/>
  <hyperlinks>
    <hyperlink ref="J220"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0" max="14" man="1"/>
    <brk id="186"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D2926"/>
  </sheetPr>
  <dimension ref="A1:U267"/>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0.83260000000000001</v>
      </c>
      <c r="P16" s="17" t="s">
        <v>161</v>
      </c>
      <c r="Q16" s="140">
        <v>0.16739999999999999</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39106</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13324.150000000001</v>
      </c>
      <c r="E31" s="32"/>
      <c r="F31" s="125">
        <f>F37*F30</f>
        <v>87939.390000000014</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8153.45</v>
      </c>
      <c r="E32" s="36"/>
      <c r="F32" s="126">
        <f>F36*F30</f>
        <v>53812.77</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13324.150000000001</v>
      </c>
      <c r="E34" s="32"/>
      <c r="F34" s="31">
        <f>+F31*0.696969697</f>
        <v>61291.090002664838</v>
      </c>
      <c r="G34" s="31"/>
      <c r="H34" s="31">
        <v>305000</v>
      </c>
      <c r="I34" s="31"/>
      <c r="J34" s="31">
        <v>315000</v>
      </c>
      <c r="K34" s="31"/>
      <c r="L34" s="31">
        <v>65000</v>
      </c>
      <c r="M34" s="31"/>
      <c r="N34" s="31">
        <v>35000</v>
      </c>
      <c r="O34" s="31"/>
      <c r="P34" s="31"/>
      <c r="Q34" s="147"/>
      <c r="R34" s="31">
        <f>SUM(C34:N34)</f>
        <v>794615.24000266485</v>
      </c>
      <c r="S34" s="34"/>
      <c r="T34" s="5"/>
    </row>
    <row r="35" spans="1:20" ht="15.6" x14ac:dyDescent="0.3">
      <c r="A35" s="28"/>
      <c r="B35" s="29" t="s">
        <v>287</v>
      </c>
      <c r="C35" s="36"/>
      <c r="D35" s="35">
        <f>D36*D33</f>
        <v>8153.45</v>
      </c>
      <c r="E35" s="36"/>
      <c r="F35" s="35">
        <f>F36*F33</f>
        <v>37505.869999999995</v>
      </c>
      <c r="G35" s="35"/>
      <c r="H35" s="35">
        <v>305000</v>
      </c>
      <c r="I35" s="35"/>
      <c r="J35" s="35">
        <v>315000</v>
      </c>
      <c r="K35" s="35"/>
      <c r="L35" s="35">
        <v>65000</v>
      </c>
      <c r="M35" s="35"/>
      <c r="N35" s="35">
        <v>35000</v>
      </c>
      <c r="O35" s="35"/>
      <c r="P35" s="35"/>
      <c r="Q35" s="37"/>
      <c r="R35" s="35">
        <f>SUM(C35:N35)</f>
        <v>765659.32000000007</v>
      </c>
      <c r="S35" s="34"/>
      <c r="T35" s="5"/>
    </row>
    <row r="36" spans="1:20" ht="15.6" x14ac:dyDescent="0.3">
      <c r="A36" s="28"/>
      <c r="B36" s="123" t="s">
        <v>149</v>
      </c>
      <c r="C36" s="127"/>
      <c r="D36" s="138">
        <v>0.16306899999999999</v>
      </c>
      <c r="E36" s="139"/>
      <c r="F36" s="138">
        <v>0.16306899999999999</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0.26648300000000003</v>
      </c>
      <c r="E37" s="139"/>
      <c r="F37" s="138">
        <v>0.26648300000000003</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5.23063E-2</v>
      </c>
      <c r="E39" s="25"/>
      <c r="F39" s="38">
        <v>3.6040000000000003E-2</v>
      </c>
      <c r="G39" s="39"/>
      <c r="H39" s="38">
        <v>5.3106300000000002E-2</v>
      </c>
      <c r="I39" s="39"/>
      <c r="J39" s="38">
        <v>3.6740000000000002E-2</v>
      </c>
      <c r="K39" s="39"/>
      <c r="L39" s="38">
        <v>5.7706300000000002E-2</v>
      </c>
      <c r="M39" s="39"/>
      <c r="N39" s="38">
        <v>4.0939999999999997E-2</v>
      </c>
      <c r="O39" s="39"/>
      <c r="P39" s="38"/>
      <c r="Q39" s="146"/>
      <c r="R39" s="39"/>
      <c r="S39" s="25"/>
      <c r="T39" s="5"/>
    </row>
    <row r="40" spans="1:20" ht="15.6" x14ac:dyDescent="0.3">
      <c r="A40" s="24"/>
      <c r="B40" s="25" t="s">
        <v>14</v>
      </c>
      <c r="C40" s="25"/>
      <c r="D40" s="38">
        <v>4.80031E-2</v>
      </c>
      <c r="E40" s="25"/>
      <c r="F40" s="38">
        <v>3.2000000000000001E-2</v>
      </c>
      <c r="G40" s="39"/>
      <c r="H40" s="38">
        <v>4.8803100000000002E-2</v>
      </c>
      <c r="I40" s="39"/>
      <c r="J40" s="38">
        <v>3.27E-2</v>
      </c>
      <c r="K40" s="39"/>
      <c r="L40" s="38">
        <v>5.3403100000000002E-2</v>
      </c>
      <c r="M40" s="39"/>
      <c r="N40" s="38">
        <v>3.6900000000000002E-2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5.23063E-2</v>
      </c>
      <c r="E42" s="25"/>
      <c r="F42" s="38">
        <v>5.2519299999999998E-2</v>
      </c>
      <c r="G42" s="39"/>
      <c r="H42" s="38">
        <f>+H39</f>
        <v>5.3106300000000002E-2</v>
      </c>
      <c r="I42" s="39"/>
      <c r="J42" s="38">
        <v>5.3504299999999998E-2</v>
      </c>
      <c r="K42" s="39"/>
      <c r="L42" s="38">
        <f>+L39</f>
        <v>5.7706300000000002E-2</v>
      </c>
      <c r="M42" s="39"/>
      <c r="N42" s="38">
        <v>5.8083299999999997E-2</v>
      </c>
      <c r="O42" s="39"/>
      <c r="P42" s="38"/>
      <c r="Q42" s="146"/>
      <c r="R42" s="39">
        <f>SUMPRODUCT(D42:N42,D34:N34)/R34</f>
        <v>5.3800884979475834E-2</v>
      </c>
      <c r="S42" s="25"/>
      <c r="T42" s="5"/>
    </row>
    <row r="43" spans="1:20" ht="15.6" x14ac:dyDescent="0.3">
      <c r="A43" s="24"/>
      <c r="B43" s="25" t="s">
        <v>290</v>
      </c>
      <c r="C43" s="25"/>
      <c r="D43" s="38">
        <f>+D40</f>
        <v>4.80031E-2</v>
      </c>
      <c r="E43" s="25"/>
      <c r="F43" s="38">
        <v>4.8216099999999998E-2</v>
      </c>
      <c r="G43" s="39"/>
      <c r="H43" s="38">
        <f>+H40</f>
        <v>4.8803100000000002E-2</v>
      </c>
      <c r="I43" s="39"/>
      <c r="J43" s="38">
        <v>4.9201099999999998E-2</v>
      </c>
      <c r="K43" s="39"/>
      <c r="L43" s="38">
        <f>+L40</f>
        <v>5.3403100000000002E-2</v>
      </c>
      <c r="M43" s="39"/>
      <c r="N43" s="38">
        <v>5.3780099999999997E-2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0.15022699599548908</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39097</v>
      </c>
      <c r="S54" s="25"/>
      <c r="T54" s="5"/>
    </row>
    <row r="55" spans="1:21" ht="15.6" x14ac:dyDescent="0.3">
      <c r="A55" s="24"/>
      <c r="B55" s="25" t="s">
        <v>140</v>
      </c>
      <c r="C55" s="25"/>
      <c r="D55" s="25"/>
      <c r="E55" s="25"/>
      <c r="F55" s="25"/>
      <c r="G55" s="25"/>
      <c r="H55" s="58"/>
      <c r="I55" s="58"/>
      <c r="J55" s="58"/>
      <c r="K55" s="58"/>
      <c r="L55" s="58"/>
      <c r="M55" s="58"/>
      <c r="N55" s="25">
        <f>+R55-P55+1</f>
        <v>91</v>
      </c>
      <c r="O55" s="58"/>
      <c r="P55" s="45">
        <v>38915</v>
      </c>
      <c r="Q55" s="46"/>
      <c r="R55" s="45">
        <v>39005</v>
      </c>
      <c r="S55" s="25"/>
      <c r="T55" s="5"/>
    </row>
    <row r="56" spans="1:21" ht="15.6" x14ac:dyDescent="0.3">
      <c r="A56" s="24"/>
      <c r="B56" s="25" t="s">
        <v>141</v>
      </c>
      <c r="C56" s="25"/>
      <c r="D56" s="25"/>
      <c r="E56" s="25"/>
      <c r="F56" s="25"/>
      <c r="G56" s="25"/>
      <c r="H56" s="25"/>
      <c r="I56" s="25"/>
      <c r="J56" s="25"/>
      <c r="K56" s="25"/>
      <c r="L56" s="25"/>
      <c r="M56" s="25"/>
      <c r="N56" s="25">
        <f>+R56-P56+1</f>
        <v>91</v>
      </c>
      <c r="O56" s="25"/>
      <c r="P56" s="45">
        <v>39006</v>
      </c>
      <c r="Q56" s="46"/>
      <c r="R56" s="45">
        <v>39096</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39084</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266</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794615</v>
      </c>
      <c r="K67" s="34"/>
      <c r="L67" s="34">
        <f>28956+4857+611</f>
        <v>34424</v>
      </c>
      <c r="M67" s="34"/>
      <c r="N67" s="34">
        <f>4857+611</f>
        <v>5468</v>
      </c>
      <c r="O67" s="34"/>
      <c r="P67" s="34">
        <v>0</v>
      </c>
      <c r="Q67" s="34"/>
      <c r="R67" s="53">
        <f>+J67-L67+N67-P67</f>
        <v>765659</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794615</v>
      </c>
      <c r="K70" s="34"/>
      <c r="L70" s="34">
        <f>SUM(L67:L69)</f>
        <v>34424</v>
      </c>
      <c r="M70" s="34"/>
      <c r="N70" s="34">
        <f>SUM(N67:N69)</f>
        <v>5468</v>
      </c>
      <c r="O70" s="34"/>
      <c r="P70" s="34">
        <f>SUM(P67:P69)</f>
        <v>0</v>
      </c>
      <c r="Q70" s="34"/>
      <c r="R70" s="54">
        <f>SUM(R67:R69)</f>
        <v>765659</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794615</v>
      </c>
      <c r="K83" s="34"/>
      <c r="L83" s="34"/>
      <c r="M83" s="34"/>
      <c r="N83" s="34"/>
      <c r="O83" s="34"/>
      <c r="P83" s="54"/>
      <c r="Q83" s="34"/>
      <c r="R83" s="54">
        <f>SUM(R70:R82)</f>
        <v>765659</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+P187</f>
        <v>39080</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34424-19</f>
        <v>34405</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11384+2080-1252-378+24</f>
        <v>11858</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490+139</f>
        <v>629</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508</v>
      </c>
      <c r="S91" s="25"/>
      <c r="T91" s="5"/>
    </row>
    <row r="92" spans="1:20" ht="15.6" x14ac:dyDescent="0.3">
      <c r="A92" s="24"/>
      <c r="B92" s="25" t="s">
        <v>154</v>
      </c>
      <c r="C92" s="25"/>
      <c r="D92" s="25"/>
      <c r="E92" s="25"/>
      <c r="F92" s="25"/>
      <c r="G92" s="25"/>
      <c r="H92" s="25"/>
      <c r="I92" s="25"/>
      <c r="J92" s="25"/>
      <c r="K92" s="25"/>
      <c r="L92" s="25"/>
      <c r="M92" s="25"/>
      <c r="N92" s="25"/>
      <c r="O92" s="25"/>
      <c r="P92" s="34"/>
      <c r="Q92" s="25"/>
      <c r="R92" s="53">
        <v>0</v>
      </c>
      <c r="S92" s="25"/>
      <c r="T92" s="5"/>
    </row>
    <row r="93" spans="1:20" ht="15.6" x14ac:dyDescent="0.3">
      <c r="A93" s="24"/>
      <c r="B93" s="25" t="s">
        <v>199</v>
      </c>
      <c r="C93" s="25"/>
      <c r="D93" s="25"/>
      <c r="E93" s="25"/>
      <c r="F93" s="25"/>
      <c r="G93" s="25"/>
      <c r="H93" s="25"/>
      <c r="I93" s="25"/>
      <c r="J93" s="25"/>
      <c r="K93" s="25"/>
      <c r="L93" s="25"/>
      <c r="M93" s="25"/>
      <c r="N93" s="25"/>
      <c r="O93" s="25"/>
      <c r="P93" s="34"/>
      <c r="Q93" s="25"/>
      <c r="R93" s="53">
        <v>862</v>
      </c>
      <c r="S93" s="25"/>
      <c r="T93" s="5"/>
    </row>
    <row r="94" spans="1:20" ht="15.6" x14ac:dyDescent="0.3">
      <c r="A94" s="24"/>
      <c r="B94" s="25" t="s">
        <v>35</v>
      </c>
      <c r="C94" s="25"/>
      <c r="D94" s="25"/>
      <c r="E94" s="25"/>
      <c r="F94" s="25"/>
      <c r="G94" s="25"/>
      <c r="H94" s="25"/>
      <c r="I94" s="25"/>
      <c r="J94" s="25"/>
      <c r="K94" s="25"/>
      <c r="L94" s="25"/>
      <c r="M94" s="25"/>
      <c r="N94" s="25"/>
      <c r="O94" s="25"/>
      <c r="P94" s="34">
        <f>SUM(P87:P93)</f>
        <v>34405</v>
      </c>
      <c r="Q94" s="25"/>
      <c r="R94" s="54">
        <f>SUM(R87:R93)</f>
        <v>13857</v>
      </c>
      <c r="S94" s="25"/>
      <c r="T94" s="5"/>
    </row>
    <row r="95" spans="1:20" ht="15.6" x14ac:dyDescent="0.3">
      <c r="A95" s="24"/>
      <c r="B95" s="25" t="s">
        <v>235</v>
      </c>
      <c r="C95" s="25"/>
      <c r="D95" s="25"/>
      <c r="E95" s="25"/>
      <c r="F95" s="25"/>
      <c r="G95" s="25"/>
      <c r="H95" s="25"/>
      <c r="I95" s="25"/>
      <c r="J95" s="25"/>
      <c r="K95" s="25"/>
      <c r="L95" s="25"/>
      <c r="M95" s="25"/>
      <c r="N95" s="25"/>
      <c r="O95" s="25"/>
      <c r="P95" s="34">
        <v>-29</v>
      </c>
      <c r="Q95" s="25"/>
      <c r="R95" s="54">
        <f>-P95</f>
        <v>29</v>
      </c>
      <c r="S95" s="25"/>
      <c r="T95" s="5"/>
    </row>
    <row r="96" spans="1:20" ht="15.6" x14ac:dyDescent="0.3">
      <c r="A96" s="24"/>
      <c r="B96" s="25" t="s">
        <v>36</v>
      </c>
      <c r="C96" s="25"/>
      <c r="D96" s="25"/>
      <c r="E96" s="25"/>
      <c r="F96" s="25"/>
      <c r="G96" s="25"/>
      <c r="H96" s="25"/>
      <c r="I96" s="25"/>
      <c r="J96" s="25"/>
      <c r="K96" s="25"/>
      <c r="L96" s="25"/>
      <c r="M96" s="25"/>
      <c r="N96" s="25"/>
      <c r="O96" s="25"/>
      <c r="P96" s="34">
        <f>-R96</f>
        <v>0</v>
      </c>
      <c r="Q96" s="25"/>
      <c r="R96" s="53">
        <v>0</v>
      </c>
      <c r="S96" s="25"/>
      <c r="T96" s="5"/>
    </row>
    <row r="97" spans="1:21" ht="15.6" x14ac:dyDescent="0.3">
      <c r="A97" s="24"/>
      <c r="B97" s="25" t="s">
        <v>37</v>
      </c>
      <c r="C97" s="25"/>
      <c r="D97" s="25"/>
      <c r="E97" s="25"/>
      <c r="F97" s="25"/>
      <c r="G97" s="25"/>
      <c r="H97" s="25"/>
      <c r="I97" s="25"/>
      <c r="J97" s="25"/>
      <c r="K97" s="25"/>
      <c r="L97" s="25"/>
      <c r="M97" s="25"/>
      <c r="N97" s="25"/>
      <c r="O97" s="25"/>
      <c r="P97" s="34">
        <f>P94+P96+P95</f>
        <v>34376</v>
      </c>
      <c r="Q97" s="25"/>
      <c r="R97" s="54">
        <f>R94+R96+R95</f>
        <v>13886</v>
      </c>
      <c r="S97" s="25"/>
      <c r="T97" s="5"/>
    </row>
    <row r="98" spans="1:21" ht="15.6" x14ac:dyDescent="0.3">
      <c r="A98" s="24"/>
      <c r="B98" s="119" t="s">
        <v>38</v>
      </c>
      <c r="C98" s="25"/>
      <c r="D98" s="25"/>
      <c r="E98" s="25"/>
      <c r="F98" s="25"/>
      <c r="G98" s="25"/>
      <c r="H98" s="25"/>
      <c r="I98" s="25"/>
      <c r="J98" s="25"/>
      <c r="K98" s="25"/>
      <c r="L98" s="25"/>
      <c r="M98" s="25"/>
      <c r="N98" s="25"/>
      <c r="O98" s="25"/>
      <c r="P98" s="34"/>
      <c r="Q98" s="25"/>
      <c r="R98" s="53"/>
      <c r="S98" s="25"/>
      <c r="T98" s="5"/>
    </row>
    <row r="99" spans="1:21" ht="15.6" x14ac:dyDescent="0.3">
      <c r="A99" s="24">
        <v>1</v>
      </c>
      <c r="B99" s="25" t="s">
        <v>39</v>
      </c>
      <c r="C99" s="25"/>
      <c r="D99" s="25"/>
      <c r="E99" s="25"/>
      <c r="F99" s="25"/>
      <c r="G99" s="25"/>
      <c r="H99" s="25"/>
      <c r="I99" s="25"/>
      <c r="J99" s="25"/>
      <c r="K99" s="25"/>
      <c r="L99" s="25"/>
      <c r="M99" s="25"/>
      <c r="N99" s="25"/>
      <c r="O99" s="25"/>
      <c r="P99" s="25"/>
      <c r="Q99" s="25"/>
      <c r="R99" s="53">
        <v>0</v>
      </c>
      <c r="S99" s="25"/>
      <c r="T99" s="5"/>
    </row>
    <row r="100" spans="1:21" ht="15.6" x14ac:dyDescent="0.3">
      <c r="A100" s="24">
        <f>+A99+1</f>
        <v>2</v>
      </c>
      <c r="B100" s="25" t="s">
        <v>40</v>
      </c>
      <c r="C100" s="25"/>
      <c r="D100" s="25"/>
      <c r="E100" s="25"/>
      <c r="F100" s="25"/>
      <c r="G100" s="25"/>
      <c r="H100" s="25"/>
      <c r="I100" s="25"/>
      <c r="J100" s="25"/>
      <c r="K100" s="25"/>
      <c r="L100" s="25"/>
      <c r="M100" s="25"/>
      <c r="N100" s="25"/>
      <c r="O100" s="25"/>
      <c r="P100" s="25"/>
      <c r="Q100" s="25"/>
      <c r="R100" s="53">
        <v>-2</v>
      </c>
      <c r="S100" s="25"/>
      <c r="T100" s="5"/>
    </row>
    <row r="101" spans="1:21" ht="15.6" x14ac:dyDescent="0.3">
      <c r="A101" s="24">
        <f>+A100+1</f>
        <v>3</v>
      </c>
      <c r="B101" s="25" t="s">
        <v>174</v>
      </c>
      <c r="C101" s="25"/>
      <c r="D101" s="25"/>
      <c r="E101" s="25"/>
      <c r="F101" s="25"/>
      <c r="G101" s="25"/>
      <c r="H101" s="25"/>
      <c r="I101" s="25"/>
      <c r="J101" s="25"/>
      <c r="K101" s="25"/>
      <c r="L101" s="25"/>
      <c r="M101" s="25"/>
      <c r="N101" s="25"/>
      <c r="O101" s="25"/>
      <c r="P101" s="25"/>
      <c r="Q101" s="25"/>
      <c r="R101" s="53">
        <f>-199-33-10</f>
        <v>-242</v>
      </c>
      <c r="S101" s="25"/>
      <c r="T101" s="5"/>
    </row>
    <row r="102" spans="1:21" ht="15.6" x14ac:dyDescent="0.3">
      <c r="A102" s="24" t="s">
        <v>146</v>
      </c>
      <c r="B102" s="25" t="s">
        <v>131</v>
      </c>
      <c r="C102" s="25"/>
      <c r="D102" s="25"/>
      <c r="E102" s="25"/>
      <c r="F102" s="25"/>
      <c r="G102" s="25"/>
      <c r="H102" s="25"/>
      <c r="I102" s="25"/>
      <c r="J102" s="25"/>
      <c r="K102" s="25"/>
      <c r="L102" s="25"/>
      <c r="M102" s="25"/>
      <c r="N102" s="25"/>
      <c r="O102" s="25"/>
      <c r="P102" s="25"/>
      <c r="Q102" s="25"/>
      <c r="R102" s="53">
        <v>-20</v>
      </c>
      <c r="S102" s="25"/>
      <c r="T102" s="5"/>
    </row>
    <row r="103" spans="1:21" ht="15.6" x14ac:dyDescent="0.3">
      <c r="A103" s="24" t="s">
        <v>147</v>
      </c>
      <c r="B103" s="25" t="s">
        <v>218</v>
      </c>
      <c r="C103" s="25"/>
      <c r="D103" s="25"/>
      <c r="E103" s="25"/>
      <c r="F103" s="25"/>
      <c r="G103" s="25"/>
      <c r="H103" s="25"/>
      <c r="I103" s="25"/>
      <c r="J103" s="25"/>
      <c r="K103" s="25"/>
      <c r="L103" s="25"/>
      <c r="M103" s="25"/>
      <c r="N103" s="25"/>
      <c r="O103" s="25"/>
      <c r="P103" s="25"/>
      <c r="Q103" s="25"/>
      <c r="R103" s="53">
        <v>-2</v>
      </c>
      <c r="S103" s="25"/>
      <c r="T103" s="5"/>
    </row>
    <row r="104" spans="1:21" ht="15.6" x14ac:dyDescent="0.3">
      <c r="A104" s="24" t="s">
        <v>176</v>
      </c>
      <c r="B104" s="25" t="s">
        <v>230</v>
      </c>
      <c r="C104" s="25"/>
      <c r="D104" s="25"/>
      <c r="E104" s="25"/>
      <c r="F104" s="25"/>
      <c r="G104" s="25"/>
      <c r="H104" s="25"/>
      <c r="I104" s="25"/>
      <c r="J104" s="25"/>
      <c r="K104" s="25"/>
      <c r="L104" s="25"/>
      <c r="M104" s="25"/>
      <c r="N104" s="25"/>
      <c r="O104" s="25"/>
      <c r="P104" s="25"/>
      <c r="Q104" s="25"/>
      <c r="R104" s="53">
        <v>-174</v>
      </c>
      <c r="S104" s="25"/>
      <c r="T104" s="5"/>
      <c r="U104" s="110"/>
    </row>
    <row r="105" spans="1:21" ht="15.6" x14ac:dyDescent="0.3">
      <c r="A105" s="24" t="s">
        <v>177</v>
      </c>
      <c r="B105" s="25" t="s">
        <v>231</v>
      </c>
      <c r="C105" s="25"/>
      <c r="D105" s="25"/>
      <c r="E105" s="25"/>
      <c r="F105" s="25"/>
      <c r="G105" s="25"/>
      <c r="H105" s="25"/>
      <c r="I105" s="25"/>
      <c r="J105" s="25"/>
      <c r="K105" s="25"/>
      <c r="L105" s="25"/>
      <c r="M105" s="25"/>
      <c r="N105" s="25"/>
      <c r="O105" s="25"/>
      <c r="P105" s="25"/>
      <c r="Q105" s="25"/>
      <c r="R105" s="53">
        <v>-803</v>
      </c>
      <c r="S105" s="25"/>
      <c r="T105" s="5"/>
      <c r="U105" s="110"/>
    </row>
    <row r="106" spans="1:21" ht="15.6" x14ac:dyDescent="0.3">
      <c r="A106" s="24" t="s">
        <v>248</v>
      </c>
      <c r="B106" s="25" t="s">
        <v>232</v>
      </c>
      <c r="C106" s="25"/>
      <c r="D106" s="25"/>
      <c r="E106" s="25"/>
      <c r="F106" s="25"/>
      <c r="G106" s="25"/>
      <c r="H106" s="25"/>
      <c r="I106" s="25"/>
      <c r="J106" s="25"/>
      <c r="K106" s="25"/>
      <c r="L106" s="25"/>
      <c r="M106" s="25"/>
      <c r="N106" s="25"/>
      <c r="O106" s="25"/>
      <c r="P106" s="25"/>
      <c r="Q106" s="25"/>
      <c r="R106" s="53">
        <v>-4038</v>
      </c>
      <c r="S106" s="25"/>
      <c r="T106" s="5"/>
    </row>
    <row r="107" spans="1:21" ht="15.6" x14ac:dyDescent="0.3">
      <c r="A107" s="24" t="s">
        <v>205</v>
      </c>
      <c r="B107" s="25" t="s">
        <v>233</v>
      </c>
      <c r="C107" s="25"/>
      <c r="D107" s="25"/>
      <c r="E107" s="25"/>
      <c r="F107" s="25"/>
      <c r="G107" s="25"/>
      <c r="H107" s="25"/>
      <c r="I107" s="25"/>
      <c r="J107" s="25"/>
      <c r="K107" s="25"/>
      <c r="L107" s="25"/>
      <c r="M107" s="25"/>
      <c r="N107" s="25"/>
      <c r="O107" s="25"/>
      <c r="P107" s="25"/>
      <c r="Q107" s="25"/>
      <c r="R107" s="53">
        <v>-4201</v>
      </c>
      <c r="S107" s="25"/>
      <c r="T107" s="5"/>
      <c r="U107" s="110"/>
    </row>
    <row r="108" spans="1:21" ht="15.6" x14ac:dyDescent="0.3">
      <c r="A108" s="24" t="s">
        <v>249</v>
      </c>
      <c r="B108" s="25" t="s">
        <v>234</v>
      </c>
      <c r="C108" s="25"/>
      <c r="D108" s="25"/>
      <c r="E108" s="25"/>
      <c r="F108" s="25"/>
      <c r="G108" s="25"/>
      <c r="H108" s="25"/>
      <c r="I108" s="25"/>
      <c r="J108" s="25"/>
      <c r="K108" s="25"/>
      <c r="L108" s="25"/>
      <c r="M108" s="25"/>
      <c r="N108" s="25"/>
      <c r="O108" s="25"/>
      <c r="P108" s="25"/>
      <c r="Q108" s="25"/>
      <c r="R108" s="53">
        <v>-935</v>
      </c>
      <c r="S108" s="25"/>
      <c r="T108" s="5"/>
      <c r="U108" s="110"/>
    </row>
    <row r="109" spans="1:21" ht="15.6" x14ac:dyDescent="0.3">
      <c r="A109" s="24" t="s">
        <v>250</v>
      </c>
      <c r="B109" s="25" t="s">
        <v>168</v>
      </c>
      <c r="C109" s="25"/>
      <c r="D109" s="25"/>
      <c r="E109" s="25"/>
      <c r="F109" s="25"/>
      <c r="G109" s="25"/>
      <c r="H109" s="25"/>
      <c r="I109" s="25"/>
      <c r="J109" s="25"/>
      <c r="K109" s="25"/>
      <c r="L109" s="25"/>
      <c r="M109" s="25"/>
      <c r="N109" s="25"/>
      <c r="O109" s="25"/>
      <c r="P109" s="25"/>
      <c r="Q109" s="25"/>
      <c r="R109" s="53">
        <v>-507</v>
      </c>
      <c r="S109" s="25"/>
      <c r="T109" s="5"/>
    </row>
    <row r="110" spans="1:21" ht="15.6" x14ac:dyDescent="0.3">
      <c r="A110" s="24">
        <v>6</v>
      </c>
      <c r="B110" s="25" t="s">
        <v>41</v>
      </c>
      <c r="C110" s="25"/>
      <c r="D110" s="25"/>
      <c r="E110" s="25"/>
      <c r="F110" s="25"/>
      <c r="G110" s="25"/>
      <c r="H110" s="25"/>
      <c r="I110" s="25"/>
      <c r="J110" s="25"/>
      <c r="K110" s="25"/>
      <c r="L110" s="25"/>
      <c r="M110" s="25"/>
      <c r="N110" s="25"/>
      <c r="O110" s="25"/>
      <c r="P110" s="25"/>
      <c r="Q110" s="25"/>
      <c r="R110" s="53">
        <v>-8</v>
      </c>
      <c r="S110" s="25"/>
      <c r="T110" s="5"/>
    </row>
    <row r="111" spans="1:21" ht="15.6" x14ac:dyDescent="0.3">
      <c r="A111" s="24">
        <f t="shared" ref="A111:A116" si="0">+A110+1</f>
        <v>7</v>
      </c>
      <c r="B111" s="25" t="s">
        <v>53</v>
      </c>
      <c r="C111" s="25"/>
      <c r="D111" s="25"/>
      <c r="E111" s="25"/>
      <c r="F111" s="25"/>
      <c r="G111" s="25"/>
      <c r="H111" s="25"/>
      <c r="I111" s="25"/>
      <c r="J111" s="25"/>
      <c r="K111" s="25"/>
      <c r="L111" s="25"/>
      <c r="M111" s="25"/>
      <c r="N111" s="25"/>
      <c r="O111" s="25"/>
      <c r="P111" s="34">
        <f>-R111</f>
        <v>19</v>
      </c>
      <c r="Q111" s="25"/>
      <c r="R111" s="53">
        <v>-19</v>
      </c>
      <c r="S111" s="25"/>
      <c r="T111" s="5"/>
    </row>
    <row r="112" spans="1:21" ht="15.6" x14ac:dyDescent="0.3">
      <c r="A112" s="24">
        <f t="shared" si="0"/>
        <v>8</v>
      </c>
      <c r="B112" s="25" t="s">
        <v>144</v>
      </c>
      <c r="C112" s="25"/>
      <c r="D112" s="25"/>
      <c r="E112" s="25"/>
      <c r="F112" s="25"/>
      <c r="G112" s="25"/>
      <c r="H112" s="25"/>
      <c r="I112" s="25"/>
      <c r="J112" s="25"/>
      <c r="K112" s="25"/>
      <c r="L112" s="25"/>
      <c r="M112" s="25"/>
      <c r="N112" s="25"/>
      <c r="O112" s="25"/>
      <c r="P112" s="25"/>
      <c r="Q112" s="25"/>
      <c r="R112" s="53">
        <v>0</v>
      </c>
      <c r="S112" s="25"/>
      <c r="T112" s="5"/>
    </row>
    <row r="113" spans="1:20" ht="15.6" x14ac:dyDescent="0.3">
      <c r="A113" s="24">
        <f t="shared" si="0"/>
        <v>9</v>
      </c>
      <c r="B113" s="25" t="s">
        <v>42</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10</v>
      </c>
      <c r="B114" s="25" t="s">
        <v>43</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11</v>
      </c>
      <c r="B115" s="25" t="s">
        <v>175</v>
      </c>
      <c r="C115" s="25"/>
      <c r="D115" s="25"/>
      <c r="E115" s="25"/>
      <c r="F115" s="25"/>
      <c r="G115" s="25"/>
      <c r="H115" s="25"/>
      <c r="I115" s="25"/>
      <c r="J115" s="25"/>
      <c r="K115" s="25"/>
      <c r="L115" s="25"/>
      <c r="M115" s="25"/>
      <c r="N115" s="25"/>
      <c r="O115" s="25"/>
      <c r="P115" s="25"/>
      <c r="Q115" s="25"/>
      <c r="R115" s="53">
        <v>-403</v>
      </c>
      <c r="S115" s="25"/>
      <c r="T115" s="5"/>
    </row>
    <row r="116" spans="1:20" ht="15.6" x14ac:dyDescent="0.3">
      <c r="A116" s="24">
        <f t="shared" si="0"/>
        <v>12</v>
      </c>
      <c r="B116" s="25" t="s">
        <v>145</v>
      </c>
      <c r="C116" s="25"/>
      <c r="D116" s="25"/>
      <c r="E116" s="25"/>
      <c r="F116" s="25"/>
      <c r="G116" s="25"/>
      <c r="H116" s="25"/>
      <c r="I116" s="25"/>
      <c r="J116" s="25"/>
      <c r="K116" s="25"/>
      <c r="L116" s="25"/>
      <c r="M116" s="25"/>
      <c r="N116" s="25"/>
      <c r="O116" s="25"/>
      <c r="P116" s="25"/>
      <c r="Q116" s="25"/>
      <c r="R116" s="53">
        <f>-R97-SUM(R99:R115)</f>
        <v>-2532</v>
      </c>
      <c r="S116" s="25"/>
      <c r="T116" s="5"/>
    </row>
    <row r="117" spans="1:20" ht="15.6" x14ac:dyDescent="0.3">
      <c r="A117" s="24"/>
      <c r="B117" s="119" t="s">
        <v>44</v>
      </c>
      <c r="C117" s="25"/>
      <c r="D117" s="25"/>
      <c r="E117" s="25"/>
      <c r="F117" s="25"/>
      <c r="G117" s="25"/>
      <c r="H117" s="25"/>
      <c r="I117" s="25"/>
      <c r="J117" s="25"/>
      <c r="K117" s="25"/>
      <c r="L117" s="25"/>
      <c r="M117" s="25"/>
      <c r="N117" s="25"/>
      <c r="O117" s="25"/>
      <c r="P117" s="25"/>
      <c r="Q117" s="25"/>
      <c r="R117" s="59"/>
      <c r="S117" s="25"/>
      <c r="T117" s="5"/>
    </row>
    <row r="118" spans="1:20" ht="15.6" x14ac:dyDescent="0.3">
      <c r="A118" s="24"/>
      <c r="B118" s="25" t="s">
        <v>45</v>
      </c>
      <c r="C118" s="25"/>
      <c r="D118" s="25"/>
      <c r="E118" s="25"/>
      <c r="F118" s="25"/>
      <c r="G118" s="25"/>
      <c r="H118" s="25"/>
      <c r="I118" s="25"/>
      <c r="J118" s="25"/>
      <c r="K118" s="25"/>
      <c r="L118" s="25"/>
      <c r="M118" s="25"/>
      <c r="N118" s="25"/>
      <c r="O118" s="25"/>
      <c r="P118" s="34">
        <v>-351</v>
      </c>
      <c r="Q118" s="34"/>
      <c r="R118" s="53"/>
      <c r="S118" s="25"/>
      <c r="T118" s="5"/>
    </row>
    <row r="119" spans="1:20" ht="15.6" x14ac:dyDescent="0.3">
      <c r="A119" s="24"/>
      <c r="B119" s="25" t="s">
        <v>46</v>
      </c>
      <c r="C119" s="25"/>
      <c r="D119" s="25"/>
      <c r="E119" s="25"/>
      <c r="F119" s="25"/>
      <c r="G119" s="25"/>
      <c r="H119" s="25"/>
      <c r="I119" s="25"/>
      <c r="J119" s="25"/>
      <c r="K119" s="25"/>
      <c r="L119" s="25"/>
      <c r="M119" s="25"/>
      <c r="N119" s="25"/>
      <c r="O119" s="25"/>
      <c r="P119" s="34">
        <f>-O173</f>
        <v>-5088</v>
      </c>
      <c r="Q119" s="34"/>
      <c r="R119" s="53"/>
      <c r="S119" s="25"/>
      <c r="T119" s="5"/>
    </row>
    <row r="120" spans="1:20" ht="15.6" x14ac:dyDescent="0.3">
      <c r="A120" s="24"/>
      <c r="B120" s="25" t="s">
        <v>219</v>
      </c>
      <c r="C120" s="25"/>
      <c r="D120" s="25"/>
      <c r="E120" s="25"/>
      <c r="F120" s="25"/>
      <c r="G120" s="25"/>
      <c r="H120" s="25"/>
      <c r="I120" s="25"/>
      <c r="J120" s="25"/>
      <c r="K120" s="25"/>
      <c r="L120" s="25"/>
      <c r="M120" s="25"/>
      <c r="N120" s="25"/>
      <c r="O120" s="25"/>
      <c r="P120" s="34">
        <v>-5171</v>
      </c>
      <c r="Q120" s="34"/>
      <c r="R120" s="53"/>
      <c r="S120" s="25"/>
      <c r="T120" s="5"/>
    </row>
    <row r="121" spans="1:20" ht="15.6" x14ac:dyDescent="0.3">
      <c r="A121" s="24"/>
      <c r="B121" s="25" t="s">
        <v>220</v>
      </c>
      <c r="C121" s="25"/>
      <c r="D121" s="25"/>
      <c r="E121" s="25"/>
      <c r="F121" s="25"/>
      <c r="G121" s="25"/>
      <c r="H121" s="25"/>
      <c r="I121" s="25"/>
      <c r="J121" s="25"/>
      <c r="K121" s="25"/>
      <c r="L121" s="25"/>
      <c r="M121" s="25"/>
      <c r="N121" s="25"/>
      <c r="O121" s="25"/>
      <c r="P121" s="34">
        <v>-23785</v>
      </c>
      <c r="Q121" s="34"/>
      <c r="R121" s="53"/>
      <c r="S121" s="25"/>
      <c r="T121" s="5"/>
    </row>
    <row r="122" spans="1:20" ht="15.6" x14ac:dyDescent="0.3">
      <c r="A122" s="24"/>
      <c r="B122" s="25" t="s">
        <v>221</v>
      </c>
      <c r="C122" s="25"/>
      <c r="D122" s="25"/>
      <c r="E122" s="25"/>
      <c r="F122" s="25"/>
      <c r="G122" s="25"/>
      <c r="H122" s="25"/>
      <c r="I122" s="25"/>
      <c r="J122" s="25"/>
      <c r="K122" s="25"/>
      <c r="L122" s="25"/>
      <c r="M122" s="25"/>
      <c r="N122" s="25"/>
      <c r="O122" s="25"/>
      <c r="P122" s="34">
        <v>0</v>
      </c>
      <c r="Q122" s="34"/>
      <c r="R122" s="53"/>
      <c r="S122" s="25"/>
      <c r="T122" s="5"/>
    </row>
    <row r="123" spans="1:20" ht="15.6" x14ac:dyDescent="0.3">
      <c r="A123" s="24"/>
      <c r="B123" s="25" t="s">
        <v>222</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223</v>
      </c>
      <c r="C124" s="25"/>
      <c r="D124" s="25"/>
      <c r="E124" s="25"/>
      <c r="F124" s="25"/>
      <c r="G124" s="25"/>
      <c r="H124" s="25"/>
      <c r="I124" s="25"/>
      <c r="J124" s="25"/>
      <c r="K124" s="25"/>
      <c r="L124" s="25"/>
      <c r="M124" s="25"/>
      <c r="N124" s="25"/>
      <c r="O124" s="25"/>
      <c r="P124" s="34">
        <v>0</v>
      </c>
      <c r="Q124" s="34"/>
      <c r="R124" s="53"/>
      <c r="S124" s="25"/>
      <c r="T124" s="5"/>
    </row>
    <row r="125" spans="1:20" ht="15.6" x14ac:dyDescent="0.3">
      <c r="A125" s="24"/>
      <c r="B125" s="25" t="s">
        <v>173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47</v>
      </c>
      <c r="C126" s="25"/>
      <c r="D126" s="25"/>
      <c r="E126" s="25"/>
      <c r="F126" s="25"/>
      <c r="G126" s="25"/>
      <c r="H126" s="25"/>
      <c r="I126" s="25"/>
      <c r="J126" s="25"/>
      <c r="K126" s="25"/>
      <c r="L126" s="25"/>
      <c r="M126" s="25"/>
      <c r="N126" s="25"/>
      <c r="O126" s="25"/>
      <c r="P126" s="34">
        <f>SUM(P118:P125)</f>
        <v>-34395</v>
      </c>
      <c r="Q126" s="34"/>
      <c r="R126" s="34">
        <f>SUM(R98:R125)</f>
        <v>-13886</v>
      </c>
      <c r="S126" s="25"/>
      <c r="T126" s="5"/>
    </row>
    <row r="127" spans="1:20" ht="15.6" x14ac:dyDescent="0.3">
      <c r="A127" s="24"/>
      <c r="B127" s="25" t="s">
        <v>48</v>
      </c>
      <c r="C127" s="25"/>
      <c r="D127" s="25"/>
      <c r="E127" s="25"/>
      <c r="F127" s="25"/>
      <c r="G127" s="25"/>
      <c r="H127" s="25"/>
      <c r="I127" s="25"/>
      <c r="J127" s="25"/>
      <c r="K127" s="25"/>
      <c r="L127" s="25"/>
      <c r="M127" s="25"/>
      <c r="N127" s="25"/>
      <c r="O127" s="25"/>
      <c r="P127" s="34">
        <f>P97+P126+P111</f>
        <v>0</v>
      </c>
      <c r="Q127" s="34"/>
      <c r="R127" s="34">
        <f>R97+R126</f>
        <v>0</v>
      </c>
      <c r="S127" s="25"/>
      <c r="T127" s="5"/>
    </row>
    <row r="128" spans="1:20" ht="15.6" x14ac:dyDescent="0.3">
      <c r="A128" s="24"/>
      <c r="B128" s="25"/>
      <c r="C128" s="25"/>
      <c r="D128" s="25"/>
      <c r="E128" s="25"/>
      <c r="F128" s="25"/>
      <c r="G128" s="25"/>
      <c r="H128" s="25"/>
      <c r="I128" s="25"/>
      <c r="J128" s="25"/>
      <c r="K128" s="25"/>
      <c r="L128" s="25"/>
      <c r="M128" s="25"/>
      <c r="N128" s="25"/>
      <c r="O128" s="25"/>
      <c r="P128" s="34"/>
      <c r="Q128" s="34"/>
      <c r="R128" s="34"/>
      <c r="S128" s="25"/>
      <c r="T128" s="5"/>
    </row>
    <row r="129" spans="1:21" ht="15.6" x14ac:dyDescent="0.3">
      <c r="A129" s="6"/>
      <c r="B129" s="8"/>
      <c r="C129" s="8"/>
      <c r="D129" s="8"/>
      <c r="E129" s="8"/>
      <c r="F129" s="8"/>
      <c r="G129" s="8"/>
      <c r="H129" s="8"/>
      <c r="I129" s="8"/>
      <c r="J129" s="8"/>
      <c r="K129" s="8"/>
      <c r="L129" s="8"/>
      <c r="M129" s="8"/>
      <c r="N129" s="8"/>
      <c r="O129" s="8"/>
      <c r="P129" s="8"/>
      <c r="Q129" s="8"/>
      <c r="R129" s="52"/>
      <c r="S129" s="8"/>
      <c r="T129" s="5"/>
    </row>
    <row r="130" spans="1:21" ht="18" thickBot="1" x14ac:dyDescent="0.35">
      <c r="A130" s="102"/>
      <c r="B130" s="103" t="str">
        <f>B62</f>
        <v>PM8 INVESTOR REPORT QUARTER ENDING DECEMBER 2006</v>
      </c>
      <c r="C130" s="104"/>
      <c r="D130" s="104"/>
      <c r="E130" s="104"/>
      <c r="F130" s="104"/>
      <c r="G130" s="104"/>
      <c r="H130" s="104"/>
      <c r="I130" s="104"/>
      <c r="J130" s="104"/>
      <c r="K130" s="104"/>
      <c r="L130" s="104"/>
      <c r="M130" s="104"/>
      <c r="N130" s="104"/>
      <c r="O130" s="104"/>
      <c r="P130" s="104"/>
      <c r="Q130" s="104"/>
      <c r="R130" s="107"/>
      <c r="S130" s="106"/>
      <c r="T130" s="5"/>
    </row>
    <row r="131" spans="1:21" ht="15.6" x14ac:dyDescent="0.3">
      <c r="A131" s="2"/>
      <c r="B131" s="60" t="s">
        <v>49</v>
      </c>
      <c r="C131" s="4"/>
      <c r="D131" s="4"/>
      <c r="E131" s="4"/>
      <c r="F131" s="4"/>
      <c r="G131" s="4"/>
      <c r="H131" s="4"/>
      <c r="I131" s="4"/>
      <c r="J131" s="4"/>
      <c r="K131" s="4"/>
      <c r="L131" s="4"/>
      <c r="M131" s="4"/>
      <c r="N131" s="4"/>
      <c r="O131" s="4"/>
      <c r="P131" s="4"/>
      <c r="Q131" s="4"/>
      <c r="R131" s="50"/>
      <c r="S131" s="4"/>
      <c r="T131" s="5"/>
    </row>
    <row r="132" spans="1:21" ht="15.6" x14ac:dyDescent="0.3">
      <c r="A132" s="6"/>
      <c r="B132" s="21"/>
      <c r="C132" s="8"/>
      <c r="D132" s="8"/>
      <c r="E132" s="8"/>
      <c r="F132" s="8"/>
      <c r="G132" s="8"/>
      <c r="H132" s="8"/>
      <c r="I132" s="8"/>
      <c r="J132" s="8"/>
      <c r="K132" s="8"/>
      <c r="L132" s="8"/>
      <c r="M132" s="8"/>
      <c r="N132" s="8"/>
      <c r="O132" s="8"/>
      <c r="P132" s="8"/>
      <c r="Q132" s="8"/>
      <c r="R132" s="52"/>
      <c r="S132" s="8"/>
      <c r="T132" s="5"/>
    </row>
    <row r="133" spans="1:21" ht="15.6" x14ac:dyDescent="0.3">
      <c r="A133" s="6"/>
      <c r="B133" s="120" t="s">
        <v>50</v>
      </c>
      <c r="C133" s="8"/>
      <c r="D133" s="8"/>
      <c r="E133" s="8"/>
      <c r="F133" s="8"/>
      <c r="G133" s="8"/>
      <c r="H133" s="8"/>
      <c r="I133" s="8"/>
      <c r="J133" s="8"/>
      <c r="K133" s="8"/>
      <c r="L133" s="8"/>
      <c r="M133" s="8"/>
      <c r="N133" s="8"/>
      <c r="O133" s="8"/>
      <c r="P133" s="8"/>
      <c r="Q133" s="8"/>
      <c r="R133" s="52"/>
      <c r="S133" s="8"/>
      <c r="T133" s="5"/>
    </row>
    <row r="134" spans="1:21" ht="15.6" x14ac:dyDescent="0.3">
      <c r="A134" s="24"/>
      <c r="B134" s="25" t="s">
        <v>51</v>
      </c>
      <c r="C134" s="25"/>
      <c r="D134" s="25"/>
      <c r="E134" s="25"/>
      <c r="F134" s="25"/>
      <c r="G134" s="25"/>
      <c r="H134" s="25"/>
      <c r="I134" s="25"/>
      <c r="J134" s="25"/>
      <c r="K134" s="25"/>
      <c r="L134" s="25"/>
      <c r="M134" s="25"/>
      <c r="N134" s="25"/>
      <c r="O134" s="25"/>
      <c r="P134" s="25"/>
      <c r="Q134" s="25"/>
      <c r="R134" s="53">
        <f>+R33*0.019</f>
        <v>19000</v>
      </c>
      <c r="S134" s="25"/>
      <c r="T134" s="5"/>
    </row>
    <row r="135" spans="1:21" ht="15.6" x14ac:dyDescent="0.3">
      <c r="A135" s="24"/>
      <c r="B135" s="25" t="s">
        <v>52</v>
      </c>
      <c r="C135" s="25"/>
      <c r="D135" s="25"/>
      <c r="E135" s="25"/>
      <c r="F135" s="25"/>
      <c r="G135" s="25"/>
      <c r="H135" s="25"/>
      <c r="I135" s="25"/>
      <c r="J135" s="25"/>
      <c r="K135" s="25"/>
      <c r="L135" s="25"/>
      <c r="M135" s="25"/>
      <c r="N135" s="25"/>
      <c r="O135" s="25"/>
      <c r="P135" s="25"/>
      <c r="Q135" s="25"/>
      <c r="R135" s="53">
        <v>19000</v>
      </c>
      <c r="S135" s="25"/>
      <c r="T135" s="5"/>
    </row>
    <row r="136" spans="1:21" ht="15.6" x14ac:dyDescent="0.3">
      <c r="A136" s="24"/>
      <c r="B136" s="25" t="s">
        <v>155</v>
      </c>
      <c r="C136" s="25"/>
      <c r="D136" s="25"/>
      <c r="E136" s="25"/>
      <c r="F136" s="25"/>
      <c r="G136" s="25"/>
      <c r="H136" s="25"/>
      <c r="I136" s="25"/>
      <c r="J136" s="25"/>
      <c r="K136" s="25"/>
      <c r="L136" s="25"/>
      <c r="M136" s="25"/>
      <c r="N136" s="25"/>
      <c r="O136" s="25"/>
      <c r="P136" s="25"/>
      <c r="Q136" s="25"/>
      <c r="R136" s="53">
        <v>0</v>
      </c>
      <c r="S136" s="25"/>
      <c r="T136" s="5"/>
    </row>
    <row r="137" spans="1:21" ht="15.6" x14ac:dyDescent="0.3">
      <c r="A137" s="24"/>
      <c r="B137" s="25" t="s">
        <v>142</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143</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53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148</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203</v>
      </c>
      <c r="C141" s="25"/>
      <c r="D141" s="25"/>
      <c r="E141" s="25"/>
      <c r="F141" s="25"/>
      <c r="G141" s="25"/>
      <c r="H141" s="25"/>
      <c r="I141" s="25"/>
      <c r="J141" s="25"/>
      <c r="K141" s="25"/>
      <c r="L141" s="25"/>
      <c r="M141" s="25"/>
      <c r="N141" s="25"/>
      <c r="O141" s="25"/>
      <c r="P141" s="25"/>
      <c r="Q141" s="25"/>
      <c r="R141" s="53">
        <v>0</v>
      </c>
      <c r="S141" s="25"/>
      <c r="T141" s="5"/>
      <c r="U141" s="110"/>
    </row>
    <row r="142" spans="1:21" ht="15.6" x14ac:dyDescent="0.3">
      <c r="A142" s="24"/>
      <c r="B142" s="25" t="s">
        <v>54</v>
      </c>
      <c r="C142" s="25"/>
      <c r="D142" s="25"/>
      <c r="E142" s="25"/>
      <c r="F142" s="25"/>
      <c r="G142" s="25"/>
      <c r="H142" s="25"/>
      <c r="I142" s="25"/>
      <c r="J142" s="25"/>
      <c r="K142" s="25"/>
      <c r="L142" s="25"/>
      <c r="M142" s="25"/>
      <c r="N142" s="25"/>
      <c r="O142" s="25"/>
      <c r="P142" s="25"/>
      <c r="Q142" s="25"/>
      <c r="R142" s="53">
        <f>SUM(R135:R141)</f>
        <v>19000</v>
      </c>
      <c r="S142" s="25"/>
      <c r="T142" s="5"/>
    </row>
    <row r="143" spans="1:21" ht="15.6" x14ac:dyDescent="0.3">
      <c r="A143" s="24"/>
      <c r="B143" s="25"/>
      <c r="C143" s="25"/>
      <c r="D143" s="25"/>
      <c r="E143" s="25"/>
      <c r="F143" s="25"/>
      <c r="G143" s="25"/>
      <c r="H143" s="25"/>
      <c r="I143" s="25"/>
      <c r="J143" s="25"/>
      <c r="K143" s="25"/>
      <c r="L143" s="25"/>
      <c r="M143" s="25"/>
      <c r="N143" s="25"/>
      <c r="O143" s="25"/>
      <c r="P143" s="25"/>
      <c r="Q143" s="25"/>
      <c r="R143" s="53"/>
      <c r="S143" s="25"/>
      <c r="T143" s="5"/>
    </row>
    <row r="144" spans="1:21" ht="15.6" x14ac:dyDescent="0.3">
      <c r="A144" s="24"/>
      <c r="B144" s="141" t="s">
        <v>264</v>
      </c>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25" t="s">
        <v>206</v>
      </c>
      <c r="C145" s="25"/>
      <c r="D145" s="25"/>
      <c r="E145" s="25"/>
      <c r="F145" s="25"/>
      <c r="G145" s="25"/>
      <c r="H145" s="25"/>
      <c r="I145" s="25"/>
      <c r="J145" s="25"/>
      <c r="K145" s="25"/>
      <c r="L145" s="25"/>
      <c r="M145" s="25"/>
      <c r="N145" s="25"/>
      <c r="O145" s="25"/>
      <c r="P145" s="25"/>
      <c r="Q145" s="25"/>
      <c r="R145" s="53">
        <f>+R33*0.005</f>
        <v>5000</v>
      </c>
      <c r="S145" s="25"/>
      <c r="T145" s="5"/>
    </row>
    <row r="146" spans="1:20" ht="15.6" x14ac:dyDescent="0.3">
      <c r="A146" s="24"/>
      <c r="B146" s="25" t="s">
        <v>260</v>
      </c>
      <c r="C146" s="25"/>
      <c r="D146" s="25"/>
      <c r="E146" s="25"/>
      <c r="F146" s="25"/>
      <c r="G146" s="25"/>
      <c r="H146" s="25"/>
      <c r="I146" s="25"/>
      <c r="J146" s="25"/>
      <c r="K146" s="25"/>
      <c r="L146" s="25"/>
      <c r="M146" s="25"/>
      <c r="N146" s="25"/>
      <c r="O146" s="25"/>
      <c r="P146" s="25"/>
      <c r="Q146" s="25"/>
      <c r="R146" s="53">
        <v>0</v>
      </c>
      <c r="S146" s="25"/>
      <c r="T146" s="5"/>
    </row>
    <row r="147" spans="1:20" ht="15.6" x14ac:dyDescent="0.3">
      <c r="A147" s="24"/>
      <c r="B147" s="25" t="s">
        <v>265</v>
      </c>
      <c r="C147" s="25"/>
      <c r="D147" s="25"/>
      <c r="E147" s="25"/>
      <c r="F147" s="25"/>
      <c r="G147" s="25"/>
      <c r="H147" s="25"/>
      <c r="I147" s="25"/>
      <c r="J147" s="25"/>
      <c r="K147" s="25"/>
      <c r="L147" s="25"/>
      <c r="M147" s="25"/>
      <c r="N147" s="25"/>
      <c r="O147" s="25"/>
      <c r="P147" s="25"/>
      <c r="Q147" s="25"/>
      <c r="R147" s="53">
        <f>SUM(R145:R146)</f>
        <v>5000</v>
      </c>
      <c r="S147" s="25"/>
      <c r="T147" s="5"/>
    </row>
    <row r="148" spans="1:20" ht="15.6" x14ac:dyDescent="0.3">
      <c r="A148" s="24"/>
      <c r="B148" s="25"/>
      <c r="C148" s="25"/>
      <c r="D148" s="25"/>
      <c r="E148" s="25"/>
      <c r="F148" s="25"/>
      <c r="G148" s="25"/>
      <c r="H148" s="25"/>
      <c r="I148" s="25"/>
      <c r="J148" s="25"/>
      <c r="K148" s="25"/>
      <c r="L148" s="25"/>
      <c r="M148" s="25"/>
      <c r="N148" s="25"/>
      <c r="O148" s="25"/>
      <c r="P148" s="25"/>
      <c r="Q148" s="25"/>
      <c r="R148" s="53"/>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61"/>
      <c r="S149" s="25"/>
      <c r="T149" s="5"/>
    </row>
    <row r="150" spans="1:20" ht="15.6" x14ac:dyDescent="0.3">
      <c r="A150" s="6"/>
      <c r="B150" s="120" t="s">
        <v>28</v>
      </c>
      <c r="C150" s="8"/>
      <c r="D150" s="8"/>
      <c r="E150" s="8"/>
      <c r="F150" s="8"/>
      <c r="G150" s="8"/>
      <c r="H150" s="8"/>
      <c r="I150" s="8"/>
      <c r="J150" s="8"/>
      <c r="K150" s="8"/>
      <c r="L150" s="8"/>
      <c r="M150" s="8"/>
      <c r="N150" s="8"/>
      <c r="O150" s="8"/>
      <c r="P150" s="8"/>
      <c r="Q150" s="8"/>
      <c r="R150" s="52"/>
      <c r="S150" s="8"/>
      <c r="T150" s="5"/>
    </row>
    <row r="151" spans="1:20" ht="15.6" x14ac:dyDescent="0.3">
      <c r="A151" s="24"/>
      <c r="B151" s="25" t="s">
        <v>55</v>
      </c>
      <c r="C151" s="25"/>
      <c r="D151" s="25"/>
      <c r="E151" s="25"/>
      <c r="F151" s="25"/>
      <c r="G151" s="25"/>
      <c r="H151" s="25"/>
      <c r="I151" s="25"/>
      <c r="J151" s="25"/>
      <c r="K151" s="25"/>
      <c r="L151" s="25"/>
      <c r="M151" s="25"/>
      <c r="N151" s="25"/>
      <c r="O151" s="25"/>
      <c r="P151" s="25"/>
      <c r="Q151" s="25"/>
      <c r="R151" s="59" t="s">
        <v>137</v>
      </c>
      <c r="S151" s="25"/>
      <c r="T151" s="5"/>
    </row>
    <row r="152" spans="1:20" ht="15.6" x14ac:dyDescent="0.3">
      <c r="A152" s="24"/>
      <c r="B152" s="25" t="s">
        <v>56</v>
      </c>
      <c r="C152" s="146"/>
      <c r="D152" s="146"/>
      <c r="E152" s="146"/>
      <c r="F152" s="146"/>
      <c r="G152" s="146"/>
      <c r="H152" s="146"/>
      <c r="I152" s="146"/>
      <c r="J152" s="146"/>
      <c r="K152" s="146"/>
      <c r="L152" s="146"/>
      <c r="M152" s="146"/>
      <c r="N152" s="146"/>
      <c r="O152" s="146"/>
      <c r="P152" s="146"/>
      <c r="Q152" s="146"/>
      <c r="R152" s="59" t="s">
        <v>137</v>
      </c>
      <c r="S152" s="25"/>
      <c r="T152" s="5"/>
    </row>
    <row r="153" spans="1:20" ht="15.6" x14ac:dyDescent="0.3">
      <c r="A153" s="24"/>
      <c r="B153" s="25" t="s">
        <v>57</v>
      </c>
      <c r="C153" s="25"/>
      <c r="D153" s="25"/>
      <c r="E153" s="25"/>
      <c r="F153" s="25"/>
      <c r="G153" s="25"/>
      <c r="H153" s="25"/>
      <c r="I153" s="25"/>
      <c r="J153" s="25"/>
      <c r="K153" s="25"/>
      <c r="L153" s="25"/>
      <c r="M153" s="25"/>
      <c r="N153" s="25"/>
      <c r="O153" s="25"/>
      <c r="P153" s="25"/>
      <c r="Q153" s="25"/>
      <c r="R153" s="59" t="s">
        <v>137</v>
      </c>
      <c r="S153" s="25"/>
      <c r="T153" s="5"/>
    </row>
    <row r="154" spans="1:20" ht="15.6" x14ac:dyDescent="0.3">
      <c r="A154" s="24"/>
      <c r="B154" s="25" t="s">
        <v>58</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c r="C155" s="25"/>
      <c r="D155" s="25"/>
      <c r="E155" s="25"/>
      <c r="F155" s="25"/>
      <c r="G155" s="25"/>
      <c r="H155" s="25"/>
      <c r="I155" s="25"/>
      <c r="J155" s="25"/>
      <c r="K155" s="25"/>
      <c r="L155" s="25"/>
      <c r="M155" s="25"/>
      <c r="N155" s="25"/>
      <c r="O155" s="25"/>
      <c r="P155" s="25"/>
      <c r="Q155" s="25"/>
      <c r="R155" s="61"/>
      <c r="S155" s="25"/>
      <c r="T155" s="5"/>
    </row>
    <row r="156" spans="1:20" ht="15.6" x14ac:dyDescent="0.3">
      <c r="A156" s="6"/>
      <c r="B156" s="120" t="s">
        <v>59</v>
      </c>
      <c r="C156" s="8"/>
      <c r="D156" s="8"/>
      <c r="E156" s="8"/>
      <c r="F156" s="8"/>
      <c r="G156" s="8"/>
      <c r="H156" s="8"/>
      <c r="I156" s="8"/>
      <c r="J156" s="8"/>
      <c r="K156" s="8"/>
      <c r="L156" s="8"/>
      <c r="M156" s="8"/>
      <c r="N156" s="8"/>
      <c r="O156" s="8"/>
      <c r="P156" s="8"/>
      <c r="Q156" s="8"/>
      <c r="R156" s="63"/>
      <c r="S156" s="8"/>
      <c r="T156" s="5"/>
    </row>
    <row r="157" spans="1:20" ht="15.6" x14ac:dyDescent="0.3">
      <c r="A157" s="24"/>
      <c r="B157" s="25" t="s">
        <v>60</v>
      </c>
      <c r="C157" s="25"/>
      <c r="D157" s="25"/>
      <c r="E157" s="25"/>
      <c r="F157" s="25"/>
      <c r="G157" s="25"/>
      <c r="H157" s="25"/>
      <c r="I157" s="25"/>
      <c r="J157" s="25"/>
      <c r="K157" s="25"/>
      <c r="L157" s="25"/>
      <c r="M157" s="25"/>
      <c r="N157" s="25"/>
      <c r="O157" s="25"/>
      <c r="P157" s="25"/>
      <c r="Q157" s="25"/>
      <c r="R157" s="53">
        <v>0</v>
      </c>
      <c r="S157" s="25"/>
      <c r="T157" s="5"/>
    </row>
    <row r="158" spans="1:20" ht="15.6" x14ac:dyDescent="0.3">
      <c r="A158" s="24"/>
      <c r="B158" s="25" t="s">
        <v>61</v>
      </c>
      <c r="C158" s="25"/>
      <c r="D158" s="25"/>
      <c r="E158" s="25"/>
      <c r="F158" s="25"/>
      <c r="G158" s="25"/>
      <c r="H158" s="25"/>
      <c r="I158" s="25"/>
      <c r="J158" s="25"/>
      <c r="K158" s="25"/>
      <c r="L158" s="25"/>
      <c r="M158" s="25"/>
      <c r="N158" s="25"/>
      <c r="O158" s="25"/>
      <c r="P158" s="25"/>
      <c r="Q158" s="25"/>
      <c r="R158" s="53">
        <f>P111</f>
        <v>19</v>
      </c>
      <c r="S158" s="25"/>
      <c r="T158" s="5"/>
    </row>
    <row r="159" spans="1:20" ht="15.6" x14ac:dyDescent="0.3">
      <c r="A159" s="24"/>
      <c r="B159" s="25" t="s">
        <v>62</v>
      </c>
      <c r="C159" s="25"/>
      <c r="D159" s="25"/>
      <c r="E159" s="25"/>
      <c r="F159" s="25"/>
      <c r="G159" s="25"/>
      <c r="H159" s="25"/>
      <c r="I159" s="25"/>
      <c r="J159" s="25"/>
      <c r="K159" s="25"/>
      <c r="L159" s="25"/>
      <c r="M159" s="25"/>
      <c r="N159" s="25"/>
      <c r="O159" s="25"/>
      <c r="P159" s="25"/>
      <c r="Q159" s="25"/>
      <c r="R159" s="53">
        <f>R158+R157</f>
        <v>19</v>
      </c>
      <c r="S159" s="25"/>
      <c r="T159" s="5"/>
    </row>
    <row r="160" spans="1:20" ht="15.6" x14ac:dyDescent="0.3">
      <c r="A160" s="24"/>
      <c r="B160" s="155" t="s">
        <v>308</v>
      </c>
      <c r="C160" s="25"/>
      <c r="D160" s="25"/>
      <c r="E160" s="25"/>
      <c r="F160" s="25"/>
      <c r="G160" s="25"/>
      <c r="H160" s="25"/>
      <c r="I160" s="25"/>
      <c r="J160" s="25"/>
      <c r="K160" s="25"/>
      <c r="L160" s="25"/>
      <c r="M160" s="25"/>
      <c r="N160" s="25"/>
      <c r="O160" s="25"/>
      <c r="P160" s="25"/>
      <c r="Q160" s="25"/>
      <c r="R160" s="53">
        <f>R111</f>
        <v>-19</v>
      </c>
      <c r="S160" s="25"/>
      <c r="T160" s="5"/>
    </row>
    <row r="161" spans="1:20" ht="15.6" x14ac:dyDescent="0.3">
      <c r="A161" s="24"/>
      <c r="B161" s="25" t="s">
        <v>63</v>
      </c>
      <c r="C161" s="25"/>
      <c r="D161" s="25"/>
      <c r="E161" s="25"/>
      <c r="F161" s="25"/>
      <c r="G161" s="25"/>
      <c r="H161" s="25"/>
      <c r="I161" s="25"/>
      <c r="J161" s="25"/>
      <c r="K161" s="25"/>
      <c r="L161" s="25"/>
      <c r="M161" s="25"/>
      <c r="N161" s="25"/>
      <c r="O161" s="25"/>
      <c r="P161" s="25"/>
      <c r="Q161" s="25"/>
      <c r="R161" s="53">
        <f>R159+R160</f>
        <v>0</v>
      </c>
      <c r="S161" s="25"/>
      <c r="T161" s="5"/>
    </row>
    <row r="162" spans="1:20" ht="16.2" thickBot="1" x14ac:dyDescent="0.35">
      <c r="A162" s="24"/>
      <c r="B162" s="25"/>
      <c r="C162" s="25"/>
      <c r="D162" s="25"/>
      <c r="E162" s="25"/>
      <c r="F162" s="25"/>
      <c r="G162" s="25"/>
      <c r="H162" s="25"/>
      <c r="I162" s="25"/>
      <c r="J162" s="25"/>
      <c r="K162" s="25"/>
      <c r="L162" s="25"/>
      <c r="M162" s="25"/>
      <c r="N162" s="25"/>
      <c r="O162" s="25"/>
      <c r="P162" s="25"/>
      <c r="Q162" s="25"/>
      <c r="R162" s="61"/>
      <c r="S162" s="25"/>
      <c r="T162" s="5"/>
    </row>
    <row r="163" spans="1:20" ht="15.6" x14ac:dyDescent="0.3">
      <c r="A163" s="2"/>
      <c r="B163" s="4"/>
      <c r="C163" s="4"/>
      <c r="D163" s="4"/>
      <c r="E163" s="4"/>
      <c r="F163" s="4"/>
      <c r="G163" s="4"/>
      <c r="H163" s="4"/>
      <c r="I163" s="4"/>
      <c r="J163" s="4"/>
      <c r="K163" s="4"/>
      <c r="L163" s="4"/>
      <c r="M163" s="4"/>
      <c r="N163" s="4"/>
      <c r="O163" s="4"/>
      <c r="P163" s="4"/>
      <c r="Q163" s="4"/>
      <c r="R163" s="50"/>
      <c r="S163" s="4"/>
      <c r="T163" s="5"/>
    </row>
    <row r="164" spans="1:20" ht="15.6" x14ac:dyDescent="0.3">
      <c r="A164" s="6"/>
      <c r="B164" s="120" t="s">
        <v>64</v>
      </c>
      <c r="C164" s="8"/>
      <c r="D164" s="8"/>
      <c r="E164" s="8"/>
      <c r="F164" s="8"/>
      <c r="G164" s="8"/>
      <c r="H164" s="8"/>
      <c r="I164" s="8"/>
      <c r="J164" s="8"/>
      <c r="K164" s="8"/>
      <c r="L164" s="8"/>
      <c r="M164" s="8"/>
      <c r="N164" s="8"/>
      <c r="O164" s="8"/>
      <c r="P164" s="8"/>
      <c r="Q164" s="8"/>
      <c r="R164" s="52"/>
      <c r="S164" s="8"/>
      <c r="T164" s="5"/>
    </row>
    <row r="165" spans="1:20" ht="15.6" x14ac:dyDescent="0.3">
      <c r="A165" s="6"/>
      <c r="B165" s="21"/>
      <c r="C165" s="8"/>
      <c r="D165" s="8"/>
      <c r="E165" s="8"/>
      <c r="F165" s="8"/>
      <c r="G165" s="8"/>
      <c r="H165" s="8"/>
      <c r="I165" s="8"/>
      <c r="J165" s="8"/>
      <c r="K165" s="8"/>
      <c r="L165" s="8"/>
      <c r="M165" s="8"/>
      <c r="N165" s="8"/>
      <c r="O165" s="8"/>
      <c r="P165" s="8"/>
      <c r="Q165" s="8"/>
      <c r="R165" s="52"/>
      <c r="S165" s="8"/>
      <c r="T165" s="5"/>
    </row>
    <row r="166" spans="1:20" ht="15.6" x14ac:dyDescent="0.3">
      <c r="A166" s="24"/>
      <c r="B166" s="25" t="s">
        <v>65</v>
      </c>
      <c r="C166" s="25"/>
      <c r="D166" s="25"/>
      <c r="E166" s="25"/>
      <c r="F166" s="25"/>
      <c r="G166" s="25"/>
      <c r="H166" s="25"/>
      <c r="I166" s="25"/>
      <c r="J166" s="25"/>
      <c r="K166" s="25"/>
      <c r="L166" s="25"/>
      <c r="M166" s="25"/>
      <c r="N166" s="25"/>
      <c r="O166" s="25"/>
      <c r="P166" s="25"/>
      <c r="Q166" s="25"/>
      <c r="R166" s="53">
        <f>R70</f>
        <v>765659</v>
      </c>
      <c r="S166" s="25"/>
      <c r="T166" s="5"/>
    </row>
    <row r="167" spans="1:20" ht="15.6" x14ac:dyDescent="0.3">
      <c r="A167" s="24"/>
      <c r="B167" s="25" t="s">
        <v>66</v>
      </c>
      <c r="C167" s="25"/>
      <c r="D167" s="25"/>
      <c r="E167" s="25"/>
      <c r="F167" s="25"/>
      <c r="G167" s="25"/>
      <c r="H167" s="25"/>
      <c r="I167" s="25"/>
      <c r="J167" s="25"/>
      <c r="K167" s="25"/>
      <c r="L167" s="25"/>
      <c r="M167" s="25"/>
      <c r="N167" s="25"/>
      <c r="O167" s="25"/>
      <c r="P167" s="25"/>
      <c r="Q167" s="25"/>
      <c r="R167" s="53">
        <f>R83</f>
        <v>765659</v>
      </c>
      <c r="S167" s="25"/>
      <c r="T167" s="5"/>
    </row>
    <row r="168" spans="1:20" ht="16.2" thickBot="1" x14ac:dyDescent="0.35">
      <c r="A168" s="24"/>
      <c r="B168" s="25"/>
      <c r="C168" s="25"/>
      <c r="D168" s="25"/>
      <c r="E168" s="25"/>
      <c r="F168" s="25"/>
      <c r="G168" s="25"/>
      <c r="H168" s="25"/>
      <c r="I168" s="25"/>
      <c r="J168" s="25"/>
      <c r="K168" s="25"/>
      <c r="L168" s="25"/>
      <c r="M168" s="25"/>
      <c r="N168" s="25"/>
      <c r="O168" s="25"/>
      <c r="P168" s="25"/>
      <c r="Q168" s="25"/>
      <c r="R168" s="61"/>
      <c r="S168" s="25"/>
      <c r="T168" s="5"/>
    </row>
    <row r="169" spans="1:20" ht="15.6" x14ac:dyDescent="0.3">
      <c r="A169" s="2"/>
      <c r="B169" s="4"/>
      <c r="C169" s="4"/>
      <c r="D169" s="4"/>
      <c r="E169" s="4"/>
      <c r="F169" s="4"/>
      <c r="G169" s="4"/>
      <c r="H169" s="4"/>
      <c r="I169" s="4"/>
      <c r="J169" s="4"/>
      <c r="K169" s="4"/>
      <c r="L169" s="4"/>
      <c r="M169" s="4"/>
      <c r="N169" s="4"/>
      <c r="O169" s="4"/>
      <c r="P169" s="4"/>
      <c r="Q169" s="4"/>
      <c r="R169" s="50"/>
      <c r="S169" s="4"/>
      <c r="T169" s="5"/>
    </row>
    <row r="170" spans="1:20" ht="15.6" x14ac:dyDescent="0.3">
      <c r="A170" s="6"/>
      <c r="B170" s="120" t="s">
        <v>67</v>
      </c>
      <c r="C170" s="118"/>
      <c r="D170" s="118"/>
      <c r="E170" s="118"/>
      <c r="F170" s="118"/>
      <c r="G170" s="118"/>
      <c r="H170" s="121"/>
      <c r="I170" s="121"/>
      <c r="J170" s="121"/>
      <c r="K170" s="121"/>
      <c r="L170" s="121"/>
      <c r="M170" s="121"/>
      <c r="N170" s="121"/>
      <c r="O170" s="121" t="s">
        <v>112</v>
      </c>
      <c r="P170" s="121" t="s">
        <v>120</v>
      </c>
      <c r="Q170" s="112"/>
      <c r="R170" s="122" t="s">
        <v>129</v>
      </c>
      <c r="S170" s="10"/>
      <c r="T170" s="5"/>
    </row>
    <row r="171" spans="1:20" ht="15.6" x14ac:dyDescent="0.3">
      <c r="A171" s="24"/>
      <c r="B171" s="25" t="s">
        <v>68</v>
      </c>
      <c r="C171" s="25"/>
      <c r="D171" s="25"/>
      <c r="E171" s="25"/>
      <c r="F171" s="25"/>
      <c r="G171" s="25"/>
      <c r="H171" s="25"/>
      <c r="I171" s="25"/>
      <c r="J171" s="25"/>
      <c r="K171" s="25"/>
      <c r="L171" s="25"/>
      <c r="M171" s="25"/>
      <c r="N171" s="25"/>
      <c r="O171" s="53">
        <v>160000</v>
      </c>
      <c r="P171" s="40"/>
      <c r="Q171" s="25"/>
      <c r="R171" s="53"/>
      <c r="S171" s="25"/>
      <c r="T171" s="5"/>
    </row>
    <row r="172" spans="1:20" ht="15.6" x14ac:dyDescent="0.3">
      <c r="A172" s="24"/>
      <c r="B172" s="25" t="s">
        <v>69</v>
      </c>
      <c r="C172" s="25"/>
      <c r="D172" s="25"/>
      <c r="E172" s="25"/>
      <c r="F172" s="25"/>
      <c r="G172" s="25"/>
      <c r="H172" s="25"/>
      <c r="I172" s="25"/>
      <c r="J172" s="25"/>
      <c r="K172" s="25"/>
      <c r="L172" s="25"/>
      <c r="M172" s="25"/>
      <c r="N172" s="25"/>
      <c r="O172" s="53">
        <f>+'Sept 06'!O174</f>
        <v>46811</v>
      </c>
      <c r="P172" s="53">
        <f>+'Sept 06'!P174</f>
        <v>7070</v>
      </c>
      <c r="Q172" s="25"/>
      <c r="R172" s="53">
        <f>O172+P172</f>
        <v>53881</v>
      </c>
      <c r="S172" s="25"/>
      <c r="T172" s="5"/>
    </row>
    <row r="173" spans="1:20" ht="15.6" x14ac:dyDescent="0.3">
      <c r="A173" s="24"/>
      <c r="B173" s="25" t="s">
        <v>70</v>
      </c>
      <c r="C173" s="25"/>
      <c r="D173" s="25"/>
      <c r="E173" s="25"/>
      <c r="F173" s="25"/>
      <c r="G173" s="25"/>
      <c r="H173" s="25"/>
      <c r="I173" s="25"/>
      <c r="J173" s="25"/>
      <c r="K173" s="25"/>
      <c r="L173" s="25"/>
      <c r="M173" s="25"/>
      <c r="N173" s="25"/>
      <c r="O173" s="34">
        <v>5088</v>
      </c>
      <c r="P173" s="34">
        <f>-P95-P118</f>
        <v>380</v>
      </c>
      <c r="Q173" s="25"/>
      <c r="R173" s="53">
        <f>O173+P173</f>
        <v>5468</v>
      </c>
      <c r="S173" s="25"/>
      <c r="T173" s="5"/>
    </row>
    <row r="174" spans="1:20" ht="15.6" x14ac:dyDescent="0.3">
      <c r="A174" s="24"/>
      <c r="B174" s="25" t="s">
        <v>71</v>
      </c>
      <c r="C174" s="25"/>
      <c r="D174" s="25"/>
      <c r="E174" s="25"/>
      <c r="F174" s="25"/>
      <c r="G174" s="25"/>
      <c r="H174" s="25"/>
      <c r="I174" s="25"/>
      <c r="J174" s="25"/>
      <c r="K174" s="25"/>
      <c r="L174" s="25"/>
      <c r="M174" s="25"/>
      <c r="N174" s="25"/>
      <c r="O174" s="53">
        <f>O172+O173</f>
        <v>51899</v>
      </c>
      <c r="P174" s="53">
        <f>P173+P172</f>
        <v>7450</v>
      </c>
      <c r="Q174" s="25"/>
      <c r="R174" s="53">
        <f>O174+P174</f>
        <v>59349</v>
      </c>
      <c r="S174" s="25"/>
      <c r="T174" s="5"/>
    </row>
    <row r="175" spans="1:20" ht="15.6" x14ac:dyDescent="0.3">
      <c r="A175" s="24"/>
      <c r="B175" s="25" t="s">
        <v>72</v>
      </c>
      <c r="C175" s="25"/>
      <c r="D175" s="25"/>
      <c r="E175" s="25"/>
      <c r="F175" s="25"/>
      <c r="G175" s="25"/>
      <c r="H175" s="25"/>
      <c r="I175" s="25"/>
      <c r="J175" s="25"/>
      <c r="K175" s="25"/>
      <c r="L175" s="25"/>
      <c r="M175" s="25"/>
      <c r="N175" s="25"/>
      <c r="O175" s="53">
        <f>O171-O174-P174</f>
        <v>100651</v>
      </c>
      <c r="P175" s="40"/>
      <c r="Q175" s="25"/>
      <c r="R175" s="53"/>
      <c r="S175" s="25"/>
      <c r="T175" s="5"/>
    </row>
    <row r="176" spans="1:20" ht="16.2" thickBot="1" x14ac:dyDescent="0.35">
      <c r="A176" s="24"/>
      <c r="B176" s="25"/>
      <c r="C176" s="25"/>
      <c r="D176" s="25"/>
      <c r="E176" s="25"/>
      <c r="F176" s="25"/>
      <c r="G176" s="25"/>
      <c r="H176" s="25"/>
      <c r="I176" s="25"/>
      <c r="J176" s="25"/>
      <c r="K176" s="25"/>
      <c r="L176" s="25"/>
      <c r="M176" s="25"/>
      <c r="N176" s="25"/>
      <c r="O176" s="25"/>
      <c r="P176" s="25"/>
      <c r="Q176" s="25"/>
      <c r="R176" s="61"/>
      <c r="S176" s="25"/>
      <c r="T176" s="5"/>
    </row>
    <row r="177" spans="1:20" ht="15.6" x14ac:dyDescent="0.3">
      <c r="A177" s="2"/>
      <c r="B177" s="4"/>
      <c r="C177" s="4"/>
      <c r="D177" s="4"/>
      <c r="E177" s="4"/>
      <c r="F177" s="4"/>
      <c r="G177" s="4"/>
      <c r="H177" s="4"/>
      <c r="I177" s="4"/>
      <c r="J177" s="4"/>
      <c r="K177" s="4"/>
      <c r="L177" s="4"/>
      <c r="M177" s="4"/>
      <c r="N177" s="4"/>
      <c r="O177" s="4"/>
      <c r="P177" s="4"/>
      <c r="Q177" s="4"/>
      <c r="R177" s="50"/>
      <c r="S177" s="4"/>
      <c r="T177" s="5"/>
    </row>
    <row r="178" spans="1:20" ht="15.6" x14ac:dyDescent="0.3">
      <c r="A178" s="6"/>
      <c r="B178" s="120" t="s">
        <v>73</v>
      </c>
      <c r="C178" s="8"/>
      <c r="D178" s="8"/>
      <c r="E178" s="8"/>
      <c r="F178" s="8"/>
      <c r="G178" s="8"/>
      <c r="H178" s="8"/>
      <c r="I178" s="8"/>
      <c r="J178" s="8"/>
      <c r="K178" s="8"/>
      <c r="L178" s="8"/>
      <c r="M178" s="8"/>
      <c r="N178" s="8"/>
      <c r="O178" s="8"/>
      <c r="P178" s="8"/>
      <c r="Q178" s="8"/>
      <c r="R178" s="65"/>
      <c r="S178" s="8"/>
      <c r="T178" s="5"/>
    </row>
    <row r="179" spans="1:20" ht="15.6" x14ac:dyDescent="0.3">
      <c r="A179" s="24"/>
      <c r="B179" s="25" t="s">
        <v>74</v>
      </c>
      <c r="C179" s="25"/>
      <c r="D179" s="25"/>
      <c r="E179" s="25"/>
      <c r="F179" s="25"/>
      <c r="G179" s="25"/>
      <c r="H179" s="25"/>
      <c r="I179" s="25"/>
      <c r="J179" s="25"/>
      <c r="K179" s="25"/>
      <c r="L179" s="25"/>
      <c r="M179" s="25"/>
      <c r="N179" s="25"/>
      <c r="O179" s="25"/>
      <c r="P179" s="25"/>
      <c r="Q179" s="25"/>
      <c r="R179" s="59">
        <f>(R97+R99+R100+R101+R102+R103)/-(R104+R105+R106+R107)</f>
        <v>1.4778645833333333</v>
      </c>
      <c r="S179" s="25" t="s">
        <v>130</v>
      </c>
      <c r="T179" s="5"/>
    </row>
    <row r="180" spans="1:20" ht="15.6" x14ac:dyDescent="0.3">
      <c r="A180" s="24"/>
      <c r="B180" s="25" t="s">
        <v>75</v>
      </c>
      <c r="C180" s="25"/>
      <c r="D180" s="25"/>
      <c r="E180" s="25"/>
      <c r="F180" s="25"/>
      <c r="G180" s="25"/>
      <c r="H180" s="25"/>
      <c r="I180" s="25"/>
      <c r="J180" s="25"/>
      <c r="K180" s="25"/>
      <c r="L180" s="25"/>
      <c r="M180" s="25"/>
      <c r="N180" s="25"/>
      <c r="O180" s="25"/>
      <c r="P180" s="25"/>
      <c r="Q180" s="25"/>
      <c r="R180" s="66">
        <v>1.37</v>
      </c>
      <c r="S180" s="25" t="s">
        <v>130</v>
      </c>
      <c r="T180" s="5"/>
    </row>
    <row r="181" spans="1:20" ht="15.6" x14ac:dyDescent="0.3">
      <c r="A181" s="24"/>
      <c r="B181" s="25" t="s">
        <v>76</v>
      </c>
      <c r="C181" s="25"/>
      <c r="D181" s="25"/>
      <c r="E181" s="25"/>
      <c r="F181" s="25"/>
      <c r="G181" s="25"/>
      <c r="H181" s="25"/>
      <c r="I181" s="25"/>
      <c r="J181" s="25"/>
      <c r="K181" s="25"/>
      <c r="L181" s="25"/>
      <c r="M181" s="25"/>
      <c r="N181" s="25"/>
      <c r="O181" s="25"/>
      <c r="P181" s="25"/>
      <c r="Q181" s="25"/>
      <c r="R181" s="59">
        <f>(R97+R99+R100+R101+R102+R103+R104+R105+R106+R107)/-(R108+R109)</f>
        <v>3.0540915395284327</v>
      </c>
      <c r="S181" s="25" t="s">
        <v>130</v>
      </c>
      <c r="T181" s="5"/>
    </row>
    <row r="182" spans="1:20" ht="15.6" x14ac:dyDescent="0.3">
      <c r="A182" s="24"/>
      <c r="B182" s="25" t="s">
        <v>77</v>
      </c>
      <c r="C182" s="25"/>
      <c r="D182" s="25"/>
      <c r="E182" s="25"/>
      <c r="F182" s="25"/>
      <c r="G182" s="25"/>
      <c r="H182" s="25"/>
      <c r="I182" s="25"/>
      <c r="J182" s="25"/>
      <c r="K182" s="25"/>
      <c r="L182" s="25"/>
      <c r="M182" s="25"/>
      <c r="N182" s="25"/>
      <c r="O182" s="25"/>
      <c r="P182" s="25"/>
      <c r="Q182" s="25"/>
      <c r="R182" s="67">
        <v>2.75</v>
      </c>
      <c r="S182" s="25" t="s">
        <v>130</v>
      </c>
      <c r="T182" s="5"/>
    </row>
    <row r="183" spans="1:20" ht="15.6" x14ac:dyDescent="0.3">
      <c r="A183" s="24"/>
      <c r="B183" s="25"/>
      <c r="C183" s="25"/>
      <c r="D183" s="25"/>
      <c r="E183" s="25"/>
      <c r="F183" s="25"/>
      <c r="G183" s="25"/>
      <c r="H183" s="25"/>
      <c r="I183" s="25"/>
      <c r="J183" s="25"/>
      <c r="K183" s="25"/>
      <c r="L183" s="25"/>
      <c r="M183" s="25"/>
      <c r="N183" s="25"/>
      <c r="O183" s="25"/>
      <c r="P183" s="25"/>
      <c r="Q183" s="25"/>
      <c r="R183" s="25"/>
      <c r="S183" s="25"/>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6"/>
      <c r="B185" s="8"/>
      <c r="C185" s="8"/>
      <c r="D185" s="8"/>
      <c r="E185" s="8"/>
      <c r="F185" s="8"/>
      <c r="G185" s="8"/>
      <c r="H185" s="8"/>
      <c r="I185" s="8"/>
      <c r="J185" s="8"/>
      <c r="K185" s="8"/>
      <c r="L185" s="8"/>
      <c r="M185" s="8"/>
      <c r="N185" s="8"/>
      <c r="O185" s="8"/>
      <c r="P185" s="8"/>
      <c r="Q185" s="8"/>
      <c r="R185" s="8"/>
      <c r="S185" s="8"/>
      <c r="T185" s="5"/>
    </row>
    <row r="186" spans="1:20" ht="18" thickBot="1" x14ac:dyDescent="0.35">
      <c r="A186" s="102"/>
      <c r="B186" s="103" t="str">
        <f>B130</f>
        <v>PM8 INVESTOR REPORT QUARTER ENDING DECEMBER 2006</v>
      </c>
      <c r="C186" s="148"/>
      <c r="D186" s="148"/>
      <c r="E186" s="148"/>
      <c r="F186" s="148"/>
      <c r="G186" s="148"/>
      <c r="H186" s="148"/>
      <c r="I186" s="148"/>
      <c r="J186" s="148"/>
      <c r="K186" s="148"/>
      <c r="L186" s="148"/>
      <c r="M186" s="148"/>
      <c r="N186" s="148"/>
      <c r="O186" s="148"/>
      <c r="P186" s="148"/>
      <c r="Q186" s="148"/>
      <c r="R186" s="148"/>
      <c r="S186" s="149"/>
      <c r="T186" s="5"/>
    </row>
    <row r="187" spans="1:20" ht="15.6" x14ac:dyDescent="0.3">
      <c r="A187" s="68"/>
      <c r="B187" s="60" t="s">
        <v>78</v>
      </c>
      <c r="C187" s="69"/>
      <c r="D187" s="69"/>
      <c r="E187" s="69"/>
      <c r="F187" s="69"/>
      <c r="G187" s="70"/>
      <c r="H187" s="70"/>
      <c r="I187" s="70"/>
      <c r="J187" s="70"/>
      <c r="K187" s="70"/>
      <c r="L187" s="70"/>
      <c r="M187" s="70"/>
      <c r="N187" s="70"/>
      <c r="O187" s="70"/>
      <c r="P187" s="71">
        <v>39080</v>
      </c>
      <c r="Q187" s="4"/>
      <c r="R187" s="4"/>
      <c r="S187" s="4"/>
      <c r="T187" s="5"/>
    </row>
    <row r="188" spans="1:20" ht="15.6" x14ac:dyDescent="0.3">
      <c r="A188" s="72"/>
      <c r="B188" s="73"/>
      <c r="C188" s="74"/>
      <c r="D188" s="74"/>
      <c r="E188" s="74"/>
      <c r="F188" s="74"/>
      <c r="G188" s="75"/>
      <c r="H188" s="75"/>
      <c r="I188" s="75"/>
      <c r="J188" s="75"/>
      <c r="K188" s="75"/>
      <c r="L188" s="75"/>
      <c r="M188" s="75"/>
      <c r="N188" s="75"/>
      <c r="O188" s="75"/>
      <c r="P188" s="75"/>
      <c r="Q188" s="8"/>
      <c r="R188" s="8"/>
      <c r="S188" s="8"/>
      <c r="T188" s="5"/>
    </row>
    <row r="189" spans="1:20" ht="15.6" x14ac:dyDescent="0.3">
      <c r="A189" s="76"/>
      <c r="B189" s="77" t="s">
        <v>79</v>
      </c>
      <c r="C189" s="78"/>
      <c r="D189" s="78"/>
      <c r="E189" s="78"/>
      <c r="F189" s="78"/>
      <c r="G189" s="64"/>
      <c r="H189" s="64"/>
      <c r="I189" s="64"/>
      <c r="J189" s="64"/>
      <c r="K189" s="64"/>
      <c r="L189" s="64"/>
      <c r="M189" s="64"/>
      <c r="N189" s="64"/>
      <c r="O189" s="64"/>
      <c r="P189" s="79">
        <v>6.2039999999999998E-2</v>
      </c>
      <c r="Q189" s="25"/>
      <c r="R189" s="25"/>
      <c r="S189" s="25"/>
      <c r="T189" s="5"/>
    </row>
    <row r="190" spans="1:20" ht="15.6" x14ac:dyDescent="0.3">
      <c r="A190" s="76"/>
      <c r="B190" s="77" t="s">
        <v>178</v>
      </c>
      <c r="C190" s="78"/>
      <c r="D190" s="78"/>
      <c r="E190" s="78"/>
      <c r="F190" s="78"/>
      <c r="G190" s="64"/>
      <c r="H190" s="64"/>
      <c r="I190" s="64"/>
      <c r="J190" s="64"/>
      <c r="K190" s="64"/>
      <c r="L190" s="64"/>
      <c r="M190" s="64"/>
      <c r="N190" s="64"/>
      <c r="O190" s="64"/>
      <c r="P190" s="39">
        <v>5.1733455000000005E-2</v>
      </c>
      <c r="Q190" s="25"/>
      <c r="R190" s="25"/>
      <c r="S190" s="25"/>
      <c r="T190" s="5"/>
    </row>
    <row r="191" spans="1:20" ht="15.6" x14ac:dyDescent="0.3">
      <c r="A191" s="76"/>
      <c r="B191" s="77" t="s">
        <v>80</v>
      </c>
      <c r="C191" s="78"/>
      <c r="D191" s="78"/>
      <c r="E191" s="78"/>
      <c r="F191" s="78"/>
      <c r="G191" s="64"/>
      <c r="H191" s="64"/>
      <c r="I191" s="64"/>
      <c r="J191" s="64"/>
      <c r="K191" s="64"/>
      <c r="L191" s="64"/>
      <c r="M191" s="64"/>
      <c r="N191" s="64"/>
      <c r="O191" s="64"/>
      <c r="P191" s="79">
        <f>P189-P190</f>
        <v>1.0306544999999993E-2</v>
      </c>
      <c r="Q191" s="25"/>
      <c r="R191" s="25"/>
      <c r="S191" s="25"/>
      <c r="T191" s="5"/>
    </row>
    <row r="192" spans="1:20" ht="15.6" x14ac:dyDescent="0.3">
      <c r="A192" s="76"/>
      <c r="B192" s="77" t="s">
        <v>81</v>
      </c>
      <c r="C192" s="78"/>
      <c r="D192" s="78"/>
      <c r="E192" s="78"/>
      <c r="F192" s="78"/>
      <c r="G192" s="64"/>
      <c r="H192" s="64"/>
      <c r="I192" s="64"/>
      <c r="J192" s="64"/>
      <c r="K192" s="64"/>
      <c r="L192" s="64"/>
      <c r="M192" s="64"/>
      <c r="N192" s="64"/>
      <c r="O192" s="64"/>
      <c r="P192" s="79">
        <v>6.1809999999999997E-2</v>
      </c>
      <c r="Q192" s="25"/>
      <c r="R192" s="25"/>
      <c r="S192" s="25"/>
      <c r="T192" s="5"/>
    </row>
    <row r="193" spans="1:20" ht="15.6" x14ac:dyDescent="0.3">
      <c r="A193" s="76"/>
      <c r="B193" s="77" t="s">
        <v>261</v>
      </c>
      <c r="C193" s="78"/>
      <c r="D193" s="78"/>
      <c r="E193" s="78"/>
      <c r="F193" s="78"/>
      <c r="G193" s="64"/>
      <c r="H193" s="64"/>
      <c r="I193" s="64"/>
      <c r="J193" s="64"/>
      <c r="K193" s="64"/>
      <c r="L193" s="64"/>
      <c r="M193" s="64"/>
      <c r="N193" s="64"/>
      <c r="O193" s="64"/>
      <c r="P193" s="79">
        <f>+R42</f>
        <v>5.3800884979475834E-2</v>
      </c>
      <c r="Q193" s="25"/>
      <c r="R193" s="25"/>
      <c r="S193" s="25"/>
      <c r="T193" s="5"/>
    </row>
    <row r="194" spans="1:20" ht="15.6" x14ac:dyDescent="0.3">
      <c r="A194" s="76"/>
      <c r="B194" s="77" t="s">
        <v>82</v>
      </c>
      <c r="C194" s="78"/>
      <c r="D194" s="78"/>
      <c r="E194" s="78"/>
      <c r="F194" s="78"/>
      <c r="G194" s="64"/>
      <c r="H194" s="64"/>
      <c r="I194" s="64"/>
      <c r="J194" s="64"/>
      <c r="K194" s="64"/>
      <c r="L194" s="64"/>
      <c r="M194" s="64"/>
      <c r="N194" s="64"/>
      <c r="O194" s="64"/>
      <c r="P194" s="79">
        <f>P192-P193</f>
        <v>8.0091150205241629E-3</v>
      </c>
      <c r="Q194" s="25"/>
      <c r="R194" s="25"/>
      <c r="S194" s="25"/>
      <c r="T194" s="5"/>
    </row>
    <row r="195" spans="1:20" ht="15.6" x14ac:dyDescent="0.3">
      <c r="A195" s="76"/>
      <c r="B195" s="77" t="s">
        <v>267</v>
      </c>
      <c r="C195" s="78"/>
      <c r="D195" s="78"/>
      <c r="E195" s="78"/>
      <c r="F195" s="78"/>
      <c r="G195" s="64"/>
      <c r="H195" s="64"/>
      <c r="I195" s="64"/>
      <c r="J195" s="64"/>
      <c r="K195" s="64"/>
      <c r="L195" s="64"/>
      <c r="M195" s="64"/>
      <c r="N195" s="64"/>
      <c r="O195" s="64"/>
      <c r="P195" s="79">
        <f>+R97/J70</f>
        <v>1.7475129465212715E-2</v>
      </c>
      <c r="Q195" s="25"/>
      <c r="R195" s="25"/>
      <c r="S195" s="25"/>
      <c r="T195" s="5"/>
    </row>
    <row r="196" spans="1:20" ht="15.6" x14ac:dyDescent="0.3">
      <c r="A196" s="76"/>
      <c r="B196" s="77" t="s">
        <v>208</v>
      </c>
      <c r="C196" s="78"/>
      <c r="D196" s="78"/>
      <c r="E196" s="78"/>
      <c r="F196" s="78"/>
      <c r="G196" s="64"/>
      <c r="H196" s="64"/>
      <c r="I196" s="64"/>
      <c r="J196" s="64"/>
      <c r="K196" s="64"/>
      <c r="L196" s="64"/>
      <c r="M196" s="64"/>
      <c r="N196" s="64"/>
      <c r="O196" s="64"/>
      <c r="P196" s="132">
        <v>12875</v>
      </c>
      <c r="Q196" s="25"/>
      <c r="R196" s="25"/>
      <c r="S196" s="25"/>
      <c r="T196" s="5"/>
    </row>
    <row r="197" spans="1:20" ht="15.6" x14ac:dyDescent="0.3">
      <c r="A197" s="76"/>
      <c r="B197" s="77" t="s">
        <v>209</v>
      </c>
      <c r="C197" s="78"/>
      <c r="D197" s="78"/>
      <c r="E197" s="78"/>
      <c r="F197" s="78"/>
      <c r="G197" s="64"/>
      <c r="H197" s="64"/>
      <c r="I197" s="64"/>
      <c r="J197" s="64"/>
      <c r="K197" s="64"/>
      <c r="L197" s="64"/>
      <c r="M197" s="64"/>
      <c r="N197" s="64"/>
      <c r="O197" s="64"/>
      <c r="P197" s="132">
        <v>16163</v>
      </c>
      <c r="Q197" s="25"/>
      <c r="R197" s="25"/>
      <c r="S197" s="25"/>
      <c r="T197" s="5"/>
    </row>
    <row r="198" spans="1:20" ht="15.6" x14ac:dyDescent="0.3">
      <c r="A198" s="76"/>
      <c r="B198" s="77" t="s">
        <v>83</v>
      </c>
      <c r="C198" s="78"/>
      <c r="D198" s="78"/>
      <c r="E198" s="78"/>
      <c r="F198" s="78"/>
      <c r="G198" s="64"/>
      <c r="H198" s="64"/>
      <c r="I198" s="64"/>
      <c r="J198" s="64"/>
      <c r="K198" s="64"/>
      <c r="L198" s="64"/>
      <c r="M198" s="64"/>
      <c r="N198" s="64"/>
      <c r="O198" s="64"/>
      <c r="P198" s="136">
        <v>19.739999999999998</v>
      </c>
      <c r="Q198" s="25" t="s">
        <v>125</v>
      </c>
      <c r="R198" s="25"/>
      <c r="S198" s="25"/>
      <c r="T198" s="5"/>
    </row>
    <row r="199" spans="1:20" ht="15.6" x14ac:dyDescent="0.3">
      <c r="A199" s="76"/>
      <c r="B199" s="77" t="s">
        <v>84</v>
      </c>
      <c r="C199" s="78"/>
      <c r="D199" s="78"/>
      <c r="E199" s="78"/>
      <c r="F199" s="78"/>
      <c r="G199" s="64"/>
      <c r="H199" s="64"/>
      <c r="I199" s="64"/>
      <c r="J199" s="64"/>
      <c r="K199" s="64"/>
      <c r="L199" s="64"/>
      <c r="M199" s="64"/>
      <c r="N199" s="64"/>
      <c r="O199" s="64"/>
      <c r="P199" s="136">
        <v>18.78</v>
      </c>
      <c r="Q199" s="25" t="s">
        <v>125</v>
      </c>
      <c r="R199" s="25"/>
      <c r="S199" s="25"/>
      <c r="T199" s="5"/>
    </row>
    <row r="200" spans="1:20" ht="15.6" x14ac:dyDescent="0.3">
      <c r="A200" s="76"/>
      <c r="B200" s="77" t="s">
        <v>85</v>
      </c>
      <c r="C200" s="78"/>
      <c r="D200" s="78"/>
      <c r="E200" s="78"/>
      <c r="F200" s="78"/>
      <c r="G200" s="64"/>
      <c r="H200" s="64"/>
      <c r="I200" s="64"/>
      <c r="J200" s="64"/>
      <c r="K200" s="64"/>
      <c r="L200" s="64"/>
      <c r="M200" s="64"/>
      <c r="N200" s="64"/>
      <c r="O200" s="64"/>
      <c r="P200" s="79">
        <f>+L67/J67</f>
        <v>4.3321608577738903E-2</v>
      </c>
      <c r="Q200" s="25"/>
      <c r="R200" s="25"/>
      <c r="S200" s="25"/>
      <c r="T200" s="5"/>
    </row>
    <row r="201" spans="1:20" ht="15.6" x14ac:dyDescent="0.3">
      <c r="A201" s="76"/>
      <c r="B201" s="77" t="s">
        <v>86</v>
      </c>
      <c r="C201" s="78"/>
      <c r="D201" s="78"/>
      <c r="E201" s="78"/>
      <c r="F201" s="78"/>
      <c r="G201" s="64"/>
      <c r="H201" s="64"/>
      <c r="I201" s="64"/>
      <c r="J201" s="64"/>
      <c r="K201" s="64"/>
      <c r="L201" s="64"/>
      <c r="M201" s="64"/>
      <c r="N201" s="64"/>
      <c r="O201" s="64"/>
      <c r="P201" s="79">
        <v>0.14649999999999999</v>
      </c>
      <c r="Q201" s="25"/>
      <c r="R201" s="25"/>
      <c r="S201" s="25"/>
      <c r="T201" s="5"/>
    </row>
    <row r="202" spans="1:20" ht="15.6" x14ac:dyDescent="0.3">
      <c r="A202" s="76"/>
      <c r="B202" s="77"/>
      <c r="C202" s="77"/>
      <c r="D202" s="77"/>
      <c r="E202" s="77"/>
      <c r="F202" s="77"/>
      <c r="G202" s="25"/>
      <c r="H202" s="25"/>
      <c r="I202" s="25"/>
      <c r="J202" s="25"/>
      <c r="K202" s="25"/>
      <c r="L202" s="25"/>
      <c r="M202" s="25"/>
      <c r="N202" s="25"/>
      <c r="O202" s="25"/>
      <c r="P202" s="61"/>
      <c r="Q202" s="25"/>
      <c r="R202" s="80"/>
      <c r="S202" s="25"/>
      <c r="T202" s="5"/>
    </row>
    <row r="203" spans="1:20" ht="15.6" x14ac:dyDescent="0.3">
      <c r="A203" s="81"/>
      <c r="B203" s="14" t="s">
        <v>87</v>
      </c>
      <c r="C203" s="82"/>
      <c r="D203" s="82"/>
      <c r="E203" s="82"/>
      <c r="F203" s="83"/>
      <c r="G203" s="82"/>
      <c r="H203" s="17"/>
      <c r="I203" s="17"/>
      <c r="J203" s="17"/>
      <c r="K203" s="17"/>
      <c r="L203" s="17"/>
      <c r="M203" s="17"/>
      <c r="N203" s="17"/>
      <c r="O203" s="17" t="s">
        <v>113</v>
      </c>
      <c r="P203" s="84" t="s">
        <v>121</v>
      </c>
      <c r="Q203" s="8"/>
      <c r="R203" s="8"/>
      <c r="S203" s="8"/>
      <c r="T203" s="5"/>
    </row>
    <row r="204" spans="1:20" ht="15.6" x14ac:dyDescent="0.3">
      <c r="A204" s="85"/>
      <c r="B204" s="77" t="s">
        <v>88</v>
      </c>
      <c r="C204" s="54"/>
      <c r="D204" s="54"/>
      <c r="E204" s="54"/>
      <c r="F204" s="25"/>
      <c r="G204" s="25"/>
      <c r="H204" s="30"/>
      <c r="I204" s="30"/>
      <c r="J204" s="30"/>
      <c r="K204" s="30"/>
      <c r="L204" s="30"/>
      <c r="M204" s="30"/>
      <c r="N204" s="30"/>
      <c r="O204" s="30">
        <v>3</v>
      </c>
      <c r="P204" s="86">
        <v>102</v>
      </c>
      <c r="Q204" s="25"/>
      <c r="R204" s="80"/>
      <c r="S204" s="87"/>
      <c r="T204" s="5"/>
    </row>
    <row r="205" spans="1:20" ht="15.6" x14ac:dyDescent="0.3">
      <c r="A205" s="85"/>
      <c r="B205" s="77" t="s">
        <v>169</v>
      </c>
      <c r="C205" s="54"/>
      <c r="D205" s="54"/>
      <c r="E205" s="54"/>
      <c r="F205" s="25"/>
      <c r="G205" s="25"/>
      <c r="H205" s="30"/>
      <c r="I205" s="30"/>
      <c r="J205" s="30"/>
      <c r="K205" s="30"/>
      <c r="L205" s="30"/>
      <c r="M205" s="30"/>
      <c r="N205" s="30"/>
      <c r="O205" s="163">
        <f>+N244</f>
        <v>27</v>
      </c>
      <c r="P205" s="86">
        <f>+P244</f>
        <v>6532</v>
      </c>
      <c r="Q205" s="25"/>
      <c r="R205" s="80"/>
      <c r="S205" s="87"/>
      <c r="T205" s="5"/>
    </row>
    <row r="206" spans="1:20" ht="15.6" x14ac:dyDescent="0.3">
      <c r="A206" s="85"/>
      <c r="B206" s="77" t="s">
        <v>89</v>
      </c>
      <c r="C206" s="54"/>
      <c r="D206" s="54"/>
      <c r="E206" s="54"/>
      <c r="F206" s="25"/>
      <c r="G206" s="25"/>
      <c r="H206" s="30"/>
      <c r="I206" s="30"/>
      <c r="J206" s="30"/>
      <c r="K206" s="30"/>
      <c r="L206" s="30"/>
      <c r="M206" s="30"/>
      <c r="N206" s="30"/>
      <c r="O206" s="163">
        <f>+N256</f>
        <v>3</v>
      </c>
      <c r="P206" s="86">
        <f>+P256</f>
        <v>38</v>
      </c>
      <c r="Q206" s="25"/>
      <c r="R206" s="80"/>
      <c r="S206" s="87"/>
      <c r="T206" s="5"/>
    </row>
    <row r="207" spans="1:20" ht="15.6" x14ac:dyDescent="0.3">
      <c r="A207" s="85"/>
      <c r="B207" s="123" t="s">
        <v>90</v>
      </c>
      <c r="C207" s="54"/>
      <c r="D207" s="54"/>
      <c r="E207" s="54"/>
      <c r="F207" s="25"/>
      <c r="G207" s="25"/>
      <c r="H207" s="25"/>
      <c r="I207" s="25"/>
      <c r="J207" s="25"/>
      <c r="K207" s="25"/>
      <c r="L207" s="25"/>
      <c r="M207" s="25"/>
      <c r="N207" s="25"/>
      <c r="O207" s="25"/>
      <c r="P207" s="86">
        <v>0</v>
      </c>
      <c r="Q207" s="25"/>
      <c r="R207" s="80"/>
      <c r="S207" s="87"/>
      <c r="T207" s="5"/>
    </row>
    <row r="208" spans="1:20" ht="15.6" x14ac:dyDescent="0.3">
      <c r="A208" s="85"/>
      <c r="B208" s="123" t="s">
        <v>91</v>
      </c>
      <c r="C208" s="54"/>
      <c r="D208" s="54"/>
      <c r="E208" s="54"/>
      <c r="F208" s="25"/>
      <c r="G208" s="25"/>
      <c r="H208" s="25"/>
      <c r="I208" s="25"/>
      <c r="J208" s="25"/>
      <c r="K208" s="25"/>
      <c r="L208" s="25"/>
      <c r="M208" s="25"/>
      <c r="N208" s="25"/>
      <c r="O208" s="25"/>
      <c r="P208" s="62" t="s">
        <v>122</v>
      </c>
      <c r="Q208" s="25"/>
      <c r="R208" s="80"/>
      <c r="S208" s="87"/>
      <c r="T208" s="5"/>
    </row>
    <row r="209" spans="1:21" ht="15.6" x14ac:dyDescent="0.3">
      <c r="A209" s="88"/>
      <c r="B209" s="123" t="s">
        <v>92</v>
      </c>
      <c r="C209" s="77"/>
      <c r="D209" s="77"/>
      <c r="E209" s="77"/>
      <c r="F209" s="77"/>
      <c r="G209" s="25"/>
      <c r="H209" s="25"/>
      <c r="I209" s="25"/>
      <c r="J209" s="25"/>
      <c r="K209" s="25"/>
      <c r="L209" s="25"/>
      <c r="M209" s="25"/>
      <c r="N209" s="25"/>
      <c r="O209" s="25"/>
      <c r="P209" s="86"/>
      <c r="Q209" s="25"/>
      <c r="R209" s="80"/>
      <c r="S209" s="89"/>
      <c r="T209" s="5"/>
    </row>
    <row r="210" spans="1:21" ht="15.6" x14ac:dyDescent="0.3">
      <c r="A210" s="88"/>
      <c r="B210" s="134" t="s">
        <v>93</v>
      </c>
      <c r="C210" s="77"/>
      <c r="D210" s="77"/>
      <c r="E210" s="77"/>
      <c r="F210" s="77"/>
      <c r="G210" s="25"/>
      <c r="H210" s="25"/>
      <c r="I210" s="25"/>
      <c r="J210" s="25"/>
      <c r="K210" s="25"/>
      <c r="L210" s="25"/>
      <c r="M210" s="25"/>
      <c r="N210" s="25"/>
      <c r="O210" s="30"/>
      <c r="P210" s="86">
        <f>R158</f>
        <v>19</v>
      </c>
      <c r="Q210" s="25"/>
      <c r="R210" s="80"/>
      <c r="S210" s="89"/>
      <c r="T210" s="5"/>
    </row>
    <row r="211" spans="1:21" ht="15.6" x14ac:dyDescent="0.3">
      <c r="A211" s="85"/>
      <c r="B211" s="77" t="s">
        <v>94</v>
      </c>
      <c r="C211" s="54"/>
      <c r="D211" s="54"/>
      <c r="E211" s="54"/>
      <c r="F211" s="54"/>
      <c r="G211" s="25"/>
      <c r="H211" s="25"/>
      <c r="I211" s="25"/>
      <c r="J211" s="25"/>
      <c r="K211" s="25"/>
      <c r="L211" s="25"/>
      <c r="M211" s="25"/>
      <c r="N211" s="25"/>
      <c r="O211" s="30"/>
      <c r="P211" s="86">
        <f>+'Sept 06'!P211+P210</f>
        <v>62</v>
      </c>
      <c r="Q211" s="25"/>
      <c r="R211" s="80"/>
      <c r="S211" s="89"/>
      <c r="T211" s="5"/>
    </row>
    <row r="212" spans="1:21" ht="15.6" x14ac:dyDescent="0.3">
      <c r="A212" s="85"/>
      <c r="B212" s="77" t="s">
        <v>95</v>
      </c>
      <c r="C212" s="54"/>
      <c r="D212" s="54"/>
      <c r="E212" s="54"/>
      <c r="F212" s="54"/>
      <c r="G212" s="25"/>
      <c r="H212" s="25"/>
      <c r="I212" s="25"/>
      <c r="J212" s="25"/>
      <c r="K212" s="25"/>
      <c r="L212" s="25"/>
      <c r="M212" s="25"/>
      <c r="N212" s="25"/>
      <c r="O212" s="25"/>
      <c r="P212" s="86">
        <v>0</v>
      </c>
      <c r="Q212" s="25"/>
      <c r="R212" s="80"/>
      <c r="S212" s="89"/>
      <c r="T212" s="5"/>
    </row>
    <row r="213" spans="1:21" ht="15.6" x14ac:dyDescent="0.3">
      <c r="A213" s="88" t="s">
        <v>255</v>
      </c>
      <c r="B213" s="123" t="s">
        <v>256</v>
      </c>
      <c r="C213" s="77"/>
      <c r="D213" s="77"/>
      <c r="E213" s="77"/>
      <c r="F213" s="77"/>
      <c r="G213" s="25"/>
      <c r="H213" s="25"/>
      <c r="I213" s="25"/>
      <c r="J213" s="25"/>
      <c r="K213" s="25"/>
      <c r="L213" s="25"/>
      <c r="M213" s="25"/>
      <c r="N213" s="25"/>
      <c r="O213" s="25"/>
      <c r="P213" s="86"/>
      <c r="Q213" s="25"/>
      <c r="R213" s="80"/>
      <c r="S213" s="89"/>
      <c r="T213" s="5"/>
    </row>
    <row r="214" spans="1:21" ht="15.6" x14ac:dyDescent="0.3">
      <c r="A214" s="88"/>
      <c r="B214" s="77" t="s">
        <v>283</v>
      </c>
      <c r="C214" s="77"/>
      <c r="D214" s="77"/>
      <c r="E214" s="77"/>
      <c r="F214" s="77"/>
      <c r="G214" s="25"/>
      <c r="H214" s="25"/>
      <c r="I214" s="25"/>
      <c r="J214" s="25"/>
      <c r="K214" s="25"/>
      <c r="L214" s="25"/>
      <c r="M214" s="25"/>
      <c r="N214" s="25"/>
      <c r="O214" s="30">
        <v>1</v>
      </c>
      <c r="P214" s="86">
        <v>27</v>
      </c>
      <c r="Q214" s="25"/>
      <c r="R214" s="80"/>
      <c r="S214" s="89"/>
      <c r="T214" s="5"/>
    </row>
    <row r="215" spans="1:21" ht="15.6" x14ac:dyDescent="0.3">
      <c r="A215" s="85"/>
      <c r="B215" s="77" t="s">
        <v>97</v>
      </c>
      <c r="C215" s="90"/>
      <c r="D215" s="90"/>
      <c r="E215" s="90"/>
      <c r="F215" s="91"/>
      <c r="G215" s="25"/>
      <c r="H215" s="25"/>
      <c r="I215" s="25"/>
      <c r="J215" s="25"/>
      <c r="K215" s="25"/>
      <c r="L215" s="25"/>
      <c r="M215" s="25"/>
      <c r="N215" s="25"/>
      <c r="O215" s="30"/>
      <c r="P215" s="62">
        <v>9.1300000000000008</v>
      </c>
      <c r="Q215" s="25"/>
      <c r="R215" s="80"/>
      <c r="S215" s="89"/>
      <c r="T215" s="5"/>
    </row>
    <row r="216" spans="1:21" ht="15.6" x14ac:dyDescent="0.3">
      <c r="A216" s="85"/>
      <c r="B216" s="77" t="s">
        <v>98</v>
      </c>
      <c r="C216" s="90"/>
      <c r="D216" s="90"/>
      <c r="E216" s="90"/>
      <c r="F216" s="91"/>
      <c r="G216" s="25"/>
      <c r="H216" s="25"/>
      <c r="I216" s="25"/>
      <c r="J216" s="25"/>
      <c r="K216" s="25"/>
      <c r="L216" s="25"/>
      <c r="M216" s="25"/>
      <c r="N216" s="25"/>
      <c r="O216" s="30"/>
      <c r="P216" s="62">
        <v>7.72</v>
      </c>
      <c r="Q216" s="25"/>
      <c r="R216" s="80"/>
      <c r="S216" s="89"/>
      <c r="T216" s="5"/>
    </row>
    <row r="217" spans="1:21" ht="15.6" x14ac:dyDescent="0.3">
      <c r="A217" s="85"/>
      <c r="B217" s="123" t="s">
        <v>257</v>
      </c>
      <c r="C217" s="90"/>
      <c r="D217" s="90"/>
      <c r="E217" s="90"/>
      <c r="F217" s="91"/>
      <c r="G217" s="25"/>
      <c r="H217" s="25"/>
      <c r="I217" s="25"/>
      <c r="J217" s="25"/>
      <c r="K217" s="25"/>
      <c r="L217" s="25"/>
      <c r="M217" s="25"/>
      <c r="N217" s="25"/>
      <c r="O217" s="30"/>
      <c r="P217" s="92"/>
      <c r="Q217" s="25"/>
      <c r="R217" s="80"/>
      <c r="S217" s="89"/>
      <c r="T217" s="5"/>
    </row>
    <row r="218" spans="1:21" ht="15.6" x14ac:dyDescent="0.3">
      <c r="A218" s="85"/>
      <c r="B218" s="77" t="s">
        <v>283</v>
      </c>
      <c r="C218" s="90"/>
      <c r="D218" s="90"/>
      <c r="E218" s="90"/>
      <c r="F218" s="91"/>
      <c r="G218" s="25"/>
      <c r="H218" s="25"/>
      <c r="I218" s="25"/>
      <c r="J218" s="25"/>
      <c r="K218" s="25"/>
      <c r="L218" s="25"/>
      <c r="M218" s="25"/>
      <c r="N218" s="25"/>
      <c r="O218" s="30">
        <v>3</v>
      </c>
      <c r="P218" s="86">
        <v>312</v>
      </c>
      <c r="Q218" s="25"/>
      <c r="R218" s="80"/>
      <c r="S218" s="89"/>
      <c r="T218" s="5"/>
    </row>
    <row r="219" spans="1:21" ht="15.6" x14ac:dyDescent="0.3">
      <c r="A219" s="85"/>
      <c r="B219" s="77" t="s">
        <v>258</v>
      </c>
      <c r="C219" s="90"/>
      <c r="D219" s="90"/>
      <c r="E219" s="90"/>
      <c r="F219" s="91"/>
      <c r="G219" s="25"/>
      <c r="H219" s="25"/>
      <c r="I219" s="25"/>
      <c r="J219" s="25"/>
      <c r="K219" s="25"/>
      <c r="L219" s="25"/>
      <c r="M219" s="25"/>
      <c r="N219" s="25"/>
      <c r="O219" s="25"/>
      <c r="P219" s="171">
        <v>4.97</v>
      </c>
      <c r="Q219" s="25"/>
      <c r="R219" s="80"/>
      <c r="S219" s="89"/>
      <c r="T219" s="5"/>
    </row>
    <row r="220" spans="1:21" ht="17.399999999999999" x14ac:dyDescent="0.3">
      <c r="A220" s="85"/>
      <c r="B220" s="166" t="s">
        <v>247</v>
      </c>
      <c r="C220" s="90"/>
      <c r="D220" s="90"/>
      <c r="E220" s="90"/>
      <c r="F220" s="91"/>
      <c r="G220" s="25"/>
      <c r="H220" s="25"/>
      <c r="I220" s="25"/>
      <c r="J220" s="168" t="s">
        <v>246</v>
      </c>
      <c r="K220" s="25"/>
      <c r="L220" s="25"/>
      <c r="M220" s="25"/>
      <c r="N220" s="25"/>
      <c r="O220" s="25"/>
      <c r="P220" s="92"/>
      <c r="Q220" s="25"/>
      <c r="R220" s="80"/>
      <c r="S220" s="89"/>
      <c r="T220" s="5"/>
    </row>
    <row r="221" spans="1:21" ht="15.6" x14ac:dyDescent="0.3">
      <c r="A221" s="85"/>
      <c r="B221" s="77"/>
      <c r="C221" s="90"/>
      <c r="D221" s="90"/>
      <c r="E221" s="90"/>
      <c r="F221" s="91"/>
      <c r="G221" s="25"/>
      <c r="H221" s="25"/>
      <c r="I221" s="25"/>
      <c r="J221" s="25"/>
      <c r="K221" s="25"/>
      <c r="L221" s="25"/>
      <c r="M221" s="25"/>
      <c r="N221" s="25"/>
      <c r="O221" s="25"/>
      <c r="P221" s="92"/>
      <c r="Q221" s="25"/>
      <c r="R221" s="80"/>
      <c r="S221" s="89"/>
      <c r="T221" s="5"/>
    </row>
    <row r="222" spans="1:21" ht="15.6" x14ac:dyDescent="0.3">
      <c r="A222" s="6"/>
      <c r="B222" s="14" t="s">
        <v>236</v>
      </c>
      <c r="C222" s="82"/>
      <c r="D222" s="82"/>
      <c r="E222" s="82"/>
      <c r="F222" s="83"/>
      <c r="G222" s="82"/>
      <c r="H222" s="17"/>
      <c r="I222" s="17"/>
      <c r="J222" s="17"/>
      <c r="K222" s="17"/>
      <c r="L222" s="17"/>
      <c r="M222" s="17"/>
      <c r="N222" s="84" t="s">
        <v>113</v>
      </c>
      <c r="O222" s="17" t="s">
        <v>114</v>
      </c>
      <c r="P222" s="84" t="s">
        <v>123</v>
      </c>
      <c r="Q222" s="17" t="s">
        <v>114</v>
      </c>
      <c r="R222" s="8"/>
      <c r="S222" s="93"/>
      <c r="T222" s="5"/>
    </row>
    <row r="223" spans="1:21" ht="15.6" x14ac:dyDescent="0.3">
      <c r="A223" s="24"/>
      <c r="B223" s="54" t="s">
        <v>99</v>
      </c>
      <c r="C223" s="94"/>
      <c r="D223" s="94"/>
      <c r="E223" s="94"/>
      <c r="F223" s="25"/>
      <c r="G223" s="94"/>
      <c r="H223" s="94"/>
      <c r="I223" s="94"/>
      <c r="J223" s="94"/>
      <c r="K223" s="94"/>
      <c r="L223" s="94"/>
      <c r="M223" s="94"/>
      <c r="N223" s="54">
        <v>7228</v>
      </c>
      <c r="O223" s="95">
        <f t="shared" ref="O223:O230" si="1">N223/$N$232</f>
        <v>0.99149519890260629</v>
      </c>
      <c r="P223" s="53">
        <v>755493</v>
      </c>
      <c r="Q223" s="135">
        <f t="shared" ref="Q223:Q230" si="2">P223/$P$232</f>
        <v>0.99526274257695735</v>
      </c>
      <c r="R223" s="80"/>
      <c r="S223" s="89"/>
      <c r="T223" s="5"/>
    </row>
    <row r="224" spans="1:21" ht="15.6" x14ac:dyDescent="0.3">
      <c r="A224" s="24"/>
      <c r="B224" s="54" t="s">
        <v>100</v>
      </c>
      <c r="C224" s="94"/>
      <c r="D224" s="94"/>
      <c r="E224" s="94"/>
      <c r="F224" s="25"/>
      <c r="G224" s="95"/>
      <c r="H224" s="94"/>
      <c r="I224" s="94"/>
      <c r="J224" s="94"/>
      <c r="K224" s="94"/>
      <c r="L224" s="94"/>
      <c r="M224" s="94"/>
      <c r="N224" s="54">
        <v>26</v>
      </c>
      <c r="O224" s="95">
        <f t="shared" si="1"/>
        <v>3.5665294924554186E-3</v>
      </c>
      <c r="P224" s="53">
        <v>1318</v>
      </c>
      <c r="Q224" s="135">
        <f t="shared" si="2"/>
        <v>1.7362917918715723E-3</v>
      </c>
      <c r="R224" s="80"/>
      <c r="S224" s="89"/>
      <c r="T224" s="5"/>
      <c r="U224" s="110"/>
    </row>
    <row r="225" spans="1:21" ht="15.6" x14ac:dyDescent="0.3">
      <c r="A225" s="24"/>
      <c r="B225" s="54" t="s">
        <v>101</v>
      </c>
      <c r="C225" s="94"/>
      <c r="D225" s="94"/>
      <c r="E225" s="94"/>
      <c r="F225" s="25"/>
      <c r="G225" s="95"/>
      <c r="H225" s="94"/>
      <c r="I225" s="94"/>
      <c r="J225" s="94"/>
      <c r="K225" s="94"/>
      <c r="L225" s="94"/>
      <c r="M225" s="94"/>
      <c r="N225" s="54">
        <v>19</v>
      </c>
      <c r="O225" s="95">
        <f t="shared" si="1"/>
        <v>2.606310013717421E-3</v>
      </c>
      <c r="P225" s="53">
        <v>1359</v>
      </c>
      <c r="Q225" s="135">
        <f t="shared" si="2"/>
        <v>1.7903039037583208E-3</v>
      </c>
      <c r="R225" s="80"/>
      <c r="S225" s="89"/>
      <c r="T225" s="5"/>
    </row>
    <row r="226" spans="1:21" ht="15.6" x14ac:dyDescent="0.3">
      <c r="A226" s="24"/>
      <c r="B226" s="54" t="s">
        <v>210</v>
      </c>
      <c r="C226" s="94"/>
      <c r="D226" s="94"/>
      <c r="E226" s="94"/>
      <c r="F226" s="25"/>
      <c r="G226" s="95"/>
      <c r="H226" s="94"/>
      <c r="I226" s="94"/>
      <c r="J226" s="94"/>
      <c r="K226" s="94"/>
      <c r="L226" s="94"/>
      <c r="M226" s="94"/>
      <c r="N226" s="54">
        <v>7</v>
      </c>
      <c r="O226" s="95">
        <f t="shared" si="1"/>
        <v>9.6021947873799727E-4</v>
      </c>
      <c r="P226" s="53">
        <v>538</v>
      </c>
      <c r="Q226" s="135">
        <f t="shared" si="2"/>
        <v>7.0874429744074801E-4</v>
      </c>
      <c r="R226" s="80"/>
      <c r="S226" s="89"/>
      <c r="T226" s="5"/>
      <c r="U226" s="110"/>
    </row>
    <row r="227" spans="1:21" ht="15.6" x14ac:dyDescent="0.3">
      <c r="A227" s="24"/>
      <c r="B227" s="54" t="s">
        <v>211</v>
      </c>
      <c r="C227" s="94"/>
      <c r="D227" s="94"/>
      <c r="E227" s="94"/>
      <c r="F227" s="25"/>
      <c r="G227" s="95"/>
      <c r="H227" s="94"/>
      <c r="I227" s="94"/>
      <c r="J227" s="94"/>
      <c r="K227" s="94"/>
      <c r="L227" s="94"/>
      <c r="M227" s="94"/>
      <c r="N227" s="54">
        <v>0</v>
      </c>
      <c r="O227" s="95">
        <f t="shared" si="1"/>
        <v>0</v>
      </c>
      <c r="P227" s="53">
        <v>0</v>
      </c>
      <c r="Q227" s="135">
        <f t="shared" si="2"/>
        <v>0</v>
      </c>
      <c r="R227" s="80"/>
      <c r="S227" s="89"/>
      <c r="T227" s="5"/>
    </row>
    <row r="228" spans="1:21" ht="15.6" x14ac:dyDescent="0.3">
      <c r="A228" s="24"/>
      <c r="B228" s="54" t="s">
        <v>212</v>
      </c>
      <c r="C228" s="94"/>
      <c r="D228" s="94"/>
      <c r="E228" s="94"/>
      <c r="F228" s="25"/>
      <c r="G228" s="95"/>
      <c r="H228" s="94"/>
      <c r="I228" s="94"/>
      <c r="J228" s="94"/>
      <c r="K228" s="94"/>
      <c r="L228" s="94"/>
      <c r="M228" s="94"/>
      <c r="N228" s="54">
        <v>1</v>
      </c>
      <c r="O228" s="95">
        <f t="shared" si="1"/>
        <v>1.3717421124828533E-4</v>
      </c>
      <c r="P228" s="53">
        <v>24</v>
      </c>
      <c r="Q228" s="135">
        <f t="shared" si="2"/>
        <v>3.16168459824869E-5</v>
      </c>
      <c r="R228" s="80"/>
      <c r="S228" s="89"/>
      <c r="T228" s="5"/>
      <c r="U228" s="110"/>
    </row>
    <row r="229" spans="1:21" ht="15.6" x14ac:dyDescent="0.3">
      <c r="A229" s="24"/>
      <c r="B229" s="54" t="s">
        <v>213</v>
      </c>
      <c r="C229" s="94"/>
      <c r="D229" s="94"/>
      <c r="E229" s="94"/>
      <c r="F229" s="25"/>
      <c r="G229" s="95"/>
      <c r="H229" s="94"/>
      <c r="I229" s="94"/>
      <c r="J229" s="94"/>
      <c r="K229" s="94"/>
      <c r="L229" s="94"/>
      <c r="M229" s="94"/>
      <c r="N229" s="54">
        <v>4</v>
      </c>
      <c r="O229" s="95">
        <f t="shared" si="1"/>
        <v>5.4869684499314131E-4</v>
      </c>
      <c r="P229" s="53">
        <v>152</v>
      </c>
      <c r="Q229" s="135">
        <f t="shared" si="2"/>
        <v>2.0024002455575038E-4</v>
      </c>
      <c r="R229" s="80"/>
      <c r="S229" s="89"/>
      <c r="T229" s="5"/>
    </row>
    <row r="230" spans="1:21" ht="15.6" x14ac:dyDescent="0.3">
      <c r="A230" s="24"/>
      <c r="B230" s="54" t="s">
        <v>214</v>
      </c>
      <c r="C230" s="94"/>
      <c r="D230" s="94"/>
      <c r="E230" s="94"/>
      <c r="F230" s="25"/>
      <c r="G230" s="95"/>
      <c r="H230" s="94"/>
      <c r="I230" s="94"/>
      <c r="J230" s="94"/>
      <c r="K230" s="94"/>
      <c r="L230" s="94"/>
      <c r="M230" s="94"/>
      <c r="N230" s="54">
        <v>5</v>
      </c>
      <c r="O230" s="95">
        <f t="shared" si="1"/>
        <v>6.8587105624142656E-4</v>
      </c>
      <c r="P230" s="53">
        <v>205</v>
      </c>
      <c r="Q230" s="135">
        <f t="shared" si="2"/>
        <v>2.700605594337423E-4</v>
      </c>
      <c r="R230" s="80"/>
      <c r="S230" s="89"/>
      <c r="T230" s="5"/>
      <c r="U230" s="110"/>
    </row>
    <row r="231" spans="1:21" ht="15.6" x14ac:dyDescent="0.3">
      <c r="A231" s="24"/>
      <c r="B231" s="25"/>
      <c r="C231" s="94"/>
      <c r="D231" s="94"/>
      <c r="E231" s="94"/>
      <c r="F231" s="25"/>
      <c r="G231" s="95"/>
      <c r="H231" s="94"/>
      <c r="I231" s="94"/>
      <c r="J231" s="94"/>
      <c r="K231" s="94"/>
      <c r="L231" s="94"/>
      <c r="M231" s="94"/>
      <c r="N231" s="54"/>
      <c r="O231" s="95"/>
      <c r="P231" s="53"/>
      <c r="Q231" s="135"/>
      <c r="R231" s="80"/>
      <c r="S231" s="89"/>
      <c r="T231" s="5"/>
    </row>
    <row r="232" spans="1:21" ht="15.6" x14ac:dyDescent="0.3">
      <c r="A232" s="24"/>
      <c r="B232" s="25" t="s">
        <v>129</v>
      </c>
      <c r="C232" s="25"/>
      <c r="D232" s="25"/>
      <c r="E232" s="25"/>
      <c r="F232" s="25"/>
      <c r="G232" s="25"/>
      <c r="H232" s="96"/>
      <c r="I232" s="96"/>
      <c r="J232" s="96"/>
      <c r="K232" s="96"/>
      <c r="L232" s="96"/>
      <c r="M232" s="96"/>
      <c r="N232" s="34">
        <f>SUM(N223:N231)</f>
        <v>7290</v>
      </c>
      <c r="O232" s="135">
        <f>SUM(O223:O231)</f>
        <v>1</v>
      </c>
      <c r="P232" s="53">
        <f>SUM(P223:P231)</f>
        <v>759089</v>
      </c>
      <c r="Q232" s="135">
        <f>SUM(Q223:Q231)</f>
        <v>1</v>
      </c>
      <c r="R232" s="25"/>
      <c r="S232" s="25"/>
      <c r="T232" s="5"/>
    </row>
    <row r="233" spans="1:21" ht="15.6" x14ac:dyDescent="0.3">
      <c r="A233" s="24"/>
      <c r="B233" s="25"/>
      <c r="C233" s="25"/>
      <c r="D233" s="25"/>
      <c r="E233" s="25"/>
      <c r="F233" s="25"/>
      <c r="G233" s="25"/>
      <c r="H233" s="96"/>
      <c r="I233" s="96"/>
      <c r="J233" s="96"/>
      <c r="K233" s="96"/>
      <c r="L233" s="96"/>
      <c r="M233" s="96"/>
      <c r="N233" s="34"/>
      <c r="O233" s="135"/>
      <c r="P233" s="53"/>
      <c r="Q233" s="135"/>
      <c r="R233" s="25"/>
      <c r="S233" s="25"/>
      <c r="T233" s="5"/>
    </row>
    <row r="234" spans="1:21" ht="15.6" x14ac:dyDescent="0.3">
      <c r="A234" s="144"/>
      <c r="B234" s="14" t="s">
        <v>241</v>
      </c>
      <c r="C234" s="82"/>
      <c r="D234" s="82"/>
      <c r="E234" s="82"/>
      <c r="F234" s="83"/>
      <c r="G234" s="82"/>
      <c r="H234" s="17"/>
      <c r="I234" s="17"/>
      <c r="J234" s="17"/>
      <c r="K234" s="17"/>
      <c r="L234" s="17"/>
      <c r="M234" s="17"/>
      <c r="N234" s="84" t="s">
        <v>113</v>
      </c>
      <c r="O234" s="17" t="s">
        <v>114</v>
      </c>
      <c r="P234" s="84" t="s">
        <v>123</v>
      </c>
      <c r="Q234" s="17" t="s">
        <v>114</v>
      </c>
      <c r="R234" s="142"/>
      <c r="S234" s="143"/>
      <c r="T234" s="5"/>
    </row>
    <row r="235" spans="1:21" ht="15.6" x14ac:dyDescent="0.3">
      <c r="A235" s="24"/>
      <c r="B235" s="54" t="s">
        <v>99</v>
      </c>
      <c r="C235" s="94"/>
      <c r="D235" s="94"/>
      <c r="E235" s="94"/>
      <c r="F235" s="25"/>
      <c r="G235" s="94"/>
      <c r="H235" s="94"/>
      <c r="I235" s="94"/>
      <c r="J235" s="94"/>
      <c r="K235" s="94"/>
      <c r="L235" s="94"/>
      <c r="M235" s="94"/>
      <c r="N235" s="54">
        <v>2</v>
      </c>
      <c r="O235" s="95">
        <f t="shared" ref="O235:O242" si="3">N235/$N$244</f>
        <v>7.407407407407407E-2</v>
      </c>
      <c r="P235" s="53">
        <v>124</v>
      </c>
      <c r="Q235" s="135">
        <f t="shared" ref="Q235:Q242" si="4">P235/$P$244</f>
        <v>1.8983466013472138E-2</v>
      </c>
      <c r="R235" s="25"/>
      <c r="S235" s="25"/>
      <c r="T235" s="5"/>
    </row>
    <row r="236" spans="1:21" ht="15.6" x14ac:dyDescent="0.3">
      <c r="A236" s="24"/>
      <c r="B236" s="54" t="s">
        <v>100</v>
      </c>
      <c r="C236" s="94"/>
      <c r="D236" s="94"/>
      <c r="E236" s="94"/>
      <c r="F236" s="25"/>
      <c r="G236" s="95"/>
      <c r="H236" s="94"/>
      <c r="I236" s="94"/>
      <c r="J236" s="94"/>
      <c r="K236" s="94"/>
      <c r="L236" s="94"/>
      <c r="M236" s="94"/>
      <c r="N236" s="54">
        <v>3</v>
      </c>
      <c r="O236" s="95">
        <f t="shared" si="3"/>
        <v>0.1111111111111111</v>
      </c>
      <c r="P236" s="53">
        <v>1977</v>
      </c>
      <c r="Q236" s="135">
        <f t="shared" si="4"/>
        <v>0.30266380894060013</v>
      </c>
      <c r="R236" s="25"/>
      <c r="S236" s="25"/>
      <c r="T236" s="5"/>
    </row>
    <row r="237" spans="1:21" ht="15.6" x14ac:dyDescent="0.3">
      <c r="A237" s="24"/>
      <c r="B237" s="54" t="s">
        <v>101</v>
      </c>
      <c r="C237" s="94"/>
      <c r="D237" s="94"/>
      <c r="E237" s="94"/>
      <c r="F237" s="25"/>
      <c r="G237" s="95"/>
      <c r="H237" s="94"/>
      <c r="I237" s="94"/>
      <c r="J237" s="94"/>
      <c r="K237" s="94"/>
      <c r="L237" s="94"/>
      <c r="M237" s="94"/>
      <c r="N237" s="54">
        <v>1</v>
      </c>
      <c r="O237" s="95">
        <f t="shared" si="3"/>
        <v>3.7037037037037035E-2</v>
      </c>
      <c r="P237" s="53">
        <v>142</v>
      </c>
      <c r="Q237" s="135">
        <f t="shared" si="4"/>
        <v>2.1739130434782608E-2</v>
      </c>
      <c r="R237" s="25"/>
      <c r="S237" s="25"/>
      <c r="T237" s="5"/>
    </row>
    <row r="238" spans="1:21" ht="15.6" x14ac:dyDescent="0.3">
      <c r="A238" s="24"/>
      <c r="B238" s="54" t="s">
        <v>210</v>
      </c>
      <c r="C238" s="94"/>
      <c r="D238" s="94"/>
      <c r="E238" s="94"/>
      <c r="F238" s="25"/>
      <c r="G238" s="95"/>
      <c r="H238" s="94"/>
      <c r="I238" s="94"/>
      <c r="J238" s="94"/>
      <c r="K238" s="94"/>
      <c r="L238" s="94"/>
      <c r="M238" s="94"/>
      <c r="N238" s="54">
        <v>2</v>
      </c>
      <c r="O238" s="95">
        <f t="shared" si="3"/>
        <v>7.407407407407407E-2</v>
      </c>
      <c r="P238" s="53">
        <v>521</v>
      </c>
      <c r="Q238" s="135">
        <f t="shared" si="4"/>
        <v>7.9761175750153096E-2</v>
      </c>
      <c r="R238" s="25"/>
      <c r="S238" s="25"/>
      <c r="T238" s="5"/>
    </row>
    <row r="239" spans="1:21" ht="15.6" x14ac:dyDescent="0.3">
      <c r="A239" s="24"/>
      <c r="B239" s="54" t="s">
        <v>211</v>
      </c>
      <c r="C239" s="94"/>
      <c r="D239" s="94"/>
      <c r="E239" s="94"/>
      <c r="F239" s="25"/>
      <c r="G239" s="95"/>
      <c r="H239" s="94"/>
      <c r="I239" s="94"/>
      <c r="J239" s="94"/>
      <c r="K239" s="94"/>
      <c r="L239" s="94"/>
      <c r="M239" s="94"/>
      <c r="N239" s="54">
        <v>5</v>
      </c>
      <c r="O239" s="95">
        <f t="shared" si="3"/>
        <v>0.18518518518518517</v>
      </c>
      <c r="P239" s="53">
        <v>904</v>
      </c>
      <c r="Q239" s="135">
        <f t="shared" si="4"/>
        <v>0.13839559093692591</v>
      </c>
      <c r="R239" s="25"/>
      <c r="S239" s="25"/>
      <c r="T239" s="5"/>
    </row>
    <row r="240" spans="1:21" ht="15.6" x14ac:dyDescent="0.3">
      <c r="A240" s="24"/>
      <c r="B240" s="54" t="s">
        <v>212</v>
      </c>
      <c r="C240" s="94"/>
      <c r="D240" s="94"/>
      <c r="E240" s="94"/>
      <c r="F240" s="25"/>
      <c r="G240" s="95"/>
      <c r="H240" s="94"/>
      <c r="I240" s="94"/>
      <c r="J240" s="94"/>
      <c r="K240" s="94"/>
      <c r="L240" s="94"/>
      <c r="M240" s="94"/>
      <c r="N240" s="54">
        <v>1</v>
      </c>
      <c r="O240" s="95">
        <f t="shared" si="3"/>
        <v>3.7037037037037035E-2</v>
      </c>
      <c r="P240" s="53">
        <v>191</v>
      </c>
      <c r="Q240" s="135">
        <f t="shared" si="4"/>
        <v>2.9240661359461115E-2</v>
      </c>
      <c r="R240" s="25"/>
      <c r="S240" s="25"/>
      <c r="T240" s="5"/>
    </row>
    <row r="241" spans="1:20" ht="15.6" x14ac:dyDescent="0.3">
      <c r="A241" s="24"/>
      <c r="B241" s="54" t="s">
        <v>213</v>
      </c>
      <c r="C241" s="94"/>
      <c r="D241" s="94"/>
      <c r="E241" s="94"/>
      <c r="F241" s="25"/>
      <c r="G241" s="95"/>
      <c r="H241" s="94"/>
      <c r="I241" s="94"/>
      <c r="J241" s="94"/>
      <c r="K241" s="94"/>
      <c r="L241" s="94"/>
      <c r="M241" s="94"/>
      <c r="N241" s="54">
        <v>11</v>
      </c>
      <c r="O241" s="95">
        <f t="shared" si="3"/>
        <v>0.40740740740740738</v>
      </c>
      <c r="P241" s="53">
        <v>2314</v>
      </c>
      <c r="Q241" s="135">
        <f t="shared" si="4"/>
        <v>0.3542559706062462</v>
      </c>
      <c r="R241" s="25"/>
      <c r="S241" s="25"/>
      <c r="T241" s="5"/>
    </row>
    <row r="242" spans="1:20" ht="15.6" x14ac:dyDescent="0.3">
      <c r="A242" s="24"/>
      <c r="B242" s="54" t="s">
        <v>214</v>
      </c>
      <c r="C242" s="94"/>
      <c r="D242" s="94"/>
      <c r="E242" s="94"/>
      <c r="F242" s="25"/>
      <c r="G242" s="95"/>
      <c r="H242" s="94"/>
      <c r="I242" s="94"/>
      <c r="J242" s="94"/>
      <c r="K242" s="94"/>
      <c r="L242" s="94"/>
      <c r="M242" s="94"/>
      <c r="N242" s="54">
        <v>2</v>
      </c>
      <c r="O242" s="95">
        <f t="shared" si="3"/>
        <v>7.407407407407407E-2</v>
      </c>
      <c r="P242" s="53">
        <v>359</v>
      </c>
      <c r="Q242" s="135">
        <f t="shared" si="4"/>
        <v>5.4960195958358847E-2</v>
      </c>
      <c r="R242" s="25"/>
      <c r="S242" s="25"/>
      <c r="T242" s="5"/>
    </row>
    <row r="243" spans="1:20" ht="15.6" x14ac:dyDescent="0.3">
      <c r="A243" s="24"/>
      <c r="B243" s="25"/>
      <c r="C243" s="94"/>
      <c r="D243" s="94"/>
      <c r="E243" s="94"/>
      <c r="F243" s="25"/>
      <c r="G243" s="95"/>
      <c r="H243" s="94"/>
      <c r="I243" s="94"/>
      <c r="J243" s="94"/>
      <c r="K243" s="94"/>
      <c r="L243" s="94"/>
      <c r="M243" s="94"/>
      <c r="N243" s="54"/>
      <c r="O243" s="95"/>
      <c r="P243" s="53"/>
      <c r="Q243" s="135"/>
      <c r="R243" s="25"/>
      <c r="S243" s="25"/>
      <c r="T243" s="5"/>
    </row>
    <row r="244" spans="1:20" ht="15.6" x14ac:dyDescent="0.3">
      <c r="A244" s="24"/>
      <c r="B244" s="25" t="s">
        <v>129</v>
      </c>
      <c r="C244" s="25"/>
      <c r="D244" s="25"/>
      <c r="E244" s="25"/>
      <c r="F244" s="25"/>
      <c r="G244" s="25"/>
      <c r="H244" s="96"/>
      <c r="I244" s="96"/>
      <c r="J244" s="96"/>
      <c r="K244" s="96"/>
      <c r="L244" s="96"/>
      <c r="M244" s="96"/>
      <c r="N244" s="34">
        <f>SUM(N235:N243)</f>
        <v>27</v>
      </c>
      <c r="O244" s="135">
        <f>SUM(O235:O243)</f>
        <v>0.99999999999999989</v>
      </c>
      <c r="P244" s="53">
        <f>SUM(P235:P243)</f>
        <v>6532</v>
      </c>
      <c r="Q244" s="135">
        <f>SUM(Q235:Q243)</f>
        <v>1</v>
      </c>
      <c r="R244" s="25"/>
      <c r="S244" s="25"/>
      <c r="T244" s="5"/>
    </row>
    <row r="245" spans="1:20" ht="15.6" x14ac:dyDescent="0.3">
      <c r="A245" s="24"/>
      <c r="B245" s="25"/>
      <c r="C245" s="25"/>
      <c r="D245" s="25"/>
      <c r="E245" s="25"/>
      <c r="F245" s="25"/>
      <c r="G245" s="25"/>
      <c r="H245" s="96"/>
      <c r="I245" s="96"/>
      <c r="J245" s="96"/>
      <c r="K245" s="96"/>
      <c r="L245" s="96"/>
      <c r="M245" s="96"/>
      <c r="N245" s="34"/>
      <c r="O245" s="135"/>
      <c r="P245" s="53"/>
      <c r="Q245" s="135"/>
      <c r="R245" s="25"/>
      <c r="S245" s="25"/>
      <c r="T245" s="5"/>
    </row>
    <row r="246" spans="1:20" s="153" customFormat="1" ht="15.6" x14ac:dyDescent="0.3">
      <c r="A246" s="144"/>
      <c r="B246" s="14" t="s">
        <v>239</v>
      </c>
      <c r="C246" s="151"/>
      <c r="D246" s="151"/>
      <c r="E246" s="151"/>
      <c r="F246" s="151"/>
      <c r="G246" s="151"/>
      <c r="H246" s="152"/>
      <c r="I246" s="152"/>
      <c r="J246" s="152"/>
      <c r="K246" s="152"/>
      <c r="L246" s="152"/>
      <c r="M246" s="152"/>
      <c r="N246" s="84" t="s">
        <v>113</v>
      </c>
      <c r="O246" s="17" t="s">
        <v>114</v>
      </c>
      <c r="P246" s="84" t="s">
        <v>123</v>
      </c>
      <c r="Q246" s="17" t="s">
        <v>114</v>
      </c>
      <c r="R246" s="151"/>
      <c r="S246" s="151"/>
      <c r="T246" s="5"/>
    </row>
    <row r="247" spans="1:20" s="153" customFormat="1" ht="15.6" x14ac:dyDescent="0.3">
      <c r="A247" s="24"/>
      <c r="B247" s="54" t="s">
        <v>99</v>
      </c>
      <c r="C247" s="161"/>
      <c r="D247" s="161"/>
      <c r="E247" s="161"/>
      <c r="F247" s="161"/>
      <c r="G247" s="161"/>
      <c r="H247" s="162"/>
      <c r="I247" s="162"/>
      <c r="J247" s="162"/>
      <c r="K247" s="162"/>
      <c r="L247" s="162"/>
      <c r="M247" s="162"/>
      <c r="N247" s="54">
        <v>1</v>
      </c>
      <c r="O247" s="95">
        <f t="shared" ref="O247:O254" si="5">N247/$N$256</f>
        <v>0.33333333333333331</v>
      </c>
      <c r="P247" s="53">
        <v>2</v>
      </c>
      <c r="Q247" s="135">
        <f t="shared" ref="Q247:Q254" si="6">P247/$P$256</f>
        <v>5.2631578947368418E-2</v>
      </c>
      <c r="R247" s="155"/>
      <c r="S247" s="160"/>
      <c r="T247" s="5"/>
    </row>
    <row r="248" spans="1:20" s="153" customFormat="1" ht="15.6" x14ac:dyDescent="0.3">
      <c r="A248" s="24"/>
      <c r="B248" s="54" t="s">
        <v>100</v>
      </c>
      <c r="C248" s="161"/>
      <c r="D248" s="161"/>
      <c r="E248" s="161"/>
      <c r="F248" s="161"/>
      <c r="G248" s="161"/>
      <c r="H248" s="162"/>
      <c r="I248" s="162"/>
      <c r="J248" s="162"/>
      <c r="K248" s="162"/>
      <c r="L248" s="162"/>
      <c r="M248" s="162"/>
      <c r="N248" s="54">
        <v>0</v>
      </c>
      <c r="O248" s="95">
        <f t="shared" si="5"/>
        <v>0</v>
      </c>
      <c r="P248" s="53">
        <v>0</v>
      </c>
      <c r="Q248" s="135">
        <f t="shared" si="6"/>
        <v>0</v>
      </c>
      <c r="R248" s="135"/>
      <c r="S248" s="160"/>
      <c r="T248" s="5"/>
    </row>
    <row r="249" spans="1:20" s="153" customFormat="1" ht="15.6" x14ac:dyDescent="0.3">
      <c r="A249" s="24"/>
      <c r="B249" s="54" t="s">
        <v>101</v>
      </c>
      <c r="C249" s="161"/>
      <c r="D249" s="161"/>
      <c r="E249" s="161"/>
      <c r="F249" s="161"/>
      <c r="G249" s="161"/>
      <c r="H249" s="162"/>
      <c r="I249" s="162"/>
      <c r="J249" s="162"/>
      <c r="K249" s="162"/>
      <c r="L249" s="162"/>
      <c r="M249" s="162"/>
      <c r="N249" s="54">
        <v>0</v>
      </c>
      <c r="O249" s="95">
        <f t="shared" si="5"/>
        <v>0</v>
      </c>
      <c r="P249" s="53">
        <v>0</v>
      </c>
      <c r="Q249" s="135">
        <f t="shared" si="6"/>
        <v>0</v>
      </c>
      <c r="R249" s="155"/>
      <c r="S249" s="160"/>
      <c r="T249" s="5"/>
    </row>
    <row r="250" spans="1:20" s="153" customFormat="1" ht="15.6" x14ac:dyDescent="0.3">
      <c r="A250" s="24"/>
      <c r="B250" s="54" t="s">
        <v>210</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t="s">
        <v>211</v>
      </c>
      <c r="C251" s="161"/>
      <c r="D251" s="161"/>
      <c r="E251" s="161"/>
      <c r="F251" s="161"/>
      <c r="G251" s="161"/>
      <c r="H251" s="162"/>
      <c r="I251" s="162"/>
      <c r="J251" s="162"/>
      <c r="K251" s="162"/>
      <c r="L251" s="162"/>
      <c r="M251" s="162"/>
      <c r="N251" s="54">
        <v>0</v>
      </c>
      <c r="O251" s="95">
        <f t="shared" si="5"/>
        <v>0</v>
      </c>
      <c r="P251" s="53">
        <v>0</v>
      </c>
      <c r="Q251" s="135">
        <f t="shared" si="6"/>
        <v>0</v>
      </c>
      <c r="R251" s="155"/>
      <c r="S251" s="160"/>
      <c r="T251" s="5"/>
    </row>
    <row r="252" spans="1:20" s="153" customFormat="1" ht="15.6" x14ac:dyDescent="0.3">
      <c r="A252" s="24"/>
      <c r="B252" s="54" t="s">
        <v>212</v>
      </c>
      <c r="C252" s="161"/>
      <c r="D252" s="161"/>
      <c r="E252" s="161"/>
      <c r="F252" s="161"/>
      <c r="G252" s="161"/>
      <c r="H252" s="162"/>
      <c r="I252" s="162"/>
      <c r="J252" s="162"/>
      <c r="K252" s="162"/>
      <c r="L252" s="162"/>
      <c r="M252" s="162"/>
      <c r="N252" s="54">
        <v>0</v>
      </c>
      <c r="O252" s="95">
        <f t="shared" si="5"/>
        <v>0</v>
      </c>
      <c r="P252" s="53">
        <v>0</v>
      </c>
      <c r="Q252" s="135">
        <f t="shared" si="6"/>
        <v>0</v>
      </c>
      <c r="R252" s="155"/>
      <c r="S252" s="160"/>
      <c r="T252" s="5"/>
    </row>
    <row r="253" spans="1:20" s="153" customFormat="1" ht="15.6" x14ac:dyDescent="0.3">
      <c r="A253" s="24"/>
      <c r="B253" s="54" t="s">
        <v>213</v>
      </c>
      <c r="C253" s="161"/>
      <c r="D253" s="161"/>
      <c r="E253" s="161"/>
      <c r="F253" s="161"/>
      <c r="G253" s="161"/>
      <c r="H253" s="162"/>
      <c r="I253" s="162"/>
      <c r="J253" s="162"/>
      <c r="K253" s="162"/>
      <c r="L253" s="162"/>
      <c r="M253" s="162"/>
      <c r="N253" s="54">
        <v>1</v>
      </c>
      <c r="O253" s="95">
        <f t="shared" si="5"/>
        <v>0.33333333333333331</v>
      </c>
      <c r="P253" s="53">
        <v>2</v>
      </c>
      <c r="Q253" s="135">
        <f t="shared" si="6"/>
        <v>5.2631578947368418E-2</v>
      </c>
      <c r="R253" s="155"/>
      <c r="S253" s="160"/>
      <c r="T253" s="5"/>
    </row>
    <row r="254" spans="1:20" s="153" customFormat="1" ht="15.6" x14ac:dyDescent="0.3">
      <c r="A254" s="24"/>
      <c r="B254" s="54" t="s">
        <v>214</v>
      </c>
      <c r="C254" s="161"/>
      <c r="D254" s="161"/>
      <c r="E254" s="161"/>
      <c r="F254" s="161"/>
      <c r="G254" s="161"/>
      <c r="H254" s="162"/>
      <c r="I254" s="162"/>
      <c r="J254" s="162"/>
      <c r="K254" s="162"/>
      <c r="L254" s="162"/>
      <c r="M254" s="162"/>
      <c r="N254" s="54">
        <v>1</v>
      </c>
      <c r="O254" s="95">
        <f t="shared" si="5"/>
        <v>0.33333333333333331</v>
      </c>
      <c r="P254" s="53">
        <v>34</v>
      </c>
      <c r="Q254" s="135">
        <f t="shared" si="6"/>
        <v>0.89473684210526316</v>
      </c>
      <c r="R254" s="155"/>
      <c r="S254" s="160"/>
      <c r="T254" s="5"/>
    </row>
    <row r="255" spans="1:20" s="153" customFormat="1" ht="15.6" x14ac:dyDescent="0.3">
      <c r="A255" s="24"/>
      <c r="B255" s="54"/>
      <c r="C255" s="161"/>
      <c r="D255" s="161"/>
      <c r="E255" s="161"/>
      <c r="F255" s="161"/>
      <c r="G255" s="161"/>
      <c r="H255" s="162"/>
      <c r="I255" s="162"/>
      <c r="J255" s="162"/>
      <c r="K255" s="162"/>
      <c r="L255" s="162"/>
      <c r="M255" s="162"/>
      <c r="N255" s="54"/>
      <c r="O255" s="95"/>
      <c r="P255" s="53"/>
      <c r="Q255" s="135"/>
      <c r="R255" s="155"/>
      <c r="S255" s="160"/>
      <c r="T255" s="5"/>
    </row>
    <row r="256" spans="1:20" ht="15.6" x14ac:dyDescent="0.3">
      <c r="A256" s="24"/>
      <c r="B256" s="25" t="s">
        <v>129</v>
      </c>
      <c r="C256" s="161"/>
      <c r="D256" s="161"/>
      <c r="E256" s="161"/>
      <c r="F256" s="161"/>
      <c r="G256" s="161"/>
      <c r="H256" s="162"/>
      <c r="I256" s="162"/>
      <c r="J256" s="162"/>
      <c r="K256" s="162"/>
      <c r="L256" s="162"/>
      <c r="M256" s="162"/>
      <c r="N256" s="34">
        <f>SUM(N247:N254)</f>
        <v>3</v>
      </c>
      <c r="O256" s="95">
        <f>SUM(O247:O254)</f>
        <v>1</v>
      </c>
      <c r="P256" s="53">
        <f>SUM(P247:P254)</f>
        <v>38</v>
      </c>
      <c r="Q256" s="135">
        <f>SUM(Q247:Q254)</f>
        <v>1</v>
      </c>
      <c r="R256" s="155"/>
      <c r="S256" s="160"/>
      <c r="T256" s="5"/>
    </row>
    <row r="257" spans="1:20" ht="15.6" x14ac:dyDescent="0.3">
      <c r="A257" s="24"/>
      <c r="B257" s="25"/>
      <c r="C257" s="151"/>
      <c r="D257" s="151"/>
      <c r="E257" s="151"/>
      <c r="F257" s="151"/>
      <c r="G257" s="151"/>
      <c r="H257" s="152"/>
      <c r="I257" s="152"/>
      <c r="J257" s="152"/>
      <c r="K257" s="152"/>
      <c r="L257" s="152"/>
      <c r="M257" s="152"/>
      <c r="N257" s="34"/>
      <c r="O257" s="135"/>
      <c r="P257" s="53"/>
      <c r="Q257" s="135"/>
      <c r="R257" s="151"/>
      <c r="S257" s="151"/>
      <c r="T257" s="5"/>
    </row>
    <row r="258" spans="1:20" ht="15.6" x14ac:dyDescent="0.3">
      <c r="A258" s="24"/>
      <c r="B258" s="154" t="s">
        <v>240</v>
      </c>
      <c r="C258" s="155"/>
      <c r="D258" s="155"/>
      <c r="E258" s="155"/>
      <c r="F258" s="155"/>
      <c r="G258" s="155"/>
      <c r="H258" s="156"/>
      <c r="I258" s="156"/>
      <c r="J258" s="156"/>
      <c r="K258" s="156"/>
      <c r="L258" s="156"/>
      <c r="M258" s="156"/>
      <c r="N258" s="157"/>
      <c r="O258" s="158"/>
      <c r="P258" s="159">
        <f>+P256+P244+P232</f>
        <v>765659</v>
      </c>
      <c r="Q258" s="158"/>
      <c r="R258" s="155"/>
      <c r="S258" s="160"/>
      <c r="T258" s="5"/>
    </row>
    <row r="259" spans="1:20" ht="15.6" x14ac:dyDescent="0.3">
      <c r="A259" s="24"/>
      <c r="B259" s="154"/>
      <c r="C259" s="8"/>
      <c r="D259" s="8"/>
      <c r="E259" s="8"/>
      <c r="F259" s="8"/>
      <c r="G259" s="8"/>
      <c r="H259" s="97"/>
      <c r="I259" s="97"/>
      <c r="J259" s="97"/>
      <c r="K259" s="97"/>
      <c r="L259" s="97"/>
      <c r="M259" s="97"/>
      <c r="N259" s="97"/>
      <c r="O259" s="97"/>
      <c r="P259" s="98"/>
      <c r="Q259" s="97"/>
      <c r="R259" s="8"/>
      <c r="S259" s="8"/>
      <c r="T259" s="5"/>
    </row>
    <row r="260" spans="1:20" ht="15.6" x14ac:dyDescent="0.3">
      <c r="A260" s="150"/>
      <c r="B260" s="14" t="s">
        <v>102</v>
      </c>
      <c r="C260" s="15"/>
      <c r="D260" s="15"/>
      <c r="E260" s="15"/>
      <c r="F260" s="17" t="s">
        <v>108</v>
      </c>
      <c r="G260" s="15"/>
      <c r="H260" s="14" t="s">
        <v>110</v>
      </c>
      <c r="I260" s="145"/>
      <c r="J260" s="145"/>
      <c r="K260" s="145"/>
      <c r="L260" s="145"/>
      <c r="M260" s="145"/>
      <c r="N260" s="145"/>
      <c r="O260" s="145"/>
      <c r="P260" s="145"/>
      <c r="Q260" s="145"/>
      <c r="R260" s="145"/>
      <c r="S260" s="145"/>
      <c r="T260" s="5"/>
    </row>
    <row r="261" spans="1:20" ht="15.6" x14ac:dyDescent="0.3">
      <c r="A261" s="150"/>
      <c r="B261" s="145"/>
      <c r="C261" s="8"/>
      <c r="D261" s="8"/>
      <c r="E261" s="8"/>
      <c r="F261" s="8"/>
      <c r="G261" s="8"/>
      <c r="H261" s="8"/>
      <c r="I261" s="145"/>
      <c r="J261" s="145"/>
      <c r="K261" s="145"/>
      <c r="L261" s="145"/>
      <c r="M261" s="145"/>
      <c r="N261" s="145"/>
      <c r="O261" s="145"/>
      <c r="P261" s="145"/>
      <c r="Q261" s="145"/>
      <c r="R261" s="145"/>
      <c r="S261" s="145"/>
      <c r="T261" s="5"/>
    </row>
    <row r="262" spans="1:20" ht="15.6" x14ac:dyDescent="0.3">
      <c r="A262" s="150"/>
      <c r="B262" s="13" t="s">
        <v>103</v>
      </c>
      <c r="C262" s="13"/>
      <c r="D262" s="13"/>
      <c r="E262" s="13"/>
      <c r="F262" s="133" t="s">
        <v>172</v>
      </c>
      <c r="G262" s="13"/>
      <c r="H262" s="13" t="s">
        <v>200</v>
      </c>
      <c r="I262" s="145"/>
      <c r="J262" s="145"/>
      <c r="K262" s="145"/>
      <c r="L262" s="145"/>
      <c r="M262" s="145"/>
      <c r="N262" s="145"/>
      <c r="O262" s="145"/>
      <c r="P262" s="145"/>
      <c r="Q262" s="145"/>
      <c r="R262" s="145"/>
      <c r="S262" s="145"/>
      <c r="T262" s="5"/>
    </row>
    <row r="263" spans="1:20" ht="15.6" x14ac:dyDescent="0.3">
      <c r="A263" s="150"/>
      <c r="B263" s="13" t="s">
        <v>271</v>
      </c>
      <c r="C263" s="13"/>
      <c r="D263" s="13"/>
      <c r="E263" s="13"/>
      <c r="F263" s="133" t="s">
        <v>272</v>
      </c>
      <c r="G263" s="13"/>
      <c r="H263" s="13" t="s">
        <v>273</v>
      </c>
      <c r="I263" s="145"/>
      <c r="J263" s="145"/>
      <c r="K263" s="145"/>
      <c r="L263" s="145"/>
      <c r="M263" s="145"/>
      <c r="N263" s="145"/>
      <c r="O263" s="145"/>
      <c r="P263" s="145"/>
      <c r="Q263" s="145"/>
      <c r="R263" s="145"/>
      <c r="S263" s="145"/>
      <c r="T263" s="5"/>
    </row>
    <row r="264" spans="1:20" ht="15.6" x14ac:dyDescent="0.3">
      <c r="A264" s="150"/>
      <c r="B264" s="13" t="s">
        <v>104</v>
      </c>
      <c r="C264" s="13"/>
      <c r="D264" s="13"/>
      <c r="E264" s="13"/>
      <c r="F264" s="133" t="s">
        <v>171</v>
      </c>
      <c r="G264" s="13"/>
      <c r="H264" s="13" t="s">
        <v>201</v>
      </c>
      <c r="I264" s="145"/>
      <c r="J264" s="145"/>
      <c r="K264" s="145"/>
      <c r="L264" s="145"/>
      <c r="M264" s="145"/>
      <c r="N264" s="145"/>
      <c r="O264" s="145"/>
      <c r="P264" s="145"/>
      <c r="Q264" s="145"/>
      <c r="R264" s="145"/>
      <c r="S264" s="145"/>
      <c r="T264" s="5"/>
    </row>
    <row r="265" spans="1:20" ht="15.6" x14ac:dyDescent="0.3">
      <c r="A265" s="150"/>
      <c r="B265" s="13"/>
      <c r="C265" s="13"/>
      <c r="D265" s="13"/>
      <c r="E265" s="13"/>
      <c r="F265" s="13"/>
      <c r="G265" s="100"/>
      <c r="H265" s="145"/>
      <c r="I265" s="145"/>
      <c r="J265" s="145"/>
      <c r="K265" s="145"/>
      <c r="L265" s="145"/>
      <c r="M265" s="145"/>
      <c r="N265" s="145"/>
      <c r="O265" s="145"/>
      <c r="P265" s="145"/>
      <c r="Q265" s="145"/>
      <c r="R265" s="145"/>
      <c r="S265" s="145"/>
      <c r="T265" s="5"/>
    </row>
    <row r="266" spans="1:20" ht="18" thickBot="1" x14ac:dyDescent="0.35">
      <c r="A266" s="150"/>
      <c r="B266" s="49" t="str">
        <f>B186</f>
        <v>PM8 INVESTOR REPORT QUARTER ENDING DECEMBER 2006</v>
      </c>
      <c r="C266" s="13"/>
      <c r="D266" s="13"/>
      <c r="E266" s="13"/>
      <c r="F266" s="13"/>
      <c r="G266" s="100"/>
      <c r="H266" s="145"/>
      <c r="I266" s="145"/>
      <c r="J266" s="145"/>
      <c r="K266" s="145"/>
      <c r="L266" s="145"/>
      <c r="M266" s="145"/>
      <c r="N266" s="145"/>
      <c r="O266" s="145"/>
      <c r="P266" s="145"/>
      <c r="Q266" s="145"/>
      <c r="R266" s="145"/>
      <c r="S266" s="145"/>
      <c r="T266" s="5"/>
    </row>
    <row r="267" spans="1:20" x14ac:dyDescent="0.25">
      <c r="A267" s="101"/>
      <c r="B267" s="101"/>
      <c r="C267" s="101"/>
      <c r="D267" s="101"/>
      <c r="E267" s="101"/>
      <c r="F267" s="101"/>
      <c r="G267" s="101"/>
      <c r="H267" s="101"/>
      <c r="I267" s="101"/>
      <c r="J267" s="101"/>
      <c r="K267" s="101"/>
      <c r="L267" s="101"/>
      <c r="M267" s="101"/>
      <c r="N267" s="101"/>
      <c r="O267" s="101"/>
      <c r="P267" s="101"/>
      <c r="Q267" s="101"/>
      <c r="R267" s="101"/>
      <c r="S267" s="101"/>
    </row>
  </sheetData>
  <phoneticPr fontId="0" type="noConversion"/>
  <hyperlinks>
    <hyperlink ref="J220"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0" max="14" man="1"/>
    <brk id="186"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U268"/>
  <sheetViews>
    <sheetView showGridLines="0" showOutlineSymbols="0" zoomScale="70" zoomScaleNormal="70" workbookViewId="0"/>
  </sheetViews>
  <sheetFormatPr defaultColWidth="9.6328125" defaultRowHeight="15" x14ac:dyDescent="0.25"/>
  <cols>
    <col min="1" max="1" width="4" style="1" customWidth="1"/>
    <col min="2" max="2" width="71.08984375" style="1" customWidth="1"/>
    <col min="3" max="3" width="2.08984375" style="1" customWidth="1"/>
    <col min="4" max="4" width="18.08984375" style="1" customWidth="1"/>
    <col min="5" max="5" width="2.08984375" style="1" customWidth="1"/>
    <col min="6" max="6" width="17.54296875" style="1" customWidth="1"/>
    <col min="7" max="7" width="5.08984375" style="1" customWidth="1"/>
    <col min="8" max="8" width="18.90625" style="1" customWidth="1"/>
    <col min="9" max="9" width="2.08984375" style="1" customWidth="1"/>
    <col min="10" max="10" width="14.90625" style="1" customWidth="1"/>
    <col min="11" max="11" width="2.36328125" style="1" customWidth="1"/>
    <col min="12" max="12" width="15.54296875" style="1" customWidth="1"/>
    <col min="13" max="13" width="2.08984375" style="1" customWidth="1"/>
    <col min="14" max="14" width="15.54296875" style="1" customWidth="1"/>
    <col min="15" max="16" width="12.6328125" style="1" customWidth="1"/>
    <col min="17" max="17" width="7.90625" style="1" customWidth="1"/>
    <col min="18" max="18" width="14.6328125" style="1" customWidth="1"/>
    <col min="19" max="19" width="11.90625" style="1" customWidth="1"/>
    <col min="20" max="16384" width="9.6328125" style="1"/>
  </cols>
  <sheetData>
    <row r="1" spans="1:20" ht="20.399999999999999" x14ac:dyDescent="0.35">
      <c r="A1" s="2"/>
      <c r="B1" s="3" t="s">
        <v>179</v>
      </c>
      <c r="C1" s="4"/>
      <c r="D1" s="4"/>
      <c r="E1" s="4"/>
      <c r="F1" s="4"/>
      <c r="G1" s="4"/>
      <c r="H1" s="4"/>
      <c r="I1" s="4"/>
      <c r="J1" s="4"/>
      <c r="K1" s="4"/>
      <c r="L1" s="4"/>
      <c r="M1" s="4"/>
      <c r="N1" s="4"/>
      <c r="O1" s="4"/>
      <c r="P1" s="4"/>
      <c r="Q1" s="4"/>
      <c r="R1" s="4"/>
      <c r="S1" s="4"/>
      <c r="T1" s="5"/>
    </row>
    <row r="2" spans="1:20" ht="15.6" x14ac:dyDescent="0.3">
      <c r="A2" s="6"/>
      <c r="B2" s="7"/>
      <c r="C2" s="8"/>
      <c r="D2" s="8"/>
      <c r="E2" s="8"/>
      <c r="F2" s="8"/>
      <c r="G2" s="8"/>
      <c r="H2" s="8"/>
      <c r="I2" s="8"/>
      <c r="J2" s="8"/>
      <c r="K2" s="8"/>
      <c r="L2" s="8"/>
      <c r="M2" s="8"/>
      <c r="N2" s="8"/>
      <c r="O2" s="8"/>
      <c r="P2" s="8"/>
      <c r="Q2" s="8"/>
      <c r="R2" s="8"/>
      <c r="S2" s="8"/>
      <c r="T2" s="5"/>
    </row>
    <row r="3" spans="1:20" ht="15.6" x14ac:dyDescent="0.3">
      <c r="A3" s="9"/>
      <c r="B3" s="112" t="s">
        <v>180</v>
      </c>
      <c r="C3" s="8"/>
      <c r="D3" s="8"/>
      <c r="E3" s="8"/>
      <c r="F3" s="8"/>
      <c r="G3" s="8"/>
      <c r="H3" s="8"/>
      <c r="I3" s="8"/>
      <c r="J3" s="8"/>
      <c r="K3" s="8"/>
      <c r="L3" s="8"/>
      <c r="M3" s="8"/>
      <c r="N3" s="8"/>
      <c r="O3" s="8"/>
      <c r="P3" s="8"/>
      <c r="Q3" s="8"/>
      <c r="R3" s="8"/>
      <c r="S3" s="8"/>
      <c r="T3" s="5"/>
    </row>
    <row r="4" spans="1:20" ht="15.6" x14ac:dyDescent="0.3">
      <c r="A4" s="6"/>
      <c r="B4" s="7"/>
      <c r="C4" s="8"/>
      <c r="D4" s="8"/>
      <c r="E4" s="8"/>
      <c r="F4" s="8"/>
      <c r="G4" s="8"/>
      <c r="H4" s="8"/>
      <c r="I4" s="8"/>
      <c r="J4" s="8"/>
      <c r="K4" s="8"/>
      <c r="L4" s="8"/>
      <c r="M4" s="8"/>
      <c r="N4" s="8"/>
      <c r="O4" s="8"/>
      <c r="P4" s="8"/>
      <c r="Q4" s="8"/>
      <c r="R4" s="8"/>
      <c r="S4" s="8"/>
      <c r="T4" s="5"/>
    </row>
    <row r="5" spans="1:20" ht="15.6" x14ac:dyDescent="0.3">
      <c r="A5" s="6"/>
      <c r="B5" s="11" t="s">
        <v>156</v>
      </c>
      <c r="C5" s="8"/>
      <c r="D5" s="8"/>
      <c r="E5" s="8"/>
      <c r="F5" s="8"/>
      <c r="G5" s="8"/>
      <c r="H5" s="8"/>
      <c r="I5" s="8"/>
      <c r="J5" s="8"/>
      <c r="K5" s="8"/>
      <c r="L5" s="8"/>
      <c r="M5" s="8"/>
      <c r="N5" s="8"/>
      <c r="O5" s="8"/>
      <c r="P5" s="8"/>
      <c r="Q5" s="8"/>
      <c r="R5" s="8"/>
      <c r="S5" s="8"/>
      <c r="T5" s="5"/>
    </row>
    <row r="6" spans="1:20" ht="15.6" x14ac:dyDescent="0.3">
      <c r="A6" s="6"/>
      <c r="B6" s="11" t="s">
        <v>158</v>
      </c>
      <c r="C6" s="8"/>
      <c r="D6" s="8"/>
      <c r="E6" s="8"/>
      <c r="F6" s="8"/>
      <c r="G6" s="8"/>
      <c r="H6" s="8"/>
      <c r="I6" s="8"/>
      <c r="J6" s="8"/>
      <c r="K6" s="8"/>
      <c r="L6" s="8"/>
      <c r="M6" s="8"/>
      <c r="N6" s="8"/>
      <c r="O6" s="8"/>
      <c r="P6" s="8"/>
      <c r="Q6" s="8"/>
      <c r="R6" s="8"/>
      <c r="S6" s="8"/>
      <c r="T6" s="5"/>
    </row>
    <row r="7" spans="1:20" ht="15.6" x14ac:dyDescent="0.3">
      <c r="A7" s="6"/>
      <c r="B7" s="11" t="s">
        <v>157</v>
      </c>
      <c r="C7" s="8"/>
      <c r="D7" s="8"/>
      <c r="E7" s="8"/>
      <c r="F7" s="8"/>
      <c r="G7" s="8"/>
      <c r="H7" s="8"/>
      <c r="I7" s="8"/>
      <c r="J7" s="8"/>
      <c r="K7" s="8"/>
      <c r="L7" s="8"/>
      <c r="M7" s="8"/>
      <c r="N7" s="8"/>
      <c r="O7" s="8"/>
      <c r="P7" s="8"/>
      <c r="Q7" s="8"/>
      <c r="R7" s="8"/>
      <c r="S7" s="8"/>
      <c r="T7" s="5"/>
    </row>
    <row r="8" spans="1:20" ht="15.6" x14ac:dyDescent="0.3">
      <c r="A8" s="6"/>
      <c r="B8" s="11"/>
      <c r="C8" s="8"/>
      <c r="D8" s="8"/>
      <c r="E8" s="8"/>
      <c r="F8" s="8"/>
      <c r="G8" s="8"/>
      <c r="H8" s="8"/>
      <c r="I8" s="8"/>
      <c r="J8" s="8"/>
      <c r="K8" s="8"/>
      <c r="L8" s="8"/>
      <c r="M8" s="8"/>
      <c r="N8" s="8"/>
      <c r="O8" s="8"/>
      <c r="P8" s="8"/>
      <c r="Q8" s="8"/>
      <c r="R8" s="8"/>
      <c r="S8" s="8"/>
      <c r="T8" s="5"/>
    </row>
    <row r="9" spans="1:20" ht="17.399999999999999" x14ac:dyDescent="0.3">
      <c r="A9" s="6"/>
      <c r="B9" s="165" t="s">
        <v>245</v>
      </c>
      <c r="C9" s="8"/>
      <c r="D9" s="8"/>
      <c r="E9" s="8"/>
      <c r="F9" s="8"/>
      <c r="G9" s="8"/>
      <c r="H9" s="167"/>
      <c r="I9" s="8"/>
      <c r="J9" s="167" t="s">
        <v>246</v>
      </c>
      <c r="K9" s="8"/>
      <c r="L9" s="8"/>
      <c r="M9" s="8"/>
      <c r="N9" s="8"/>
      <c r="O9" s="8"/>
      <c r="P9" s="8"/>
      <c r="Q9" s="8"/>
      <c r="R9" s="8"/>
      <c r="S9" s="8"/>
      <c r="T9" s="5"/>
    </row>
    <row r="10" spans="1:20" ht="15.6" x14ac:dyDescent="0.3">
      <c r="A10" s="6"/>
      <c r="B10" s="11"/>
      <c r="C10" s="13"/>
      <c r="D10" s="13"/>
      <c r="E10" s="13"/>
      <c r="F10" s="8"/>
      <c r="G10" s="8"/>
      <c r="H10" s="8"/>
      <c r="I10" s="8"/>
      <c r="J10" s="8"/>
      <c r="K10" s="8"/>
      <c r="L10" s="8"/>
      <c r="M10" s="8"/>
      <c r="N10" s="8"/>
      <c r="O10" s="8"/>
      <c r="P10" s="8"/>
      <c r="Q10" s="8"/>
      <c r="R10" s="8"/>
      <c r="S10" s="8"/>
      <c r="T10" s="5"/>
    </row>
    <row r="11" spans="1:20" ht="15.6" x14ac:dyDescent="0.3">
      <c r="A11" s="6"/>
      <c r="B11" s="14" t="s">
        <v>0</v>
      </c>
      <c r="C11" s="8"/>
      <c r="D11" s="8"/>
      <c r="E11" s="8"/>
      <c r="F11" s="8"/>
      <c r="G11" s="8"/>
      <c r="H11" s="8"/>
      <c r="I11" s="8"/>
      <c r="J11" s="8"/>
      <c r="K11" s="8"/>
      <c r="L11" s="8"/>
      <c r="M11" s="8"/>
      <c r="N11" s="8"/>
      <c r="O11" s="8"/>
      <c r="P11" s="8"/>
      <c r="Q11" s="8"/>
      <c r="R11" s="8"/>
      <c r="S11" s="8"/>
      <c r="T11" s="5"/>
    </row>
    <row r="12" spans="1:20" ht="16.2" thickBot="1" x14ac:dyDescent="0.35">
      <c r="A12" s="6"/>
      <c r="B12" s="13"/>
      <c r="C12" s="8"/>
      <c r="D12" s="8"/>
      <c r="E12" s="8"/>
      <c r="F12" s="8"/>
      <c r="G12" s="8"/>
      <c r="H12" s="8"/>
      <c r="I12" s="8"/>
      <c r="J12" s="8"/>
      <c r="K12" s="8"/>
      <c r="L12" s="8"/>
      <c r="M12" s="8"/>
      <c r="N12" s="8"/>
      <c r="O12" s="8"/>
      <c r="P12" s="8"/>
      <c r="Q12" s="8"/>
      <c r="R12" s="8"/>
      <c r="S12" s="8"/>
      <c r="T12" s="5"/>
    </row>
    <row r="13" spans="1:20" ht="15.6" x14ac:dyDescent="0.3">
      <c r="A13" s="2"/>
      <c r="B13" s="4"/>
      <c r="C13" s="4"/>
      <c r="D13" s="4"/>
      <c r="E13" s="4"/>
      <c r="F13" s="4"/>
      <c r="G13" s="4"/>
      <c r="H13" s="4"/>
      <c r="I13" s="4"/>
      <c r="J13" s="4"/>
      <c r="K13" s="4"/>
      <c r="L13" s="4"/>
      <c r="M13" s="4"/>
      <c r="N13" s="4"/>
      <c r="O13" s="4"/>
      <c r="P13" s="4"/>
      <c r="Q13" s="4"/>
      <c r="R13" s="4"/>
      <c r="S13" s="4"/>
      <c r="T13" s="5"/>
    </row>
    <row r="14" spans="1:20" ht="15.6" x14ac:dyDescent="0.3">
      <c r="A14" s="6"/>
      <c r="B14" s="14" t="s">
        <v>1</v>
      </c>
      <c r="C14" s="15"/>
      <c r="D14" s="15"/>
      <c r="E14" s="15"/>
      <c r="F14" s="15"/>
      <c r="G14" s="15"/>
      <c r="H14" s="15"/>
      <c r="I14" s="15"/>
      <c r="J14" s="15"/>
      <c r="K14" s="15"/>
      <c r="L14" s="15"/>
      <c r="M14" s="15"/>
      <c r="N14" s="15"/>
      <c r="O14" s="15"/>
      <c r="P14" s="15"/>
      <c r="Q14" s="15"/>
      <c r="R14" s="16" t="s">
        <v>181</v>
      </c>
      <c r="S14" s="15"/>
      <c r="T14" s="5"/>
    </row>
    <row r="15" spans="1:20" ht="15.6" x14ac:dyDescent="0.3">
      <c r="A15" s="6"/>
      <c r="B15" s="14" t="s">
        <v>2</v>
      </c>
      <c r="C15" s="15"/>
      <c r="D15" s="15"/>
      <c r="E15" s="15"/>
      <c r="F15" s="15"/>
      <c r="G15" s="15"/>
      <c r="H15" s="18"/>
      <c r="I15" s="18"/>
      <c r="J15" s="18"/>
      <c r="K15" s="18"/>
      <c r="L15" s="18"/>
      <c r="M15" s="18"/>
      <c r="N15" s="18" t="s">
        <v>115</v>
      </c>
      <c r="O15" s="140">
        <v>0.76429999999999998</v>
      </c>
      <c r="P15" s="17" t="s">
        <v>161</v>
      </c>
      <c r="Q15" s="140">
        <v>0.23569999999999999</v>
      </c>
      <c r="R15" s="16"/>
      <c r="S15" s="15"/>
      <c r="T15" s="5"/>
    </row>
    <row r="16" spans="1:20" ht="15.6" x14ac:dyDescent="0.3">
      <c r="A16" s="6"/>
      <c r="B16" s="14" t="s">
        <v>3</v>
      </c>
      <c r="C16" s="15"/>
      <c r="D16" s="15"/>
      <c r="E16" s="15"/>
      <c r="F16" s="15"/>
      <c r="G16" s="15"/>
      <c r="H16" s="18"/>
      <c r="I16" s="18"/>
      <c r="J16" s="18"/>
      <c r="K16" s="18"/>
      <c r="L16" s="18"/>
      <c r="M16" s="18"/>
      <c r="N16" s="18" t="s">
        <v>115</v>
      </c>
      <c r="O16" s="140">
        <v>0.83530000000000004</v>
      </c>
      <c r="P16" s="17" t="s">
        <v>161</v>
      </c>
      <c r="Q16" s="140">
        <v>0.16470000000000001</v>
      </c>
      <c r="R16" s="16"/>
      <c r="S16" s="15"/>
      <c r="T16" s="5"/>
    </row>
    <row r="17" spans="1:20" ht="15.6" x14ac:dyDescent="0.3">
      <c r="A17" s="6"/>
      <c r="B17" s="14" t="s">
        <v>4</v>
      </c>
      <c r="C17" s="15"/>
      <c r="D17" s="15"/>
      <c r="E17" s="15"/>
      <c r="F17" s="15"/>
      <c r="G17" s="15"/>
      <c r="H17" s="15"/>
      <c r="I17" s="15"/>
      <c r="J17" s="15"/>
      <c r="K17" s="15"/>
      <c r="L17" s="15"/>
      <c r="M17" s="15"/>
      <c r="N17" s="15"/>
      <c r="O17" s="15"/>
      <c r="P17" s="15"/>
      <c r="Q17" s="15"/>
      <c r="R17" s="19">
        <v>38287</v>
      </c>
      <c r="S17" s="15"/>
      <c r="T17" s="5"/>
    </row>
    <row r="18" spans="1:20" ht="15.6" x14ac:dyDescent="0.3">
      <c r="A18" s="6"/>
      <c r="B18" s="14" t="s">
        <v>5</v>
      </c>
      <c r="C18" s="15"/>
      <c r="D18" s="15"/>
      <c r="E18" s="15"/>
      <c r="F18" s="15"/>
      <c r="G18" s="15"/>
      <c r="H18" s="15"/>
      <c r="I18" s="15"/>
      <c r="J18" s="15"/>
      <c r="K18" s="15"/>
      <c r="L18" s="15"/>
      <c r="M18" s="15"/>
      <c r="N18" s="15"/>
      <c r="O18" s="15"/>
      <c r="P18" s="15"/>
      <c r="Q18" s="15"/>
      <c r="R18" s="19">
        <v>39196</v>
      </c>
      <c r="S18" s="15"/>
      <c r="T18" s="5"/>
    </row>
    <row r="19" spans="1:20" ht="15.6" x14ac:dyDescent="0.3">
      <c r="A19" s="6"/>
      <c r="B19" s="8"/>
      <c r="C19" s="8"/>
      <c r="D19" s="8"/>
      <c r="E19" s="8"/>
      <c r="F19" s="8"/>
      <c r="G19" s="8"/>
      <c r="H19" s="8"/>
      <c r="I19" s="8"/>
      <c r="J19" s="8"/>
      <c r="K19" s="8"/>
      <c r="L19" s="8"/>
      <c r="M19" s="8"/>
      <c r="N19" s="8"/>
      <c r="O19" s="8"/>
      <c r="P19" s="8"/>
      <c r="Q19" s="8"/>
      <c r="R19" s="20"/>
      <c r="S19" s="8"/>
      <c r="T19" s="5"/>
    </row>
    <row r="20" spans="1:20" ht="15.6" x14ac:dyDescent="0.3">
      <c r="A20" s="6"/>
      <c r="B20" s="21" t="s">
        <v>6</v>
      </c>
      <c r="C20" s="8"/>
      <c r="D20" s="8"/>
      <c r="E20" s="8"/>
      <c r="F20" s="8"/>
      <c r="G20" s="8"/>
      <c r="H20" s="8"/>
      <c r="I20" s="8"/>
      <c r="J20" s="8"/>
      <c r="K20" s="8"/>
      <c r="L20" s="8"/>
      <c r="M20" s="8"/>
      <c r="N20" s="8"/>
      <c r="O20" s="8"/>
      <c r="P20" s="20" t="s">
        <v>116</v>
      </c>
      <c r="Q20" s="8"/>
      <c r="R20" s="145"/>
      <c r="S20" s="8"/>
      <c r="T20" s="5"/>
    </row>
    <row r="21" spans="1:20" ht="15.6" x14ac:dyDescent="0.3">
      <c r="A21" s="6"/>
      <c r="B21" s="8"/>
      <c r="C21" s="8"/>
      <c r="D21" s="8"/>
      <c r="E21" s="8"/>
      <c r="F21" s="8"/>
      <c r="G21" s="8"/>
      <c r="H21" s="8"/>
      <c r="I21" s="8"/>
      <c r="J21" s="8"/>
      <c r="K21" s="8"/>
      <c r="L21" s="8"/>
      <c r="M21" s="8"/>
      <c r="N21" s="8"/>
      <c r="O21" s="8"/>
      <c r="P21" s="8"/>
      <c r="Q21" s="8"/>
      <c r="R21" s="22"/>
      <c r="S21" s="8"/>
      <c r="T21" s="5"/>
    </row>
    <row r="22" spans="1:20" ht="15.6" x14ac:dyDescent="0.3">
      <c r="A22" s="6"/>
      <c r="B22" s="8"/>
      <c r="C22" s="113"/>
      <c r="D22" s="113" t="s">
        <v>159</v>
      </c>
      <c r="E22" s="113"/>
      <c r="F22" s="113" t="s">
        <v>160</v>
      </c>
      <c r="G22" s="113"/>
      <c r="H22" s="113" t="s">
        <v>182</v>
      </c>
      <c r="I22" s="113"/>
      <c r="J22" s="113" t="s">
        <v>183</v>
      </c>
      <c r="K22" s="113"/>
      <c r="L22" s="113" t="s">
        <v>133</v>
      </c>
      <c r="M22" s="113"/>
      <c r="N22" s="113" t="s">
        <v>134</v>
      </c>
      <c r="O22" s="114"/>
      <c r="P22" s="23"/>
      <c r="Q22" s="145"/>
      <c r="R22" s="145"/>
      <c r="S22" s="8"/>
      <c r="T22" s="5"/>
    </row>
    <row r="23" spans="1:20" ht="15.6" x14ac:dyDescent="0.3">
      <c r="A23" s="24"/>
      <c r="B23" s="25" t="s">
        <v>7</v>
      </c>
      <c r="C23" s="26"/>
      <c r="D23" s="26" t="s">
        <v>162</v>
      </c>
      <c r="E23" s="26"/>
      <c r="F23" s="26" t="s">
        <v>162</v>
      </c>
      <c r="G23" s="26"/>
      <c r="H23" s="26" t="s">
        <v>162</v>
      </c>
      <c r="I23" s="26"/>
      <c r="J23" s="26" t="s">
        <v>162</v>
      </c>
      <c r="K23" s="26"/>
      <c r="L23" s="26" t="s">
        <v>163</v>
      </c>
      <c r="M23" s="26"/>
      <c r="N23" s="26" t="s">
        <v>163</v>
      </c>
      <c r="O23" s="26"/>
      <c r="P23" s="26"/>
      <c r="Q23" s="146"/>
      <c r="R23" s="146"/>
      <c r="S23" s="25"/>
      <c r="T23" s="5"/>
    </row>
    <row r="24" spans="1:20" ht="15.6" x14ac:dyDescent="0.3">
      <c r="A24" s="24"/>
      <c r="B24" s="25" t="s">
        <v>8</v>
      </c>
      <c r="C24" s="26"/>
      <c r="D24" s="26" t="s">
        <v>164</v>
      </c>
      <c r="E24" s="26"/>
      <c r="F24" s="26" t="s">
        <v>164</v>
      </c>
      <c r="G24" s="26"/>
      <c r="H24" s="26" t="s">
        <v>164</v>
      </c>
      <c r="I24" s="26"/>
      <c r="J24" s="26" t="s">
        <v>164</v>
      </c>
      <c r="K24" s="26"/>
      <c r="L24" s="26" t="s">
        <v>165</v>
      </c>
      <c r="M24" s="26"/>
      <c r="N24" s="26" t="s">
        <v>165</v>
      </c>
      <c r="O24" s="26"/>
      <c r="P24" s="26"/>
      <c r="Q24" s="146"/>
      <c r="R24" s="146"/>
      <c r="S24" s="25"/>
      <c r="T24" s="5"/>
    </row>
    <row r="25" spans="1:20" ht="15.6" x14ac:dyDescent="0.3">
      <c r="A25" s="24"/>
      <c r="B25" s="25" t="s">
        <v>135</v>
      </c>
      <c r="C25" s="26"/>
      <c r="D25" s="26" t="s">
        <v>164</v>
      </c>
      <c r="E25" s="26"/>
      <c r="F25" s="26" t="s">
        <v>164</v>
      </c>
      <c r="G25" s="26"/>
      <c r="H25" s="26" t="s">
        <v>164</v>
      </c>
      <c r="I25" s="26"/>
      <c r="J25" s="26" t="s">
        <v>164</v>
      </c>
      <c r="K25" s="26"/>
      <c r="L25" s="26" t="s">
        <v>165</v>
      </c>
      <c r="M25" s="26"/>
      <c r="N25" s="26" t="s">
        <v>165</v>
      </c>
      <c r="O25" s="26"/>
      <c r="P25" s="26"/>
      <c r="Q25" s="146"/>
      <c r="R25" s="146"/>
      <c r="S25" s="25"/>
      <c r="T25" s="5"/>
    </row>
    <row r="26" spans="1:20" ht="15.6" x14ac:dyDescent="0.3">
      <c r="A26" s="28"/>
      <c r="B26" s="29" t="s">
        <v>9</v>
      </c>
      <c r="C26" s="124"/>
      <c r="D26" s="124" t="s">
        <v>162</v>
      </c>
      <c r="E26" s="124"/>
      <c r="F26" s="124" t="s">
        <v>162</v>
      </c>
      <c r="G26" s="124"/>
      <c r="H26" s="124" t="s">
        <v>162</v>
      </c>
      <c r="I26" s="124"/>
      <c r="J26" s="124" t="s">
        <v>162</v>
      </c>
      <c r="K26" s="124"/>
      <c r="L26" s="124" t="s">
        <v>163</v>
      </c>
      <c r="M26" s="124"/>
      <c r="N26" s="124" t="s">
        <v>163</v>
      </c>
      <c r="O26" s="124"/>
      <c r="P26" s="26"/>
      <c r="Q26" s="146"/>
      <c r="R26" s="146"/>
      <c r="S26" s="25"/>
      <c r="T26" s="5"/>
    </row>
    <row r="27" spans="1:20" ht="15.6" x14ac:dyDescent="0.3">
      <c r="A27" s="28"/>
      <c r="B27" s="29" t="s">
        <v>10</v>
      </c>
      <c r="C27" s="124"/>
      <c r="D27" s="124" t="s">
        <v>164</v>
      </c>
      <c r="E27" s="124"/>
      <c r="F27" s="124" t="s">
        <v>164</v>
      </c>
      <c r="G27" s="124"/>
      <c r="H27" s="124" t="s">
        <v>164</v>
      </c>
      <c r="I27" s="124"/>
      <c r="J27" s="124" t="s">
        <v>164</v>
      </c>
      <c r="K27" s="124"/>
      <c r="L27" s="124" t="s">
        <v>165</v>
      </c>
      <c r="M27" s="124"/>
      <c r="N27" s="124" t="s">
        <v>165</v>
      </c>
      <c r="O27" s="124"/>
      <c r="P27" s="26"/>
      <c r="Q27" s="146"/>
      <c r="R27" s="146"/>
      <c r="S27" s="25"/>
      <c r="T27" s="5"/>
    </row>
    <row r="28" spans="1:20" ht="15.6" x14ac:dyDescent="0.3">
      <c r="A28" s="28"/>
      <c r="B28" s="29" t="s">
        <v>136</v>
      </c>
      <c r="C28" s="124"/>
      <c r="D28" s="124" t="s">
        <v>164</v>
      </c>
      <c r="E28" s="124"/>
      <c r="F28" s="124" t="s">
        <v>164</v>
      </c>
      <c r="G28" s="124"/>
      <c r="H28" s="124" t="s">
        <v>164</v>
      </c>
      <c r="I28" s="124"/>
      <c r="J28" s="124" t="s">
        <v>164</v>
      </c>
      <c r="K28" s="124"/>
      <c r="L28" s="124" t="s">
        <v>165</v>
      </c>
      <c r="M28" s="124"/>
      <c r="N28" s="124" t="s">
        <v>165</v>
      </c>
      <c r="O28" s="124"/>
      <c r="P28" s="26"/>
      <c r="Q28" s="146"/>
      <c r="R28" s="146"/>
      <c r="S28" s="25"/>
      <c r="T28" s="5"/>
    </row>
    <row r="29" spans="1:20" ht="15.6" x14ac:dyDescent="0.3">
      <c r="A29" s="24"/>
      <c r="B29" s="25" t="s">
        <v>11</v>
      </c>
      <c r="C29" s="26"/>
      <c r="D29" s="26" t="s">
        <v>184</v>
      </c>
      <c r="E29" s="26"/>
      <c r="F29" s="30" t="s">
        <v>224</v>
      </c>
      <c r="G29" s="26"/>
      <c r="H29" s="26" t="s">
        <v>185</v>
      </c>
      <c r="I29" s="26"/>
      <c r="J29" s="26" t="s">
        <v>186</v>
      </c>
      <c r="K29" s="26"/>
      <c r="L29" s="26" t="s">
        <v>187</v>
      </c>
      <c r="M29" s="26"/>
      <c r="N29" s="26" t="s">
        <v>188</v>
      </c>
      <c r="O29" s="26"/>
      <c r="P29" s="30"/>
      <c r="Q29" s="146"/>
      <c r="R29" s="146"/>
      <c r="S29" s="25"/>
      <c r="T29" s="5"/>
    </row>
    <row r="30" spans="1:20" ht="15.6" x14ac:dyDescent="0.3">
      <c r="A30" s="24"/>
      <c r="B30" s="25" t="s">
        <v>152</v>
      </c>
      <c r="C30" s="32"/>
      <c r="D30" s="31">
        <v>50000</v>
      </c>
      <c r="E30" s="32"/>
      <c r="F30" s="125">
        <v>330000</v>
      </c>
      <c r="G30" s="31"/>
      <c r="H30" s="130">
        <v>305000</v>
      </c>
      <c r="I30" s="31"/>
      <c r="J30" s="125">
        <v>453000</v>
      </c>
      <c r="K30" s="31"/>
      <c r="L30" s="130">
        <v>65000</v>
      </c>
      <c r="M30" s="31"/>
      <c r="N30" s="125">
        <v>50000</v>
      </c>
      <c r="O30" s="31"/>
      <c r="P30" s="31"/>
      <c r="Q30" s="147"/>
      <c r="R30" s="31"/>
      <c r="S30" s="34"/>
      <c r="T30" s="5"/>
    </row>
    <row r="31" spans="1:20" ht="15.6" x14ac:dyDescent="0.3">
      <c r="A31" s="24"/>
      <c r="B31" s="25" t="s">
        <v>151</v>
      </c>
      <c r="C31" s="32"/>
      <c r="D31" s="31">
        <f>D37*D30</f>
        <v>8153.45</v>
      </c>
      <c r="E31" s="32"/>
      <c r="F31" s="125">
        <f>F37*F30</f>
        <v>53812.77</v>
      </c>
      <c r="G31" s="31"/>
      <c r="H31" s="130">
        <v>305000</v>
      </c>
      <c r="I31" s="31"/>
      <c r="J31" s="125">
        <v>453000</v>
      </c>
      <c r="K31" s="31"/>
      <c r="L31" s="130">
        <v>65000</v>
      </c>
      <c r="M31" s="31"/>
      <c r="N31" s="125">
        <v>50000</v>
      </c>
      <c r="O31" s="31"/>
      <c r="P31" s="31"/>
      <c r="Q31" s="147"/>
      <c r="R31" s="31"/>
      <c r="S31" s="34"/>
      <c r="T31" s="5"/>
    </row>
    <row r="32" spans="1:20" ht="15.6" x14ac:dyDescent="0.3">
      <c r="A32" s="28"/>
      <c r="B32" s="29" t="s">
        <v>153</v>
      </c>
      <c r="C32" s="36"/>
      <c r="D32" s="35">
        <f>D36*D30</f>
        <v>2894.85</v>
      </c>
      <c r="E32" s="36"/>
      <c r="F32" s="126">
        <f>F36*F30</f>
        <v>19106.009999999998</v>
      </c>
      <c r="G32" s="35"/>
      <c r="H32" s="131">
        <v>305000</v>
      </c>
      <c r="I32" s="35"/>
      <c r="J32" s="126">
        <v>453000</v>
      </c>
      <c r="K32" s="35"/>
      <c r="L32" s="131">
        <v>65000</v>
      </c>
      <c r="M32" s="35"/>
      <c r="N32" s="126">
        <v>50000</v>
      </c>
      <c r="O32" s="35"/>
      <c r="P32" s="35"/>
      <c r="Q32" s="37"/>
      <c r="R32" s="35"/>
      <c r="S32" s="34"/>
      <c r="T32" s="5"/>
    </row>
    <row r="33" spans="1:20" ht="15.6" x14ac:dyDescent="0.3">
      <c r="A33" s="24"/>
      <c r="B33" s="25" t="s">
        <v>285</v>
      </c>
      <c r="C33" s="32"/>
      <c r="D33" s="31">
        <v>50000</v>
      </c>
      <c r="E33" s="32"/>
      <c r="F33" s="31">
        <v>230000</v>
      </c>
      <c r="G33" s="31"/>
      <c r="H33" s="31">
        <v>305000</v>
      </c>
      <c r="I33" s="31"/>
      <c r="J33" s="31">
        <v>315000</v>
      </c>
      <c r="K33" s="31"/>
      <c r="L33" s="31">
        <v>65000</v>
      </c>
      <c r="M33" s="31"/>
      <c r="N33" s="31">
        <v>35000</v>
      </c>
      <c r="O33" s="31"/>
      <c r="P33" s="31"/>
      <c r="Q33" s="147"/>
      <c r="R33" s="31">
        <f>SUM(C33:N33)</f>
        <v>1000000</v>
      </c>
      <c r="S33" s="34"/>
      <c r="T33" s="5"/>
    </row>
    <row r="34" spans="1:20" ht="15.6" x14ac:dyDescent="0.3">
      <c r="A34" s="24"/>
      <c r="B34" s="25" t="s">
        <v>286</v>
      </c>
      <c r="C34" s="32"/>
      <c r="D34" s="31">
        <f>+D31</f>
        <v>8153.45</v>
      </c>
      <c r="E34" s="32"/>
      <c r="F34" s="31">
        <f>+F31*0.696969697</f>
        <v>37505.87000163069</v>
      </c>
      <c r="G34" s="31"/>
      <c r="H34" s="31">
        <v>305000</v>
      </c>
      <c r="I34" s="31"/>
      <c r="J34" s="31">
        <v>315000</v>
      </c>
      <c r="K34" s="31"/>
      <c r="L34" s="31">
        <v>65000</v>
      </c>
      <c r="M34" s="31"/>
      <c r="N34" s="31">
        <v>35000</v>
      </c>
      <c r="O34" s="31"/>
      <c r="P34" s="31"/>
      <c r="Q34" s="147"/>
      <c r="R34" s="31">
        <f>SUM(C34:N34)</f>
        <v>765659.32000163069</v>
      </c>
      <c r="S34" s="34"/>
      <c r="T34" s="5"/>
    </row>
    <row r="35" spans="1:20" ht="15.6" x14ac:dyDescent="0.3">
      <c r="A35" s="28"/>
      <c r="B35" s="29" t="s">
        <v>287</v>
      </c>
      <c r="C35" s="36"/>
      <c r="D35" s="35">
        <f>D36*D33</f>
        <v>2894.85</v>
      </c>
      <c r="E35" s="36"/>
      <c r="F35" s="35">
        <f>F36*F33</f>
        <v>13316.31</v>
      </c>
      <c r="G35" s="35"/>
      <c r="H35" s="35">
        <v>305000</v>
      </c>
      <c r="I35" s="35"/>
      <c r="J35" s="35">
        <v>315000</v>
      </c>
      <c r="K35" s="35"/>
      <c r="L35" s="35">
        <v>65000</v>
      </c>
      <c r="M35" s="35"/>
      <c r="N35" s="35">
        <v>35000</v>
      </c>
      <c r="O35" s="35"/>
      <c r="P35" s="35"/>
      <c r="Q35" s="37"/>
      <c r="R35" s="35">
        <f>SUM(C35:N35)</f>
        <v>736211.15999999992</v>
      </c>
      <c r="S35" s="34"/>
      <c r="T35" s="5"/>
    </row>
    <row r="36" spans="1:20" ht="15.6" x14ac:dyDescent="0.3">
      <c r="A36" s="28"/>
      <c r="B36" s="123" t="s">
        <v>149</v>
      </c>
      <c r="C36" s="127"/>
      <c r="D36" s="138">
        <v>5.7896999999999997E-2</v>
      </c>
      <c r="E36" s="139"/>
      <c r="F36" s="138">
        <v>5.7896999999999997E-2</v>
      </c>
      <c r="G36" s="138"/>
      <c r="H36" s="138">
        <v>1</v>
      </c>
      <c r="I36" s="138"/>
      <c r="J36" s="138">
        <v>1</v>
      </c>
      <c r="K36" s="138"/>
      <c r="L36" s="138">
        <v>1</v>
      </c>
      <c r="M36" s="138"/>
      <c r="N36" s="138">
        <v>1</v>
      </c>
      <c r="O36" s="31"/>
      <c r="P36" s="31"/>
      <c r="Q36" s="147"/>
      <c r="R36" s="31"/>
      <c r="S36" s="34"/>
      <c r="T36" s="5"/>
    </row>
    <row r="37" spans="1:20" ht="15.6" x14ac:dyDescent="0.3">
      <c r="A37" s="28"/>
      <c r="B37" s="123" t="s">
        <v>150</v>
      </c>
      <c r="C37" s="127"/>
      <c r="D37" s="138">
        <v>0.16306899999999999</v>
      </c>
      <c r="E37" s="139"/>
      <c r="F37" s="138">
        <v>0.16306899999999999</v>
      </c>
      <c r="G37" s="138"/>
      <c r="H37" s="138">
        <v>1</v>
      </c>
      <c r="I37" s="138"/>
      <c r="J37" s="138">
        <v>1</v>
      </c>
      <c r="K37" s="138"/>
      <c r="L37" s="138">
        <v>1</v>
      </c>
      <c r="M37" s="138"/>
      <c r="N37" s="138">
        <v>1</v>
      </c>
      <c r="O37" s="129"/>
      <c r="P37" s="129"/>
      <c r="Q37" s="147"/>
      <c r="R37" s="31"/>
      <c r="S37" s="34"/>
      <c r="T37" s="5"/>
    </row>
    <row r="38" spans="1:20" ht="15.6" x14ac:dyDescent="0.3">
      <c r="A38" s="24"/>
      <c r="B38" s="25" t="s">
        <v>12</v>
      </c>
      <c r="C38" s="25"/>
      <c r="D38" s="30" t="s">
        <v>189</v>
      </c>
      <c r="E38" s="25"/>
      <c r="F38" s="30" t="s">
        <v>189</v>
      </c>
      <c r="G38" s="30"/>
      <c r="H38" s="30" t="s">
        <v>190</v>
      </c>
      <c r="I38" s="30"/>
      <c r="J38" s="30" t="s">
        <v>192</v>
      </c>
      <c r="K38" s="30"/>
      <c r="L38" s="30" t="s">
        <v>193</v>
      </c>
      <c r="M38" s="30"/>
      <c r="N38" s="30" t="s">
        <v>194</v>
      </c>
      <c r="O38" s="30"/>
      <c r="P38" s="30"/>
      <c r="Q38" s="146"/>
      <c r="R38" s="146"/>
      <c r="S38" s="25"/>
      <c r="T38" s="5"/>
    </row>
    <row r="39" spans="1:20" ht="15.6" x14ac:dyDescent="0.3">
      <c r="A39" s="24"/>
      <c r="B39" s="25" t="s">
        <v>13</v>
      </c>
      <c r="C39" s="25"/>
      <c r="D39" s="38">
        <v>5.65313E-2</v>
      </c>
      <c r="E39" s="25"/>
      <c r="F39" s="38">
        <v>3.8670000000000003E-2</v>
      </c>
      <c r="G39" s="39"/>
      <c r="H39" s="38">
        <v>5.7331300000000002E-2</v>
      </c>
      <c r="I39" s="39"/>
      <c r="J39" s="38">
        <v>3.9370000000000002E-2</v>
      </c>
      <c r="K39" s="39"/>
      <c r="L39" s="38">
        <v>6.1931300000000002E-2</v>
      </c>
      <c r="M39" s="39"/>
      <c r="N39" s="38">
        <v>4.3569999999999998E-2</v>
      </c>
      <c r="O39" s="39"/>
      <c r="P39" s="38"/>
      <c r="Q39" s="146"/>
      <c r="R39" s="39"/>
      <c r="S39" s="25"/>
      <c r="T39" s="5"/>
    </row>
    <row r="40" spans="1:20" ht="15.6" x14ac:dyDescent="0.3">
      <c r="A40" s="24"/>
      <c r="B40" s="25" t="s">
        <v>14</v>
      </c>
      <c r="C40" s="25"/>
      <c r="D40" s="38">
        <v>5.23063E-2</v>
      </c>
      <c r="E40" s="25"/>
      <c r="F40" s="38">
        <v>3.6040000000000003E-2</v>
      </c>
      <c r="G40" s="39"/>
      <c r="H40" s="38">
        <v>5.3106300000000002E-2</v>
      </c>
      <c r="I40" s="39"/>
      <c r="J40" s="38">
        <v>3.6740000000000002E-2</v>
      </c>
      <c r="K40" s="39"/>
      <c r="L40" s="38">
        <v>5.7706300000000002E-2</v>
      </c>
      <c r="M40" s="39"/>
      <c r="N40" s="38">
        <v>4.0939999999999997E-2</v>
      </c>
      <c r="O40" s="39"/>
      <c r="P40" s="38"/>
      <c r="Q40" s="146"/>
      <c r="R40" s="146"/>
      <c r="S40" s="25"/>
      <c r="T40" s="5"/>
    </row>
    <row r="41" spans="1:20" ht="15.6" x14ac:dyDescent="0.3">
      <c r="A41" s="24"/>
      <c r="B41" s="25" t="s">
        <v>288</v>
      </c>
      <c r="C41" s="25"/>
      <c r="D41" s="30" t="s">
        <v>189</v>
      </c>
      <c r="E41" s="25"/>
      <c r="F41" s="30" t="s">
        <v>215</v>
      </c>
      <c r="G41" s="30"/>
      <c r="H41" s="30" t="s">
        <v>190</v>
      </c>
      <c r="I41" s="30"/>
      <c r="J41" s="30" t="s">
        <v>216</v>
      </c>
      <c r="K41" s="30"/>
      <c r="L41" s="30" t="s">
        <v>193</v>
      </c>
      <c r="M41" s="30"/>
      <c r="N41" s="30" t="s">
        <v>217</v>
      </c>
      <c r="O41" s="39"/>
      <c r="P41" s="38"/>
      <c r="Q41" s="146"/>
      <c r="R41" s="39"/>
      <c r="S41" s="25"/>
      <c r="T41" s="5"/>
    </row>
    <row r="42" spans="1:20" ht="15.6" x14ac:dyDescent="0.3">
      <c r="A42" s="24"/>
      <c r="B42" s="25" t="s">
        <v>289</v>
      </c>
      <c r="C42" s="25"/>
      <c r="D42" s="38">
        <f>+D39</f>
        <v>5.65313E-2</v>
      </c>
      <c r="E42" s="25"/>
      <c r="F42" s="38">
        <v>5.6744299999999998E-2</v>
      </c>
      <c r="G42" s="39"/>
      <c r="H42" s="38">
        <f>+H39</f>
        <v>5.7331300000000002E-2</v>
      </c>
      <c r="I42" s="39"/>
      <c r="J42" s="38">
        <v>5.7729299999999997E-2</v>
      </c>
      <c r="K42" s="39"/>
      <c r="L42" s="38">
        <f>+L39</f>
        <v>6.1931300000000002E-2</v>
      </c>
      <c r="M42" s="39"/>
      <c r="N42" s="38">
        <v>6.2308299999999997E-2</v>
      </c>
      <c r="O42" s="39"/>
      <c r="P42" s="38"/>
      <c r="Q42" s="146"/>
      <c r="R42" s="39">
        <f>SUMPRODUCT(D42:N42,D34:N34)/R34</f>
        <v>5.8075790766869827E-2</v>
      </c>
      <c r="S42" s="25"/>
      <c r="T42" s="5"/>
    </row>
    <row r="43" spans="1:20" ht="15.6" x14ac:dyDescent="0.3">
      <c r="A43" s="24"/>
      <c r="B43" s="25" t="s">
        <v>290</v>
      </c>
      <c r="C43" s="25"/>
      <c r="D43" s="38">
        <f>+D40</f>
        <v>5.23063E-2</v>
      </c>
      <c r="E43" s="25"/>
      <c r="F43" s="38">
        <v>5.2519299999999998E-2</v>
      </c>
      <c r="G43" s="39"/>
      <c r="H43" s="38">
        <f>+H40</f>
        <v>5.3106300000000002E-2</v>
      </c>
      <c r="I43" s="39"/>
      <c r="J43" s="38">
        <v>5.3504299999999998E-2</v>
      </c>
      <c r="K43" s="39"/>
      <c r="L43" s="38">
        <f>+L40</f>
        <v>5.7706300000000002E-2</v>
      </c>
      <c r="M43" s="39"/>
      <c r="N43" s="38">
        <v>5.8083299999999997E-2</v>
      </c>
      <c r="O43" s="39"/>
      <c r="P43" s="38"/>
      <c r="Q43" s="146"/>
      <c r="R43" s="146"/>
      <c r="S43" s="25"/>
      <c r="T43" s="5"/>
    </row>
    <row r="44" spans="1:20" ht="15.6" x14ac:dyDescent="0.3">
      <c r="A44" s="24"/>
      <c r="B44" s="25" t="s">
        <v>15</v>
      </c>
      <c r="C44" s="111"/>
      <c r="D44" s="111">
        <v>39736</v>
      </c>
      <c r="E44" s="111"/>
      <c r="F44" s="111">
        <v>39736</v>
      </c>
      <c r="G44" s="111"/>
      <c r="H44" s="111">
        <v>39736</v>
      </c>
      <c r="I44" s="111"/>
      <c r="J44" s="111">
        <v>39736</v>
      </c>
      <c r="K44" s="111"/>
      <c r="L44" s="111">
        <v>39736</v>
      </c>
      <c r="M44" s="111"/>
      <c r="N44" s="111">
        <v>39736</v>
      </c>
      <c r="O44" s="30"/>
      <c r="P44" s="30"/>
      <c r="Q44" s="146"/>
      <c r="R44" s="146"/>
      <c r="S44" s="25"/>
      <c r="T44" s="5"/>
    </row>
    <row r="45" spans="1:20" ht="15.6" x14ac:dyDescent="0.3">
      <c r="A45" s="24"/>
      <c r="B45" s="25" t="s">
        <v>16</v>
      </c>
      <c r="C45" s="111"/>
      <c r="D45" s="111">
        <v>40466</v>
      </c>
      <c r="E45" s="111"/>
      <c r="F45" s="111">
        <v>40466</v>
      </c>
      <c r="G45" s="111"/>
      <c r="H45" s="111">
        <v>40466</v>
      </c>
      <c r="I45" s="30"/>
      <c r="J45" s="111">
        <v>40466</v>
      </c>
      <c r="K45" s="30"/>
      <c r="L45" s="111">
        <v>40466</v>
      </c>
      <c r="M45" s="30"/>
      <c r="N45" s="111">
        <v>40466</v>
      </c>
      <c r="O45" s="30"/>
      <c r="P45" s="30"/>
      <c r="Q45" s="146"/>
      <c r="R45" s="146"/>
      <c r="S45" s="25"/>
      <c r="T45" s="5"/>
    </row>
    <row r="46" spans="1:20" ht="15.6" x14ac:dyDescent="0.3">
      <c r="A46" s="24"/>
      <c r="B46" s="25" t="s">
        <v>138</v>
      </c>
      <c r="C46" s="25"/>
      <c r="D46" s="30" t="s">
        <v>191</v>
      </c>
      <c r="E46" s="25"/>
      <c r="F46" s="30" t="s">
        <v>191</v>
      </c>
      <c r="G46" s="30"/>
      <c r="H46" s="30" t="s">
        <v>198</v>
      </c>
      <c r="I46" s="30"/>
      <c r="J46" s="30" t="s">
        <v>197</v>
      </c>
      <c r="K46" s="30"/>
      <c r="L46" s="30" t="s">
        <v>196</v>
      </c>
      <c r="M46" s="30"/>
      <c r="N46" s="30" t="s">
        <v>195</v>
      </c>
      <c r="O46" s="30"/>
      <c r="P46" s="30"/>
      <c r="Q46" s="146"/>
      <c r="R46" s="146"/>
      <c r="S46" s="25"/>
      <c r="T46" s="5"/>
    </row>
    <row r="47" spans="1:20" ht="15.6" x14ac:dyDescent="0.3">
      <c r="A47" s="24"/>
      <c r="B47" s="25" t="s">
        <v>291</v>
      </c>
      <c r="C47" s="25"/>
      <c r="D47" s="30" t="s">
        <v>191</v>
      </c>
      <c r="E47" s="25"/>
      <c r="F47" s="30" t="s">
        <v>225</v>
      </c>
      <c r="G47" s="30"/>
      <c r="H47" s="30" t="s">
        <v>198</v>
      </c>
      <c r="I47" s="30"/>
      <c r="J47" s="30" t="s">
        <v>226</v>
      </c>
      <c r="K47" s="30"/>
      <c r="L47" s="30" t="s">
        <v>196</v>
      </c>
      <c r="M47" s="30"/>
      <c r="N47" s="30" t="s">
        <v>227</v>
      </c>
      <c r="O47" s="30"/>
      <c r="P47" s="30"/>
      <c r="Q47" s="146"/>
      <c r="R47" s="146"/>
      <c r="S47" s="25"/>
      <c r="T47" s="5"/>
    </row>
    <row r="48" spans="1:20" ht="15.6" x14ac:dyDescent="0.3">
      <c r="A48" s="24"/>
      <c r="B48" s="25"/>
      <c r="C48" s="25"/>
      <c r="D48" s="25"/>
      <c r="E48" s="25"/>
      <c r="F48" s="30"/>
      <c r="G48" s="30"/>
      <c r="H48" s="164"/>
      <c r="I48" s="40"/>
      <c r="J48" s="164"/>
      <c r="K48" s="40"/>
      <c r="L48" s="164"/>
      <c r="M48" s="40"/>
      <c r="N48" s="164"/>
      <c r="O48" s="40"/>
      <c r="P48" s="40"/>
      <c r="Q48" s="40"/>
      <c r="R48" s="40"/>
      <c r="S48" s="25"/>
      <c r="T48" s="5"/>
    </row>
    <row r="49" spans="1:21" ht="15.6" x14ac:dyDescent="0.3">
      <c r="A49" s="24"/>
      <c r="B49" s="25" t="s">
        <v>17</v>
      </c>
      <c r="C49" s="25"/>
      <c r="D49" s="25"/>
      <c r="E49" s="25"/>
      <c r="F49" s="41"/>
      <c r="G49" s="25"/>
      <c r="H49" s="164"/>
      <c r="I49" s="40"/>
      <c r="J49" s="164"/>
      <c r="K49" s="40"/>
      <c r="L49" s="164"/>
      <c r="M49" s="40"/>
      <c r="N49" s="164"/>
      <c r="O49" s="25"/>
      <c r="P49" s="25"/>
      <c r="Q49" s="25"/>
      <c r="R49" s="39">
        <f>SUM(L33:N33)/SUM(D33:J33)</f>
        <v>0.1111111111111111</v>
      </c>
      <c r="S49" s="25"/>
      <c r="T49" s="5"/>
    </row>
    <row r="50" spans="1:21" ht="15.6" x14ac:dyDescent="0.3">
      <c r="A50" s="24"/>
      <c r="B50" s="25" t="s">
        <v>18</v>
      </c>
      <c r="C50" s="25"/>
      <c r="D50" s="25"/>
      <c r="E50" s="25"/>
      <c r="F50" s="41"/>
      <c r="G50" s="25"/>
      <c r="H50" s="25"/>
      <c r="I50" s="25"/>
      <c r="J50" s="25"/>
      <c r="K50" s="25"/>
      <c r="L50" s="25"/>
      <c r="M50" s="25"/>
      <c r="N50" s="25"/>
      <c r="O50" s="25"/>
      <c r="P50" s="25"/>
      <c r="Q50" s="25"/>
      <c r="R50" s="39">
        <f>SUM(L35:N35)/SUM(D35:J35)</f>
        <v>0.15718051849326253</v>
      </c>
      <c r="S50" s="25"/>
      <c r="T50" s="5"/>
    </row>
    <row r="51" spans="1:21" ht="15.6" x14ac:dyDescent="0.3">
      <c r="A51" s="24"/>
      <c r="B51" s="25" t="s">
        <v>19</v>
      </c>
      <c r="C51" s="25"/>
      <c r="D51" s="25"/>
      <c r="E51" s="25"/>
      <c r="F51" s="25"/>
      <c r="G51" s="25"/>
      <c r="H51" s="25"/>
      <c r="I51" s="25"/>
      <c r="J51" s="25"/>
      <c r="K51" s="25"/>
      <c r="L51" s="25"/>
      <c r="M51" s="25"/>
      <c r="N51" s="25"/>
      <c r="O51" s="25"/>
      <c r="P51" s="30" t="s">
        <v>117</v>
      </c>
      <c r="Q51" s="30" t="s">
        <v>124</v>
      </c>
      <c r="R51" s="31">
        <f>+R33/2-SUM(L33:N33)</f>
        <v>400000</v>
      </c>
      <c r="S51" s="25"/>
      <c r="T51" s="5"/>
    </row>
    <row r="52" spans="1:21" ht="15.6" x14ac:dyDescent="0.3">
      <c r="A52" s="24"/>
      <c r="B52" s="25"/>
      <c r="C52" s="25"/>
      <c r="D52" s="25"/>
      <c r="E52" s="25"/>
      <c r="F52" s="25"/>
      <c r="G52" s="25"/>
      <c r="H52" s="25"/>
      <c r="I52" s="25"/>
      <c r="J52" s="25"/>
      <c r="K52" s="25"/>
      <c r="L52" s="25"/>
      <c r="M52" s="25"/>
      <c r="N52" s="25"/>
      <c r="O52" s="25"/>
      <c r="P52" s="25" t="s">
        <v>282</v>
      </c>
      <c r="Q52" s="25"/>
      <c r="R52" s="42"/>
      <c r="S52" s="25"/>
      <c r="T52" s="5"/>
    </row>
    <row r="53" spans="1:21" ht="15.6" x14ac:dyDescent="0.3">
      <c r="A53" s="24"/>
      <c r="B53" s="25" t="s">
        <v>166</v>
      </c>
      <c r="C53" s="25"/>
      <c r="D53" s="25"/>
      <c r="E53" s="25"/>
      <c r="F53" s="25"/>
      <c r="G53" s="25"/>
      <c r="H53" s="25"/>
      <c r="I53" s="25"/>
      <c r="J53" s="25"/>
      <c r="K53" s="25"/>
      <c r="L53" s="25"/>
      <c r="M53" s="25"/>
      <c r="N53" s="25"/>
      <c r="O53" s="25"/>
      <c r="P53" s="30"/>
      <c r="Q53" s="30"/>
      <c r="R53" s="30" t="s">
        <v>126</v>
      </c>
      <c r="S53" s="25"/>
      <c r="T53" s="5"/>
    </row>
    <row r="54" spans="1:21" ht="15.6" x14ac:dyDescent="0.3">
      <c r="A54" s="24"/>
      <c r="B54" s="29" t="s">
        <v>167</v>
      </c>
      <c r="C54" s="29"/>
      <c r="D54" s="29"/>
      <c r="E54" s="29"/>
      <c r="F54" s="29"/>
      <c r="G54" s="29"/>
      <c r="H54" s="29"/>
      <c r="I54" s="29"/>
      <c r="J54" s="29"/>
      <c r="K54" s="29"/>
      <c r="L54" s="29"/>
      <c r="M54" s="29"/>
      <c r="N54" s="29"/>
      <c r="O54" s="29"/>
      <c r="P54" s="43"/>
      <c r="Q54" s="43"/>
      <c r="R54" s="44">
        <v>39188</v>
      </c>
      <c r="S54" s="25"/>
      <c r="T54" s="5"/>
    </row>
    <row r="55" spans="1:21" ht="15.6" x14ac:dyDescent="0.3">
      <c r="A55" s="24"/>
      <c r="B55" s="25" t="s">
        <v>140</v>
      </c>
      <c r="C55" s="25"/>
      <c r="D55" s="25"/>
      <c r="E55" s="25"/>
      <c r="F55" s="25"/>
      <c r="G55" s="25"/>
      <c r="H55" s="58"/>
      <c r="I55" s="58"/>
      <c r="J55" s="58"/>
      <c r="K55" s="58"/>
      <c r="L55" s="58"/>
      <c r="M55" s="58"/>
      <c r="N55" s="25">
        <f>+R55-P55+1</f>
        <v>91</v>
      </c>
      <c r="O55" s="58"/>
      <c r="P55" s="45">
        <v>39006</v>
      </c>
      <c r="Q55" s="46"/>
      <c r="R55" s="45">
        <v>39096</v>
      </c>
      <c r="S55" s="25"/>
      <c r="T55" s="5"/>
    </row>
    <row r="56" spans="1:21" ht="15.6" x14ac:dyDescent="0.3">
      <c r="A56" s="24"/>
      <c r="B56" s="25" t="s">
        <v>141</v>
      </c>
      <c r="C56" s="25"/>
      <c r="D56" s="25"/>
      <c r="E56" s="25"/>
      <c r="F56" s="25"/>
      <c r="G56" s="25"/>
      <c r="H56" s="25"/>
      <c r="I56" s="25"/>
      <c r="J56" s="25"/>
      <c r="K56" s="25"/>
      <c r="L56" s="25"/>
      <c r="M56" s="25"/>
      <c r="N56" s="25">
        <f>+R56-P56+1</f>
        <v>91</v>
      </c>
      <c r="O56" s="25"/>
      <c r="P56" s="45">
        <v>39097</v>
      </c>
      <c r="Q56" s="46"/>
      <c r="R56" s="45">
        <v>39187</v>
      </c>
      <c r="S56" s="25"/>
      <c r="T56" s="5"/>
    </row>
    <row r="57" spans="1:21" ht="15.6" x14ac:dyDescent="0.3">
      <c r="A57" s="24"/>
      <c r="B57" s="25" t="s">
        <v>229</v>
      </c>
      <c r="C57" s="25"/>
      <c r="D57" s="25"/>
      <c r="E57" s="25"/>
      <c r="F57" s="25"/>
      <c r="G57" s="25"/>
      <c r="H57" s="25"/>
      <c r="I57" s="25"/>
      <c r="J57" s="25"/>
      <c r="K57" s="25"/>
      <c r="L57" s="25"/>
      <c r="M57" s="25"/>
      <c r="N57" s="25"/>
      <c r="O57" s="25"/>
      <c r="P57" s="45"/>
      <c r="Q57" s="46"/>
      <c r="R57" s="45" t="s">
        <v>139</v>
      </c>
      <c r="S57" s="25"/>
      <c r="T57" s="5"/>
    </row>
    <row r="58" spans="1:21" ht="15.6" x14ac:dyDescent="0.3">
      <c r="A58" s="24"/>
      <c r="B58" s="25" t="s">
        <v>228</v>
      </c>
      <c r="C58" s="25"/>
      <c r="D58" s="25"/>
      <c r="E58" s="25"/>
      <c r="F58" s="25"/>
      <c r="G58" s="25"/>
      <c r="H58" s="25"/>
      <c r="I58" s="25"/>
      <c r="J58" s="25"/>
      <c r="K58" s="25"/>
      <c r="L58" s="25"/>
      <c r="M58" s="25"/>
      <c r="N58" s="25"/>
      <c r="O58" s="25"/>
      <c r="P58" s="45"/>
      <c r="Q58" s="46"/>
      <c r="R58" s="45" t="s">
        <v>204</v>
      </c>
      <c r="S58" s="25"/>
      <c r="T58" s="5"/>
      <c r="U58" s="137"/>
    </row>
    <row r="59" spans="1:21" ht="15.6" x14ac:dyDescent="0.3">
      <c r="A59" s="24"/>
      <c r="B59" s="25" t="s">
        <v>20</v>
      </c>
      <c r="C59" s="25"/>
      <c r="D59" s="25"/>
      <c r="E59" s="25"/>
      <c r="F59" s="25"/>
      <c r="G59" s="25"/>
      <c r="H59" s="25"/>
      <c r="I59" s="25"/>
      <c r="J59" s="25"/>
      <c r="K59" s="25"/>
      <c r="L59" s="25"/>
      <c r="M59" s="25"/>
      <c r="N59" s="25"/>
      <c r="O59" s="25"/>
      <c r="P59" s="45"/>
      <c r="Q59" s="46"/>
      <c r="R59" s="45">
        <v>39174</v>
      </c>
      <c r="S59" s="25"/>
      <c r="T59" s="5"/>
    </row>
    <row r="60" spans="1:21" ht="15.6" x14ac:dyDescent="0.3">
      <c r="A60" s="24"/>
      <c r="B60" s="25"/>
      <c r="C60" s="25"/>
      <c r="D60" s="25"/>
      <c r="E60" s="25"/>
      <c r="F60" s="25"/>
      <c r="G60" s="25"/>
      <c r="H60" s="25"/>
      <c r="I60" s="25"/>
      <c r="J60" s="25"/>
      <c r="K60" s="25"/>
      <c r="L60" s="25"/>
      <c r="M60" s="25"/>
      <c r="N60" s="25"/>
      <c r="O60" s="25"/>
      <c r="P60" s="45"/>
      <c r="Q60" s="46"/>
      <c r="R60" s="45"/>
      <c r="S60" s="25"/>
      <c r="T60" s="5"/>
    </row>
    <row r="61" spans="1:21" ht="15.6" x14ac:dyDescent="0.3">
      <c r="A61" s="6"/>
      <c r="B61" s="8"/>
      <c r="C61" s="8"/>
      <c r="D61" s="8"/>
      <c r="E61" s="8"/>
      <c r="F61" s="8"/>
      <c r="G61" s="8"/>
      <c r="H61" s="8"/>
      <c r="I61" s="8"/>
      <c r="J61" s="8"/>
      <c r="K61" s="8"/>
      <c r="L61" s="8"/>
      <c r="M61" s="8"/>
      <c r="N61" s="8"/>
      <c r="O61" s="8"/>
      <c r="P61" s="47"/>
      <c r="Q61" s="48"/>
      <c r="R61" s="47"/>
      <c r="S61" s="8"/>
      <c r="T61" s="5"/>
    </row>
    <row r="62" spans="1:21" ht="18" thickBot="1" x14ac:dyDescent="0.35">
      <c r="A62" s="102"/>
      <c r="B62" s="103" t="s">
        <v>268</v>
      </c>
      <c r="C62" s="104"/>
      <c r="D62" s="104"/>
      <c r="E62" s="104"/>
      <c r="F62" s="104"/>
      <c r="G62" s="104"/>
      <c r="H62" s="104"/>
      <c r="I62" s="104"/>
      <c r="J62" s="104"/>
      <c r="K62" s="104"/>
      <c r="L62" s="104"/>
      <c r="M62" s="104"/>
      <c r="N62" s="104"/>
      <c r="O62" s="104"/>
      <c r="P62" s="104"/>
      <c r="Q62" s="104"/>
      <c r="R62" s="105"/>
      <c r="S62" s="106"/>
      <c r="T62" s="5"/>
    </row>
    <row r="63" spans="1:21" ht="15.6" x14ac:dyDescent="0.3">
      <c r="A63" s="2"/>
      <c r="B63" s="4"/>
      <c r="C63" s="4"/>
      <c r="D63" s="4"/>
      <c r="E63" s="4"/>
      <c r="F63" s="4"/>
      <c r="G63" s="4"/>
      <c r="H63" s="4"/>
      <c r="I63" s="4"/>
      <c r="J63" s="4"/>
      <c r="K63" s="4"/>
      <c r="L63" s="4"/>
      <c r="M63" s="4"/>
      <c r="N63" s="4"/>
      <c r="O63" s="4"/>
      <c r="P63" s="4"/>
      <c r="Q63" s="4"/>
      <c r="R63" s="50"/>
      <c r="S63" s="4"/>
      <c r="T63" s="5"/>
    </row>
    <row r="64" spans="1:21" ht="15.6" x14ac:dyDescent="0.3">
      <c r="A64" s="6"/>
      <c r="B64" s="51" t="s">
        <v>21</v>
      </c>
      <c r="C64" s="8"/>
      <c r="D64" s="8"/>
      <c r="E64" s="8"/>
      <c r="F64" s="8"/>
      <c r="G64" s="8"/>
      <c r="H64" s="8"/>
      <c r="I64" s="8"/>
      <c r="J64" s="8"/>
      <c r="K64" s="8"/>
      <c r="L64" s="8"/>
      <c r="M64" s="8"/>
      <c r="N64" s="8"/>
      <c r="O64" s="8"/>
      <c r="P64" s="8"/>
      <c r="Q64" s="8"/>
      <c r="R64" s="52"/>
      <c r="S64" s="8"/>
      <c r="T64" s="5"/>
    </row>
    <row r="65" spans="1:20" ht="15.6" x14ac:dyDescent="0.3">
      <c r="A65" s="6"/>
      <c r="B65" s="13"/>
      <c r="C65" s="8"/>
      <c r="D65" s="8"/>
      <c r="E65" s="8"/>
      <c r="F65" s="8"/>
      <c r="G65" s="8"/>
      <c r="H65" s="8"/>
      <c r="I65" s="8"/>
      <c r="J65" s="8"/>
      <c r="K65" s="8"/>
      <c r="L65" s="8"/>
      <c r="M65" s="8"/>
      <c r="N65" s="8"/>
      <c r="O65" s="8"/>
      <c r="P65" s="8"/>
      <c r="Q65" s="8"/>
      <c r="R65" s="52"/>
      <c r="S65" s="8"/>
      <c r="T65" s="5"/>
    </row>
    <row r="66" spans="1:20" ht="46.8" x14ac:dyDescent="0.3">
      <c r="A66" s="6"/>
      <c r="B66" s="115" t="s">
        <v>22</v>
      </c>
      <c r="C66" s="116"/>
      <c r="D66" s="116"/>
      <c r="E66" s="116"/>
      <c r="F66" s="116"/>
      <c r="G66" s="116"/>
      <c r="H66" s="116" t="s">
        <v>105</v>
      </c>
      <c r="I66" s="116"/>
      <c r="J66" s="116" t="s">
        <v>107</v>
      </c>
      <c r="K66" s="116"/>
      <c r="L66" s="116" t="s">
        <v>109</v>
      </c>
      <c r="M66" s="116"/>
      <c r="N66" s="116" t="s">
        <v>111</v>
      </c>
      <c r="O66" s="116"/>
      <c r="P66" s="116" t="s">
        <v>118</v>
      </c>
      <c r="Q66" s="116"/>
      <c r="R66" s="117" t="s">
        <v>127</v>
      </c>
      <c r="S66" s="118"/>
      <c r="T66" s="5"/>
    </row>
    <row r="67" spans="1:20" ht="15.6" x14ac:dyDescent="0.3">
      <c r="A67" s="24"/>
      <c r="B67" s="25" t="s">
        <v>23</v>
      </c>
      <c r="C67" s="34"/>
      <c r="D67" s="34"/>
      <c r="E67" s="34"/>
      <c r="F67" s="34"/>
      <c r="G67" s="34"/>
      <c r="H67" s="34">
        <v>729883</v>
      </c>
      <c r="I67" s="34"/>
      <c r="J67" s="53">
        <v>765659</v>
      </c>
      <c r="K67" s="34"/>
      <c r="L67" s="34">
        <f>29448+3852+651</f>
        <v>33951</v>
      </c>
      <c r="M67" s="34"/>
      <c r="N67" s="34">
        <f>3852+651</f>
        <v>4503</v>
      </c>
      <c r="O67" s="34"/>
      <c r="P67" s="34">
        <v>0</v>
      </c>
      <c r="Q67" s="34"/>
      <c r="R67" s="53">
        <f>+J67-L67+N67-P67</f>
        <v>736211</v>
      </c>
      <c r="S67" s="25"/>
      <c r="T67" s="5"/>
    </row>
    <row r="68" spans="1:20" ht="15.6" x14ac:dyDescent="0.3">
      <c r="A68" s="24"/>
      <c r="B68" s="25" t="s">
        <v>24</v>
      </c>
      <c r="C68" s="34"/>
      <c r="D68" s="34"/>
      <c r="E68" s="34"/>
      <c r="F68" s="34"/>
      <c r="G68" s="34"/>
      <c r="H68" s="34">
        <v>184</v>
      </c>
      <c r="I68" s="34"/>
      <c r="J68" s="53">
        <v>0</v>
      </c>
      <c r="K68" s="34"/>
      <c r="L68" s="34">
        <v>0</v>
      </c>
      <c r="M68" s="34"/>
      <c r="N68" s="34">
        <v>0</v>
      </c>
      <c r="O68" s="34"/>
      <c r="P68" s="34">
        <v>0</v>
      </c>
      <c r="Q68" s="34"/>
      <c r="R68" s="53">
        <f>+J68-L68</f>
        <v>0</v>
      </c>
      <c r="S68" s="25"/>
      <c r="T68" s="5"/>
    </row>
    <row r="69" spans="1:20" ht="15.6" x14ac:dyDescent="0.3">
      <c r="A69" s="24"/>
      <c r="B69" s="25"/>
      <c r="C69" s="34"/>
      <c r="D69" s="34"/>
      <c r="E69" s="34"/>
      <c r="F69" s="34"/>
      <c r="G69" s="34"/>
      <c r="H69" s="34"/>
      <c r="I69" s="34"/>
      <c r="J69" s="53"/>
      <c r="K69" s="34"/>
      <c r="L69" s="34"/>
      <c r="M69" s="34"/>
      <c r="N69" s="34"/>
      <c r="O69" s="34"/>
      <c r="P69" s="34"/>
      <c r="Q69" s="34"/>
      <c r="R69" s="53"/>
      <c r="S69" s="25"/>
      <c r="T69" s="5"/>
    </row>
    <row r="70" spans="1:20" ht="15.6" x14ac:dyDescent="0.3">
      <c r="A70" s="24"/>
      <c r="B70" s="25" t="s">
        <v>25</v>
      </c>
      <c r="C70" s="34"/>
      <c r="D70" s="34"/>
      <c r="E70" s="34"/>
      <c r="F70" s="34"/>
      <c r="G70" s="34"/>
      <c r="H70" s="34">
        <f>SUM(H67:H69)</f>
        <v>730067</v>
      </c>
      <c r="I70" s="34"/>
      <c r="J70" s="54">
        <f>J67+J68</f>
        <v>765659</v>
      </c>
      <c r="K70" s="34"/>
      <c r="L70" s="34">
        <f>SUM(L67:L69)</f>
        <v>33951</v>
      </c>
      <c r="M70" s="34"/>
      <c r="N70" s="34">
        <f>SUM(N67:N69)</f>
        <v>4503</v>
      </c>
      <c r="O70" s="34"/>
      <c r="P70" s="34">
        <f>SUM(P67:P69)</f>
        <v>0</v>
      </c>
      <c r="Q70" s="34"/>
      <c r="R70" s="54">
        <f>SUM(R67:R69)</f>
        <v>736211</v>
      </c>
      <c r="S70" s="25"/>
      <c r="T70" s="5"/>
    </row>
    <row r="71" spans="1:20" ht="15.6" x14ac:dyDescent="0.3">
      <c r="A71" s="24"/>
      <c r="B71" s="25"/>
      <c r="C71" s="34"/>
      <c r="D71" s="34"/>
      <c r="E71" s="34"/>
      <c r="F71" s="34"/>
      <c r="G71" s="34"/>
      <c r="H71" s="34"/>
      <c r="I71" s="34"/>
      <c r="J71" s="34"/>
      <c r="K71" s="34"/>
      <c r="L71" s="34"/>
      <c r="M71" s="34"/>
      <c r="N71" s="34"/>
      <c r="O71" s="34"/>
      <c r="P71" s="34"/>
      <c r="Q71" s="34"/>
      <c r="R71" s="54"/>
      <c r="S71" s="25"/>
      <c r="T71" s="5"/>
    </row>
    <row r="72" spans="1:20" ht="15.6" x14ac:dyDescent="0.3">
      <c r="A72" s="6"/>
      <c r="B72" s="112" t="s">
        <v>26</v>
      </c>
      <c r="C72" s="55"/>
      <c r="D72" s="55"/>
      <c r="E72" s="55"/>
      <c r="F72" s="55"/>
      <c r="G72" s="55"/>
      <c r="H72" s="55"/>
      <c r="I72" s="55"/>
      <c r="J72" s="55"/>
      <c r="K72" s="55"/>
      <c r="L72" s="55"/>
      <c r="M72" s="55"/>
      <c r="N72" s="55"/>
      <c r="O72" s="55"/>
      <c r="P72" s="55"/>
      <c r="Q72" s="55"/>
      <c r="R72" s="56"/>
      <c r="S72" s="8"/>
      <c r="T72" s="5"/>
    </row>
    <row r="73" spans="1:20" ht="15.6" x14ac:dyDescent="0.3">
      <c r="A73" s="6"/>
      <c r="B73" s="8"/>
      <c r="C73" s="55"/>
      <c r="D73" s="55"/>
      <c r="E73" s="55"/>
      <c r="F73" s="55"/>
      <c r="G73" s="55"/>
      <c r="H73" s="55"/>
      <c r="I73" s="55"/>
      <c r="J73" s="55"/>
      <c r="K73" s="55"/>
      <c r="L73" s="55"/>
      <c r="M73" s="55"/>
      <c r="N73" s="55"/>
      <c r="O73" s="55"/>
      <c r="P73" s="55"/>
      <c r="Q73" s="55"/>
      <c r="R73" s="56"/>
      <c r="S73" s="8"/>
      <c r="T73" s="5"/>
    </row>
    <row r="74" spans="1:20" ht="15.6" x14ac:dyDescent="0.3">
      <c r="A74" s="24"/>
      <c r="B74" s="25" t="s">
        <v>23</v>
      </c>
      <c r="C74" s="34"/>
      <c r="D74" s="34"/>
      <c r="E74" s="34"/>
      <c r="F74" s="34"/>
      <c r="G74" s="34"/>
      <c r="H74" s="34"/>
      <c r="I74" s="34"/>
      <c r="J74" s="34"/>
      <c r="K74" s="34"/>
      <c r="L74" s="34"/>
      <c r="M74" s="34"/>
      <c r="N74" s="34"/>
      <c r="O74" s="34"/>
      <c r="P74" s="34"/>
      <c r="Q74" s="34"/>
      <c r="R74" s="54"/>
      <c r="S74" s="25"/>
      <c r="T74" s="5"/>
    </row>
    <row r="75" spans="1:20" ht="15.6" x14ac:dyDescent="0.3">
      <c r="A75" s="24"/>
      <c r="B75" s="25" t="s">
        <v>24</v>
      </c>
      <c r="C75" s="34"/>
      <c r="D75" s="34"/>
      <c r="E75" s="34"/>
      <c r="F75" s="34"/>
      <c r="G75" s="34"/>
      <c r="H75" s="34"/>
      <c r="I75" s="34"/>
      <c r="J75" s="34"/>
      <c r="K75" s="34"/>
      <c r="L75" s="34"/>
      <c r="M75" s="34"/>
      <c r="N75" s="34"/>
      <c r="O75" s="34"/>
      <c r="P75" s="34"/>
      <c r="Q75" s="34"/>
      <c r="R75" s="54"/>
      <c r="S75" s="25"/>
      <c r="T75" s="5"/>
    </row>
    <row r="76" spans="1:20" ht="15.6" x14ac:dyDescent="0.3">
      <c r="A76" s="24"/>
      <c r="B76" s="25"/>
      <c r="C76" s="34"/>
      <c r="D76" s="34"/>
      <c r="E76" s="34"/>
      <c r="F76" s="34"/>
      <c r="G76" s="34"/>
      <c r="H76" s="34"/>
      <c r="I76" s="34"/>
      <c r="J76" s="34"/>
      <c r="K76" s="34"/>
      <c r="L76" s="34"/>
      <c r="M76" s="34"/>
      <c r="N76" s="34"/>
      <c r="O76" s="34"/>
      <c r="P76" s="34"/>
      <c r="Q76" s="34"/>
      <c r="R76" s="54"/>
      <c r="S76" s="25"/>
      <c r="T76" s="5"/>
    </row>
    <row r="77" spans="1:20" ht="15.6" x14ac:dyDescent="0.3">
      <c r="A77" s="24"/>
      <c r="B77" s="25" t="s">
        <v>25</v>
      </c>
      <c r="C77" s="34"/>
      <c r="D77" s="34"/>
      <c r="E77" s="34"/>
      <c r="F77" s="34"/>
      <c r="G77" s="34"/>
      <c r="H77" s="34"/>
      <c r="I77" s="34"/>
      <c r="J77" s="34"/>
      <c r="K77" s="34"/>
      <c r="L77" s="34"/>
      <c r="M77" s="34"/>
      <c r="N77" s="34"/>
      <c r="O77" s="34"/>
      <c r="P77" s="34"/>
      <c r="Q77" s="34"/>
      <c r="R77" s="34"/>
      <c r="S77" s="25"/>
      <c r="T77" s="5"/>
    </row>
    <row r="78" spans="1:20" ht="15.6" x14ac:dyDescent="0.3">
      <c r="A78" s="24"/>
      <c r="B78" s="25"/>
      <c r="C78" s="34"/>
      <c r="D78" s="34"/>
      <c r="E78" s="34"/>
      <c r="F78" s="34"/>
      <c r="G78" s="34"/>
      <c r="H78" s="34"/>
      <c r="I78" s="34"/>
      <c r="J78" s="34"/>
      <c r="K78" s="34"/>
      <c r="L78" s="34"/>
      <c r="M78" s="34"/>
      <c r="N78" s="34"/>
      <c r="O78" s="34"/>
      <c r="P78" s="34"/>
      <c r="Q78" s="34"/>
      <c r="R78" s="34"/>
      <c r="S78" s="25"/>
      <c r="T78" s="5"/>
    </row>
    <row r="79" spans="1:20" ht="15.6" x14ac:dyDescent="0.3">
      <c r="A79" s="24"/>
      <c r="B79" s="25" t="s">
        <v>27</v>
      </c>
      <c r="C79" s="34"/>
      <c r="D79" s="34"/>
      <c r="E79" s="34"/>
      <c r="F79" s="34"/>
      <c r="G79" s="34"/>
      <c r="H79" s="34">
        <v>0</v>
      </c>
      <c r="I79" s="34"/>
      <c r="J79" s="34">
        <v>0</v>
      </c>
      <c r="K79" s="34"/>
      <c r="L79" s="34"/>
      <c r="M79" s="34"/>
      <c r="N79" s="34"/>
      <c r="O79" s="34"/>
      <c r="P79" s="34"/>
      <c r="Q79" s="34"/>
      <c r="R79" s="53">
        <v>0</v>
      </c>
      <c r="S79" s="25"/>
      <c r="T79" s="5"/>
    </row>
    <row r="80" spans="1:20" ht="15.6" x14ac:dyDescent="0.3">
      <c r="A80" s="24"/>
      <c r="B80" s="25" t="s">
        <v>132</v>
      </c>
      <c r="C80" s="34"/>
      <c r="D80" s="34"/>
      <c r="E80" s="34"/>
      <c r="F80" s="34"/>
      <c r="G80" s="34"/>
      <c r="H80" s="34">
        <v>269933</v>
      </c>
      <c r="I80" s="34"/>
      <c r="J80" s="34">
        <v>0</v>
      </c>
      <c r="K80" s="34"/>
      <c r="L80" s="34"/>
      <c r="M80" s="34"/>
      <c r="N80" s="34"/>
      <c r="O80" s="34"/>
      <c r="P80" s="34"/>
      <c r="Q80" s="34"/>
      <c r="R80" s="54">
        <f>SUM(J80:N80)</f>
        <v>0</v>
      </c>
      <c r="S80" s="25"/>
      <c r="T80" s="5"/>
    </row>
    <row r="81" spans="1:20" ht="15.6" x14ac:dyDescent="0.3">
      <c r="A81" s="24"/>
      <c r="B81" s="25" t="s">
        <v>170</v>
      </c>
      <c r="C81" s="34"/>
      <c r="D81" s="34"/>
      <c r="E81" s="34"/>
      <c r="F81" s="34"/>
      <c r="G81" s="34"/>
      <c r="H81" s="34">
        <v>0</v>
      </c>
      <c r="I81" s="34"/>
      <c r="J81" s="34">
        <v>0</v>
      </c>
      <c r="K81" s="34"/>
      <c r="L81" s="34"/>
      <c r="M81" s="34"/>
      <c r="N81" s="34"/>
      <c r="O81" s="34"/>
      <c r="P81" s="34"/>
      <c r="Q81" s="34"/>
      <c r="R81" s="54">
        <v>0</v>
      </c>
      <c r="S81" s="25"/>
      <c r="T81" s="5"/>
    </row>
    <row r="82" spans="1:20" ht="15.6" x14ac:dyDescent="0.3">
      <c r="A82" s="24"/>
      <c r="B82" s="25" t="s">
        <v>29</v>
      </c>
      <c r="C82" s="34"/>
      <c r="D82" s="34"/>
      <c r="E82" s="34"/>
      <c r="F82" s="34"/>
      <c r="G82" s="34"/>
      <c r="H82" s="34">
        <v>0</v>
      </c>
      <c r="I82" s="34"/>
      <c r="J82" s="34">
        <v>0</v>
      </c>
      <c r="K82" s="34"/>
      <c r="L82" s="34"/>
      <c r="M82" s="34"/>
      <c r="N82" s="34"/>
      <c r="O82" s="34"/>
      <c r="P82" s="34"/>
      <c r="Q82" s="34"/>
      <c r="R82" s="54">
        <v>0</v>
      </c>
      <c r="S82" s="25"/>
      <c r="T82" s="5"/>
    </row>
    <row r="83" spans="1:20" ht="15.6" x14ac:dyDescent="0.3">
      <c r="A83" s="24"/>
      <c r="B83" s="25" t="s">
        <v>30</v>
      </c>
      <c r="C83" s="34"/>
      <c r="D83" s="34"/>
      <c r="E83" s="34"/>
      <c r="F83" s="54"/>
      <c r="G83" s="34"/>
      <c r="H83" s="54">
        <f>SUM(H70:H82)</f>
        <v>1000000</v>
      </c>
      <c r="I83" s="54"/>
      <c r="J83" s="54">
        <f>SUM(J70:J82)</f>
        <v>765659</v>
      </c>
      <c r="K83" s="34"/>
      <c r="L83" s="34"/>
      <c r="M83" s="34"/>
      <c r="N83" s="34"/>
      <c r="O83" s="34"/>
      <c r="P83" s="54"/>
      <c r="Q83" s="34"/>
      <c r="R83" s="54">
        <f>SUM(R70:R82)</f>
        <v>736211</v>
      </c>
      <c r="S83" s="25"/>
      <c r="T83" s="5"/>
    </row>
    <row r="84" spans="1:20" ht="15.6" x14ac:dyDescent="0.3">
      <c r="A84" s="24"/>
      <c r="B84" s="25"/>
      <c r="C84" s="34"/>
      <c r="D84" s="34"/>
      <c r="E84" s="34"/>
      <c r="F84" s="34"/>
      <c r="G84" s="34"/>
      <c r="H84" s="34"/>
      <c r="I84" s="34"/>
      <c r="J84" s="34"/>
      <c r="K84" s="34"/>
      <c r="L84" s="34"/>
      <c r="M84" s="34"/>
      <c r="N84" s="34"/>
      <c r="O84" s="34"/>
      <c r="P84" s="34"/>
      <c r="Q84" s="34"/>
      <c r="R84" s="54"/>
      <c r="S84" s="25"/>
      <c r="T84" s="5"/>
    </row>
    <row r="85" spans="1:20" ht="15.6" x14ac:dyDescent="0.3">
      <c r="A85" s="6"/>
      <c r="B85" s="8"/>
      <c r="C85" s="8"/>
      <c r="D85" s="8"/>
      <c r="E85" s="8"/>
      <c r="F85" s="8"/>
      <c r="G85" s="8"/>
      <c r="H85" s="8"/>
      <c r="I85" s="8"/>
      <c r="J85" s="8"/>
      <c r="K85" s="8"/>
      <c r="L85" s="8"/>
      <c r="M85" s="8"/>
      <c r="N85" s="8"/>
      <c r="O85" s="8"/>
      <c r="P85" s="8"/>
      <c r="Q85" s="8"/>
      <c r="R85" s="8"/>
      <c r="S85" s="8"/>
      <c r="T85" s="5"/>
    </row>
    <row r="86" spans="1:20" ht="15.6" x14ac:dyDescent="0.3">
      <c r="A86" s="6"/>
      <c r="B86" s="51" t="s">
        <v>31</v>
      </c>
      <c r="C86" s="14"/>
      <c r="D86" s="14"/>
      <c r="E86" s="14"/>
      <c r="F86" s="14"/>
      <c r="G86" s="14"/>
      <c r="H86" s="170" t="s">
        <v>106</v>
      </c>
      <c r="I86" s="17"/>
      <c r="J86" s="169">
        <f>+P188</f>
        <v>39171</v>
      </c>
      <c r="K86" s="17"/>
      <c r="L86" s="17"/>
      <c r="M86" s="17"/>
      <c r="N86" s="17"/>
      <c r="O86" s="17"/>
      <c r="P86" s="17" t="s">
        <v>119</v>
      </c>
      <c r="Q86" s="17"/>
      <c r="R86" s="17" t="s">
        <v>128</v>
      </c>
      <c r="S86" s="8"/>
      <c r="T86" s="5"/>
    </row>
    <row r="87" spans="1:20" ht="15.6" x14ac:dyDescent="0.3">
      <c r="A87" s="24"/>
      <c r="B87" s="25" t="s">
        <v>32</v>
      </c>
      <c r="C87" s="25"/>
      <c r="D87" s="25"/>
      <c r="E87" s="25"/>
      <c r="F87" s="25"/>
      <c r="G87" s="25"/>
      <c r="H87" s="25"/>
      <c r="I87" s="25"/>
      <c r="J87" s="25"/>
      <c r="K87" s="25"/>
      <c r="L87" s="25"/>
      <c r="M87" s="25"/>
      <c r="N87" s="25"/>
      <c r="O87" s="25"/>
      <c r="P87" s="34">
        <v>0</v>
      </c>
      <c r="Q87" s="25"/>
      <c r="R87" s="53">
        <v>0</v>
      </c>
      <c r="S87" s="25"/>
      <c r="T87" s="5"/>
    </row>
    <row r="88" spans="1:20" ht="15.6" x14ac:dyDescent="0.3">
      <c r="A88" s="24"/>
      <c r="B88" s="25" t="s">
        <v>33</v>
      </c>
      <c r="C88" s="25"/>
      <c r="D88" s="25"/>
      <c r="E88" s="25"/>
      <c r="F88" s="25"/>
      <c r="G88" s="25"/>
      <c r="H88" s="40" t="s">
        <v>255</v>
      </c>
      <c r="I88" s="57"/>
      <c r="J88" s="128" t="s">
        <v>255</v>
      </c>
      <c r="K88" s="25"/>
      <c r="L88" s="25"/>
      <c r="M88" s="25"/>
      <c r="N88" s="25"/>
      <c r="O88" s="25"/>
      <c r="P88" s="34">
        <f>33951-88</f>
        <v>33863</v>
      </c>
      <c r="Q88" s="25"/>
      <c r="R88" s="53"/>
      <c r="S88" s="25"/>
      <c r="T88" s="5"/>
    </row>
    <row r="89" spans="1:20" ht="15.6" x14ac:dyDescent="0.3">
      <c r="A89" s="24"/>
      <c r="B89" s="25" t="s">
        <v>254</v>
      </c>
      <c r="C89" s="25"/>
      <c r="D89" s="25"/>
      <c r="E89" s="25"/>
      <c r="F89" s="25"/>
      <c r="G89" s="25"/>
      <c r="H89" s="40"/>
      <c r="I89" s="57"/>
      <c r="J89" s="128"/>
      <c r="K89" s="25"/>
      <c r="L89" s="25"/>
      <c r="M89" s="25"/>
      <c r="N89" s="25"/>
      <c r="O89" s="25"/>
      <c r="P89" s="34"/>
      <c r="Q89" s="25"/>
      <c r="R89" s="53">
        <f>11644+1876-1673-428+301</f>
        <v>11720</v>
      </c>
      <c r="S89" s="25"/>
      <c r="T89" s="5"/>
    </row>
    <row r="90" spans="1:20" ht="15.6" x14ac:dyDescent="0.3">
      <c r="A90" s="24"/>
      <c r="B90" s="25" t="s">
        <v>252</v>
      </c>
      <c r="C90" s="25"/>
      <c r="D90" s="25"/>
      <c r="E90" s="25"/>
      <c r="F90" s="25"/>
      <c r="G90" s="25"/>
      <c r="H90" s="40"/>
      <c r="I90" s="57"/>
      <c r="J90" s="128"/>
      <c r="K90" s="25"/>
      <c r="L90" s="25"/>
      <c r="M90" s="25"/>
      <c r="N90" s="25"/>
      <c r="O90" s="25"/>
      <c r="P90" s="34"/>
      <c r="Q90" s="25"/>
      <c r="R90" s="53">
        <f>477+124</f>
        <v>601</v>
      </c>
      <c r="S90" s="25"/>
      <c r="T90" s="5"/>
    </row>
    <row r="91" spans="1:20" ht="15.6" x14ac:dyDescent="0.3">
      <c r="A91" s="24"/>
      <c r="B91" s="25" t="s">
        <v>253</v>
      </c>
      <c r="C91" s="25"/>
      <c r="D91" s="25"/>
      <c r="E91" s="25"/>
      <c r="F91" s="25"/>
      <c r="G91" s="25"/>
      <c r="H91" s="40"/>
      <c r="I91" s="57"/>
      <c r="J91" s="128"/>
      <c r="K91" s="25"/>
      <c r="L91" s="25"/>
      <c r="M91" s="25"/>
      <c r="N91" s="25"/>
      <c r="O91" s="25"/>
      <c r="P91" s="34"/>
      <c r="Q91" s="25"/>
      <c r="R91" s="53">
        <v>398</v>
      </c>
      <c r="S91" s="25"/>
      <c r="T91" s="5"/>
    </row>
    <row r="92" spans="1:20" ht="15.6" x14ac:dyDescent="0.3">
      <c r="A92" s="24"/>
      <c r="B92" s="25" t="s">
        <v>269</v>
      </c>
      <c r="C92" s="25"/>
      <c r="D92" s="25"/>
      <c r="E92" s="25"/>
      <c r="F92" s="25"/>
      <c r="G92" s="25"/>
      <c r="H92" s="40"/>
      <c r="I92" s="57"/>
      <c r="J92" s="128"/>
      <c r="K92" s="25"/>
      <c r="L92" s="25"/>
      <c r="M92" s="25"/>
      <c r="N92" s="25"/>
      <c r="O92" s="25"/>
      <c r="P92" s="34"/>
      <c r="Q92" s="25"/>
      <c r="R92" s="53">
        <v>216</v>
      </c>
      <c r="S92" s="25"/>
      <c r="T92" s="5"/>
    </row>
    <row r="93" spans="1:20" ht="15.6" x14ac:dyDescent="0.3">
      <c r="A93" s="24"/>
      <c r="B93" s="25" t="s">
        <v>154</v>
      </c>
      <c r="C93" s="25"/>
      <c r="D93" s="25"/>
      <c r="E93" s="25"/>
      <c r="F93" s="25"/>
      <c r="G93" s="25"/>
      <c r="H93" s="25"/>
      <c r="I93" s="25"/>
      <c r="J93" s="25"/>
      <c r="K93" s="25"/>
      <c r="L93" s="25"/>
      <c r="M93" s="25"/>
      <c r="N93" s="25"/>
      <c r="O93" s="25"/>
      <c r="P93" s="34"/>
      <c r="Q93" s="25"/>
      <c r="R93" s="53">
        <v>0</v>
      </c>
      <c r="S93" s="25"/>
      <c r="T93" s="5"/>
    </row>
    <row r="94" spans="1:20" ht="15.6" x14ac:dyDescent="0.3">
      <c r="A94" s="24"/>
      <c r="B94" s="25" t="s">
        <v>199</v>
      </c>
      <c r="C94" s="25"/>
      <c r="D94" s="25"/>
      <c r="E94" s="25"/>
      <c r="F94" s="25"/>
      <c r="G94" s="25"/>
      <c r="H94" s="25"/>
      <c r="I94" s="25"/>
      <c r="J94" s="25"/>
      <c r="K94" s="25"/>
      <c r="L94" s="25"/>
      <c r="M94" s="25"/>
      <c r="N94" s="25"/>
      <c r="O94" s="25"/>
      <c r="P94" s="34"/>
      <c r="Q94" s="25"/>
      <c r="R94" s="53">
        <v>1223</v>
      </c>
      <c r="S94" s="25"/>
      <c r="T94" s="5"/>
    </row>
    <row r="95" spans="1:20" ht="15.6" x14ac:dyDescent="0.3">
      <c r="A95" s="24"/>
      <c r="B95" s="25" t="s">
        <v>35</v>
      </c>
      <c r="C95" s="25"/>
      <c r="D95" s="25"/>
      <c r="E95" s="25"/>
      <c r="F95" s="25"/>
      <c r="G95" s="25"/>
      <c r="H95" s="25"/>
      <c r="I95" s="25"/>
      <c r="J95" s="25"/>
      <c r="K95" s="25"/>
      <c r="L95" s="25"/>
      <c r="M95" s="25"/>
      <c r="N95" s="25"/>
      <c r="O95" s="25"/>
      <c r="P95" s="34">
        <f>SUM(P87:P94)</f>
        <v>33863</v>
      </c>
      <c r="Q95" s="25"/>
      <c r="R95" s="54">
        <f>SUM(R87:R94)</f>
        <v>14158</v>
      </c>
      <c r="S95" s="25"/>
      <c r="T95" s="5"/>
    </row>
    <row r="96" spans="1:20" ht="15.6" x14ac:dyDescent="0.3">
      <c r="A96" s="24"/>
      <c r="B96" s="25" t="s">
        <v>235</v>
      </c>
      <c r="C96" s="25"/>
      <c r="D96" s="25"/>
      <c r="E96" s="25"/>
      <c r="F96" s="25"/>
      <c r="G96" s="25"/>
      <c r="H96" s="25"/>
      <c r="I96" s="25"/>
      <c r="J96" s="25"/>
      <c r="K96" s="25"/>
      <c r="L96" s="25"/>
      <c r="M96" s="25"/>
      <c r="N96" s="25"/>
      <c r="O96" s="25"/>
      <c r="P96" s="34">
        <v>-57</v>
      </c>
      <c r="Q96" s="25"/>
      <c r="R96" s="54">
        <f>-P96</f>
        <v>57</v>
      </c>
      <c r="S96" s="25"/>
      <c r="T96" s="5"/>
    </row>
    <row r="97" spans="1:21" ht="15.6" x14ac:dyDescent="0.3">
      <c r="A97" s="24"/>
      <c r="B97" s="25" t="s">
        <v>36</v>
      </c>
      <c r="C97" s="25"/>
      <c r="D97" s="25"/>
      <c r="E97" s="25"/>
      <c r="F97" s="25"/>
      <c r="G97" s="25"/>
      <c r="H97" s="25"/>
      <c r="I97" s="25"/>
      <c r="J97" s="25"/>
      <c r="K97" s="25"/>
      <c r="L97" s="25"/>
      <c r="M97" s="25"/>
      <c r="N97" s="25"/>
      <c r="O97" s="25"/>
      <c r="P97" s="34">
        <f>-R97</f>
        <v>0</v>
      </c>
      <c r="Q97" s="25"/>
      <c r="R97" s="53">
        <v>0</v>
      </c>
      <c r="S97" s="25"/>
      <c r="T97" s="5"/>
    </row>
    <row r="98" spans="1:21" ht="15.6" x14ac:dyDescent="0.3">
      <c r="A98" s="24"/>
      <c r="B98" s="25" t="s">
        <v>37</v>
      </c>
      <c r="C98" s="25"/>
      <c r="D98" s="25"/>
      <c r="E98" s="25"/>
      <c r="F98" s="25"/>
      <c r="G98" s="25"/>
      <c r="H98" s="25"/>
      <c r="I98" s="25"/>
      <c r="J98" s="25"/>
      <c r="K98" s="25"/>
      <c r="L98" s="25"/>
      <c r="M98" s="25"/>
      <c r="N98" s="25"/>
      <c r="O98" s="25"/>
      <c r="P98" s="34">
        <f>P95+P97+P96</f>
        <v>33806</v>
      </c>
      <c r="Q98" s="25"/>
      <c r="R98" s="54">
        <f>R95+R97+R96</f>
        <v>14215</v>
      </c>
      <c r="S98" s="25"/>
      <c r="T98" s="5"/>
    </row>
    <row r="99" spans="1:21" ht="15.6" x14ac:dyDescent="0.3">
      <c r="A99" s="24"/>
      <c r="B99" s="119" t="s">
        <v>38</v>
      </c>
      <c r="C99" s="25"/>
      <c r="D99" s="25"/>
      <c r="E99" s="25"/>
      <c r="F99" s="25"/>
      <c r="G99" s="25"/>
      <c r="H99" s="25"/>
      <c r="I99" s="25"/>
      <c r="J99" s="25"/>
      <c r="K99" s="25"/>
      <c r="L99" s="25"/>
      <c r="M99" s="25"/>
      <c r="N99" s="25"/>
      <c r="O99" s="25"/>
      <c r="P99" s="34"/>
      <c r="Q99" s="25"/>
      <c r="R99" s="53"/>
      <c r="S99" s="25"/>
      <c r="T99" s="5"/>
    </row>
    <row r="100" spans="1:21" ht="15.6" x14ac:dyDescent="0.3">
      <c r="A100" s="24">
        <v>1</v>
      </c>
      <c r="B100" s="25" t="s">
        <v>39</v>
      </c>
      <c r="C100" s="25"/>
      <c r="D100" s="25"/>
      <c r="E100" s="25"/>
      <c r="F100" s="25"/>
      <c r="G100" s="25"/>
      <c r="H100" s="25"/>
      <c r="I100" s="25"/>
      <c r="J100" s="25"/>
      <c r="K100" s="25"/>
      <c r="L100" s="25"/>
      <c r="M100" s="25"/>
      <c r="N100" s="25"/>
      <c r="O100" s="25"/>
      <c r="P100" s="25"/>
      <c r="Q100" s="25"/>
      <c r="R100" s="53">
        <v>0</v>
      </c>
      <c r="S100" s="25"/>
      <c r="T100" s="5"/>
    </row>
    <row r="101" spans="1:21" ht="15.6" x14ac:dyDescent="0.3">
      <c r="A101" s="24">
        <f>+A100+1</f>
        <v>2</v>
      </c>
      <c r="B101" s="25" t="s">
        <v>40</v>
      </c>
      <c r="C101" s="25"/>
      <c r="D101" s="25"/>
      <c r="E101" s="25"/>
      <c r="F101" s="25"/>
      <c r="G101" s="25"/>
      <c r="H101" s="25"/>
      <c r="I101" s="25"/>
      <c r="J101" s="25"/>
      <c r="K101" s="25"/>
      <c r="L101" s="25"/>
      <c r="M101" s="25"/>
      <c r="N101" s="25"/>
      <c r="O101" s="25"/>
      <c r="P101" s="25"/>
      <c r="Q101" s="25"/>
      <c r="R101" s="53">
        <v>-2</v>
      </c>
      <c r="S101" s="25"/>
      <c r="T101" s="5"/>
    </row>
    <row r="102" spans="1:21" ht="15.6" x14ac:dyDescent="0.3">
      <c r="A102" s="24">
        <f>+A101+1</f>
        <v>3</v>
      </c>
      <c r="B102" s="25" t="s">
        <v>174</v>
      </c>
      <c r="C102" s="25"/>
      <c r="D102" s="25"/>
      <c r="E102" s="25"/>
      <c r="F102" s="25"/>
      <c r="G102" s="25"/>
      <c r="H102" s="25"/>
      <c r="I102" s="25"/>
      <c r="J102" s="25"/>
      <c r="K102" s="25"/>
      <c r="L102" s="25"/>
      <c r="M102" s="25"/>
      <c r="N102" s="25"/>
      <c r="O102" s="25"/>
      <c r="P102" s="25"/>
      <c r="Q102" s="25"/>
      <c r="R102" s="53">
        <f>-187-49-10</f>
        <v>-246</v>
      </c>
      <c r="S102" s="25"/>
      <c r="T102" s="5"/>
    </row>
    <row r="103" spans="1:21" ht="15.6" x14ac:dyDescent="0.3">
      <c r="A103" s="24" t="s">
        <v>146</v>
      </c>
      <c r="B103" s="25" t="s">
        <v>131</v>
      </c>
      <c r="C103" s="25"/>
      <c r="D103" s="25"/>
      <c r="E103" s="25"/>
      <c r="F103" s="25"/>
      <c r="G103" s="25"/>
      <c r="H103" s="25"/>
      <c r="I103" s="25"/>
      <c r="J103" s="25"/>
      <c r="K103" s="25"/>
      <c r="L103" s="25"/>
      <c r="M103" s="25"/>
      <c r="N103" s="25"/>
      <c r="O103" s="25"/>
      <c r="P103" s="25"/>
      <c r="Q103" s="25"/>
      <c r="R103" s="53">
        <v>0</v>
      </c>
      <c r="S103" s="25"/>
      <c r="T103" s="5"/>
    </row>
    <row r="104" spans="1:21" ht="15.6" x14ac:dyDescent="0.3">
      <c r="A104" s="24" t="s">
        <v>147</v>
      </c>
      <c r="B104" s="25" t="s">
        <v>218</v>
      </c>
      <c r="C104" s="25"/>
      <c r="D104" s="25"/>
      <c r="E104" s="25"/>
      <c r="F104" s="25"/>
      <c r="G104" s="25"/>
      <c r="H104" s="25"/>
      <c r="I104" s="25"/>
      <c r="J104" s="25"/>
      <c r="K104" s="25"/>
      <c r="L104" s="25"/>
      <c r="M104" s="25"/>
      <c r="N104" s="25"/>
      <c r="O104" s="25"/>
      <c r="P104" s="25"/>
      <c r="Q104" s="25"/>
      <c r="R104" s="53">
        <v>-2</v>
      </c>
      <c r="S104" s="25"/>
      <c r="T104" s="5"/>
    </row>
    <row r="105" spans="1:21" ht="15.6" x14ac:dyDescent="0.3">
      <c r="A105" s="24" t="s">
        <v>176</v>
      </c>
      <c r="B105" s="25" t="s">
        <v>230</v>
      </c>
      <c r="C105" s="25"/>
      <c r="D105" s="25"/>
      <c r="E105" s="25"/>
      <c r="F105" s="25"/>
      <c r="G105" s="25"/>
      <c r="H105" s="25"/>
      <c r="I105" s="25"/>
      <c r="J105" s="25"/>
      <c r="K105" s="25"/>
      <c r="L105" s="25"/>
      <c r="M105" s="25"/>
      <c r="N105" s="25"/>
      <c r="O105" s="25"/>
      <c r="P105" s="25"/>
      <c r="Q105" s="25"/>
      <c r="R105" s="53">
        <v>-115</v>
      </c>
      <c r="S105" s="25"/>
      <c r="T105" s="5"/>
      <c r="U105" s="110"/>
    </row>
    <row r="106" spans="1:21" ht="15.6" x14ac:dyDescent="0.3">
      <c r="A106" s="24" t="s">
        <v>177</v>
      </c>
      <c r="B106" s="25" t="s">
        <v>231</v>
      </c>
      <c r="C106" s="25"/>
      <c r="D106" s="25"/>
      <c r="E106" s="25"/>
      <c r="F106" s="25"/>
      <c r="G106" s="25"/>
      <c r="H106" s="25"/>
      <c r="I106" s="25"/>
      <c r="J106" s="25"/>
      <c r="K106" s="25"/>
      <c r="L106" s="25"/>
      <c r="M106" s="25"/>
      <c r="N106" s="25"/>
      <c r="O106" s="25"/>
      <c r="P106" s="25"/>
      <c r="Q106" s="25"/>
      <c r="R106" s="53">
        <v>-530</v>
      </c>
      <c r="S106" s="25"/>
      <c r="T106" s="5"/>
      <c r="U106" s="110"/>
    </row>
    <row r="107" spans="1:21" ht="15.6" x14ac:dyDescent="0.3">
      <c r="A107" s="24" t="s">
        <v>248</v>
      </c>
      <c r="B107" s="25" t="s">
        <v>232</v>
      </c>
      <c r="C107" s="25"/>
      <c r="D107" s="25"/>
      <c r="E107" s="25"/>
      <c r="F107" s="25"/>
      <c r="G107" s="25"/>
      <c r="H107" s="25"/>
      <c r="I107" s="25"/>
      <c r="J107" s="25"/>
      <c r="K107" s="25"/>
      <c r="L107" s="25"/>
      <c r="M107" s="25"/>
      <c r="N107" s="25"/>
      <c r="O107" s="25"/>
      <c r="P107" s="25"/>
      <c r="Q107" s="25"/>
      <c r="R107" s="53">
        <v>-4359</v>
      </c>
      <c r="S107" s="25"/>
      <c r="T107" s="5"/>
    </row>
    <row r="108" spans="1:21" ht="15.6" x14ac:dyDescent="0.3">
      <c r="A108" s="24" t="s">
        <v>205</v>
      </c>
      <c r="B108" s="25" t="s">
        <v>233</v>
      </c>
      <c r="C108" s="25"/>
      <c r="D108" s="25"/>
      <c r="E108" s="25"/>
      <c r="F108" s="25"/>
      <c r="G108" s="25"/>
      <c r="H108" s="25"/>
      <c r="I108" s="25"/>
      <c r="J108" s="25"/>
      <c r="K108" s="25"/>
      <c r="L108" s="25"/>
      <c r="M108" s="25"/>
      <c r="N108" s="25"/>
      <c r="O108" s="25"/>
      <c r="P108" s="25"/>
      <c r="Q108" s="25"/>
      <c r="R108" s="53">
        <v>-4535</v>
      </c>
      <c r="S108" s="25"/>
      <c r="T108" s="5"/>
      <c r="U108" s="110"/>
    </row>
    <row r="109" spans="1:21" ht="15.6" x14ac:dyDescent="0.3">
      <c r="A109" s="24" t="s">
        <v>249</v>
      </c>
      <c r="B109" s="25" t="s">
        <v>234</v>
      </c>
      <c r="C109" s="25"/>
      <c r="D109" s="25"/>
      <c r="E109" s="25"/>
      <c r="F109" s="25"/>
      <c r="G109" s="25"/>
      <c r="H109" s="25"/>
      <c r="I109" s="25"/>
      <c r="J109" s="25"/>
      <c r="K109" s="25"/>
      <c r="L109" s="25"/>
      <c r="M109" s="25"/>
      <c r="N109" s="25"/>
      <c r="O109" s="25"/>
      <c r="P109" s="25"/>
      <c r="Q109" s="25"/>
      <c r="R109" s="53">
        <v>-1004</v>
      </c>
      <c r="S109" s="25"/>
      <c r="T109" s="5"/>
      <c r="U109" s="110"/>
    </row>
    <row r="110" spans="1:21" ht="15.6" x14ac:dyDescent="0.3">
      <c r="A110" s="24" t="s">
        <v>250</v>
      </c>
      <c r="B110" s="25" t="s">
        <v>168</v>
      </c>
      <c r="C110" s="25"/>
      <c r="D110" s="25"/>
      <c r="E110" s="25"/>
      <c r="F110" s="25"/>
      <c r="G110" s="25"/>
      <c r="H110" s="25"/>
      <c r="I110" s="25"/>
      <c r="J110" s="25"/>
      <c r="K110" s="25"/>
      <c r="L110" s="25"/>
      <c r="M110" s="25"/>
      <c r="N110" s="25"/>
      <c r="O110" s="25"/>
      <c r="P110" s="25"/>
      <c r="Q110" s="25"/>
      <c r="R110" s="53">
        <v>-544</v>
      </c>
      <c r="S110" s="25"/>
      <c r="T110" s="5"/>
      <c r="U110" s="110"/>
    </row>
    <row r="111" spans="1:21" ht="15.6" x14ac:dyDescent="0.3">
      <c r="A111" s="24">
        <v>6</v>
      </c>
      <c r="B111" s="25" t="s">
        <v>41</v>
      </c>
      <c r="C111" s="25"/>
      <c r="D111" s="25"/>
      <c r="E111" s="25"/>
      <c r="F111" s="25"/>
      <c r="G111" s="25"/>
      <c r="H111" s="25"/>
      <c r="I111" s="25"/>
      <c r="J111" s="25"/>
      <c r="K111" s="25"/>
      <c r="L111" s="25"/>
      <c r="M111" s="25"/>
      <c r="N111" s="25"/>
      <c r="O111" s="25"/>
      <c r="P111" s="25"/>
      <c r="Q111" s="25"/>
      <c r="R111" s="53">
        <v>-8</v>
      </c>
      <c r="S111" s="25"/>
      <c r="T111" s="5"/>
    </row>
    <row r="112" spans="1:21" ht="15.6" x14ac:dyDescent="0.3">
      <c r="A112" s="24">
        <f t="shared" ref="A112:A117" si="0">+A111+1</f>
        <v>7</v>
      </c>
      <c r="B112" s="25" t="s">
        <v>53</v>
      </c>
      <c r="C112" s="25"/>
      <c r="D112" s="25"/>
      <c r="E112" s="25"/>
      <c r="F112" s="25"/>
      <c r="G112" s="25"/>
      <c r="H112" s="25"/>
      <c r="I112" s="25"/>
      <c r="J112" s="25"/>
      <c r="K112" s="25"/>
      <c r="L112" s="25"/>
      <c r="M112" s="25"/>
      <c r="N112" s="25"/>
      <c r="O112" s="25"/>
      <c r="P112" s="34">
        <f>-R112</f>
        <v>88</v>
      </c>
      <c r="Q112" s="25"/>
      <c r="R112" s="53">
        <v>-88</v>
      </c>
      <c r="S112" s="25"/>
      <c r="T112" s="5"/>
    </row>
    <row r="113" spans="1:20" ht="15.6" x14ac:dyDescent="0.3">
      <c r="A113" s="24">
        <f t="shared" si="0"/>
        <v>8</v>
      </c>
      <c r="B113" s="25" t="s">
        <v>144</v>
      </c>
      <c r="C113" s="25"/>
      <c r="D113" s="25"/>
      <c r="E113" s="25"/>
      <c r="F113" s="25"/>
      <c r="G113" s="25"/>
      <c r="H113" s="25"/>
      <c r="I113" s="25"/>
      <c r="J113" s="25"/>
      <c r="K113" s="25"/>
      <c r="L113" s="25"/>
      <c r="M113" s="25"/>
      <c r="N113" s="25"/>
      <c r="O113" s="25"/>
      <c r="P113" s="25"/>
      <c r="Q113" s="25"/>
      <c r="R113" s="53">
        <v>0</v>
      </c>
      <c r="S113" s="25"/>
      <c r="T113" s="5"/>
    </row>
    <row r="114" spans="1:20" ht="15.6" x14ac:dyDescent="0.3">
      <c r="A114" s="24">
        <f t="shared" si="0"/>
        <v>9</v>
      </c>
      <c r="B114" s="25" t="s">
        <v>42</v>
      </c>
      <c r="C114" s="25"/>
      <c r="D114" s="25"/>
      <c r="E114" s="25"/>
      <c r="F114" s="25"/>
      <c r="G114" s="25"/>
      <c r="H114" s="25"/>
      <c r="I114" s="25"/>
      <c r="J114" s="25"/>
      <c r="K114" s="25"/>
      <c r="L114" s="25"/>
      <c r="M114" s="25"/>
      <c r="N114" s="25"/>
      <c r="O114" s="25"/>
      <c r="P114" s="25"/>
      <c r="Q114" s="25"/>
      <c r="R114" s="53">
        <v>0</v>
      </c>
      <c r="S114" s="25"/>
      <c r="T114" s="5"/>
    </row>
    <row r="115" spans="1:20" ht="15.6" x14ac:dyDescent="0.3">
      <c r="A115" s="24">
        <f t="shared" si="0"/>
        <v>10</v>
      </c>
      <c r="B115" s="25" t="s">
        <v>43</v>
      </c>
      <c r="C115" s="25"/>
      <c r="D115" s="25"/>
      <c r="E115" s="25"/>
      <c r="F115" s="25"/>
      <c r="G115" s="25"/>
      <c r="H115" s="25"/>
      <c r="I115" s="25"/>
      <c r="J115" s="25"/>
      <c r="K115" s="25"/>
      <c r="L115" s="25"/>
      <c r="M115" s="25"/>
      <c r="N115" s="25"/>
      <c r="O115" s="25"/>
      <c r="P115" s="25"/>
      <c r="Q115" s="25"/>
      <c r="R115" s="53">
        <v>0</v>
      </c>
      <c r="S115" s="25"/>
      <c r="T115" s="5"/>
    </row>
    <row r="116" spans="1:20" ht="15.6" x14ac:dyDescent="0.3">
      <c r="A116" s="24">
        <f t="shared" si="0"/>
        <v>11</v>
      </c>
      <c r="B116" s="25" t="s">
        <v>175</v>
      </c>
      <c r="C116" s="25"/>
      <c r="D116" s="25"/>
      <c r="E116" s="25"/>
      <c r="F116" s="25"/>
      <c r="G116" s="25"/>
      <c r="H116" s="25"/>
      <c r="I116" s="25"/>
      <c r="J116" s="25"/>
      <c r="K116" s="25"/>
      <c r="L116" s="25"/>
      <c r="M116" s="25"/>
      <c r="N116" s="25"/>
      <c r="O116" s="25"/>
      <c r="P116" s="25"/>
      <c r="Q116" s="25"/>
      <c r="R116" s="53">
        <v>-380</v>
      </c>
      <c r="S116" s="25"/>
      <c r="T116" s="5"/>
    </row>
    <row r="117" spans="1:20" ht="15.6" x14ac:dyDescent="0.3">
      <c r="A117" s="24">
        <f t="shared" si="0"/>
        <v>12</v>
      </c>
      <c r="B117" s="25" t="s">
        <v>145</v>
      </c>
      <c r="C117" s="25"/>
      <c r="D117" s="25"/>
      <c r="E117" s="25"/>
      <c r="F117" s="25"/>
      <c r="G117" s="25"/>
      <c r="H117" s="25"/>
      <c r="I117" s="25"/>
      <c r="J117" s="25"/>
      <c r="K117" s="25"/>
      <c r="L117" s="25"/>
      <c r="M117" s="25"/>
      <c r="N117" s="25"/>
      <c r="O117" s="25"/>
      <c r="P117" s="25"/>
      <c r="Q117" s="25"/>
      <c r="R117" s="53">
        <f>-R98-SUM(R100:R116)</f>
        <v>-2402</v>
      </c>
      <c r="S117" s="25"/>
      <c r="T117" s="5"/>
    </row>
    <row r="118" spans="1:20" ht="15.6" x14ac:dyDescent="0.3">
      <c r="A118" s="24"/>
      <c r="B118" s="119" t="s">
        <v>44</v>
      </c>
      <c r="C118" s="25"/>
      <c r="D118" s="25"/>
      <c r="E118" s="25"/>
      <c r="F118" s="25"/>
      <c r="G118" s="25"/>
      <c r="H118" s="25"/>
      <c r="I118" s="25"/>
      <c r="J118" s="25"/>
      <c r="K118" s="25"/>
      <c r="L118" s="25"/>
      <c r="M118" s="25"/>
      <c r="N118" s="25"/>
      <c r="O118" s="25"/>
      <c r="P118" s="25"/>
      <c r="Q118" s="25"/>
      <c r="R118" s="59"/>
      <c r="S118" s="25"/>
      <c r="T118" s="5"/>
    </row>
    <row r="119" spans="1:20" ht="15.6" x14ac:dyDescent="0.3">
      <c r="A119" s="24"/>
      <c r="B119" s="25" t="s">
        <v>45</v>
      </c>
      <c r="C119" s="25"/>
      <c r="D119" s="25"/>
      <c r="E119" s="25"/>
      <c r="F119" s="25"/>
      <c r="G119" s="25"/>
      <c r="H119" s="25"/>
      <c r="I119" s="25"/>
      <c r="J119" s="25"/>
      <c r="K119" s="25"/>
      <c r="L119" s="25"/>
      <c r="M119" s="25"/>
      <c r="N119" s="25"/>
      <c r="O119" s="25"/>
      <c r="P119" s="34">
        <v>-242</v>
      </c>
      <c r="Q119" s="34"/>
      <c r="R119" s="53"/>
      <c r="S119" s="25"/>
      <c r="T119" s="5"/>
    </row>
    <row r="120" spans="1:20" ht="15.6" x14ac:dyDescent="0.3">
      <c r="A120" s="24"/>
      <c r="B120" s="25" t="s">
        <v>46</v>
      </c>
      <c r="C120" s="25"/>
      <c r="D120" s="25"/>
      <c r="E120" s="25"/>
      <c r="F120" s="25"/>
      <c r="G120" s="25"/>
      <c r="H120" s="25"/>
      <c r="I120" s="25"/>
      <c r="J120" s="25"/>
      <c r="K120" s="25"/>
      <c r="L120" s="25"/>
      <c r="M120" s="25"/>
      <c r="N120" s="25"/>
      <c r="O120" s="25"/>
      <c r="P120" s="34">
        <f>-O174</f>
        <v>-4204</v>
      </c>
      <c r="Q120" s="34"/>
      <c r="R120" s="53"/>
      <c r="S120" s="25"/>
      <c r="T120" s="5"/>
    </row>
    <row r="121" spans="1:20" ht="15.6" x14ac:dyDescent="0.3">
      <c r="A121" s="24"/>
      <c r="B121" s="25" t="s">
        <v>219</v>
      </c>
      <c r="C121" s="25"/>
      <c r="D121" s="25"/>
      <c r="E121" s="25"/>
      <c r="F121" s="25"/>
      <c r="G121" s="25"/>
      <c r="H121" s="25"/>
      <c r="I121" s="25"/>
      <c r="J121" s="25"/>
      <c r="K121" s="25"/>
      <c r="L121" s="25"/>
      <c r="M121" s="25"/>
      <c r="N121" s="25"/>
      <c r="O121" s="25"/>
      <c r="P121" s="34">
        <v>-5259</v>
      </c>
      <c r="Q121" s="34"/>
      <c r="R121" s="53"/>
      <c r="S121" s="25"/>
      <c r="T121" s="5"/>
    </row>
    <row r="122" spans="1:20" ht="15.6" x14ac:dyDescent="0.3">
      <c r="A122" s="24"/>
      <c r="B122" s="25" t="s">
        <v>220</v>
      </c>
      <c r="C122" s="25"/>
      <c r="D122" s="25"/>
      <c r="E122" s="25"/>
      <c r="F122" s="25"/>
      <c r="G122" s="25"/>
      <c r="H122" s="25"/>
      <c r="I122" s="25"/>
      <c r="J122" s="25"/>
      <c r="K122" s="25"/>
      <c r="L122" s="25"/>
      <c r="M122" s="25"/>
      <c r="N122" s="25"/>
      <c r="O122" s="25"/>
      <c r="P122" s="34">
        <v>-24189</v>
      </c>
      <c r="Q122" s="34"/>
      <c r="R122" s="53"/>
      <c r="S122" s="25"/>
      <c r="T122" s="5"/>
    </row>
    <row r="123" spans="1:20" ht="15.6" x14ac:dyDescent="0.3">
      <c r="A123" s="24"/>
      <c r="B123" s="25" t="s">
        <v>221</v>
      </c>
      <c r="C123" s="25"/>
      <c r="D123" s="25"/>
      <c r="E123" s="25"/>
      <c r="F123" s="25"/>
      <c r="G123" s="25"/>
      <c r="H123" s="25"/>
      <c r="I123" s="25"/>
      <c r="J123" s="25"/>
      <c r="K123" s="25"/>
      <c r="L123" s="25"/>
      <c r="M123" s="25"/>
      <c r="N123" s="25"/>
      <c r="O123" s="25"/>
      <c r="P123" s="34">
        <v>0</v>
      </c>
      <c r="Q123" s="34"/>
      <c r="R123" s="53"/>
      <c r="S123" s="25"/>
      <c r="T123" s="5"/>
    </row>
    <row r="124" spans="1:20" ht="15.6" x14ac:dyDescent="0.3">
      <c r="A124" s="24"/>
      <c r="B124" s="25" t="s">
        <v>222</v>
      </c>
      <c r="C124" s="25"/>
      <c r="D124" s="25"/>
      <c r="E124" s="25"/>
      <c r="F124" s="25"/>
      <c r="G124" s="25"/>
      <c r="H124" s="25"/>
      <c r="I124" s="25"/>
      <c r="J124" s="25"/>
      <c r="K124" s="25"/>
      <c r="L124" s="25"/>
      <c r="M124" s="25"/>
      <c r="N124" s="25"/>
      <c r="O124" s="25"/>
      <c r="P124" s="34">
        <v>0</v>
      </c>
      <c r="Q124" s="34"/>
      <c r="R124" s="53"/>
      <c r="S124" s="25"/>
      <c r="T124" s="5"/>
    </row>
    <row r="125" spans="1:20" ht="15.6" x14ac:dyDescent="0.3">
      <c r="A125" s="24"/>
      <c r="B125" s="25" t="s">
        <v>223</v>
      </c>
      <c r="C125" s="25"/>
      <c r="D125" s="25"/>
      <c r="E125" s="25"/>
      <c r="F125" s="25"/>
      <c r="G125" s="25"/>
      <c r="H125" s="25"/>
      <c r="I125" s="25"/>
      <c r="J125" s="25"/>
      <c r="K125" s="25"/>
      <c r="L125" s="25"/>
      <c r="M125" s="25"/>
      <c r="N125" s="25"/>
      <c r="O125" s="25"/>
      <c r="P125" s="34">
        <v>0</v>
      </c>
      <c r="Q125" s="34"/>
      <c r="R125" s="53"/>
      <c r="S125" s="25"/>
      <c r="T125" s="5"/>
    </row>
    <row r="126" spans="1:20" ht="15.6" x14ac:dyDescent="0.3">
      <c r="A126" s="24"/>
      <c r="B126" s="25" t="s">
        <v>173</v>
      </c>
      <c r="C126" s="25"/>
      <c r="D126" s="25"/>
      <c r="E126" s="25"/>
      <c r="F126" s="25"/>
      <c r="G126" s="25"/>
      <c r="H126" s="25"/>
      <c r="I126" s="25"/>
      <c r="J126" s="25"/>
      <c r="K126" s="25"/>
      <c r="L126" s="25"/>
      <c r="M126" s="25"/>
      <c r="N126" s="25"/>
      <c r="O126" s="25"/>
      <c r="P126" s="34">
        <v>0</v>
      </c>
      <c r="Q126" s="34"/>
      <c r="R126" s="53"/>
      <c r="S126" s="25"/>
      <c r="T126" s="5"/>
    </row>
    <row r="127" spans="1:20" ht="15.6" x14ac:dyDescent="0.3">
      <c r="A127" s="24"/>
      <c r="B127" s="25" t="s">
        <v>47</v>
      </c>
      <c r="C127" s="25"/>
      <c r="D127" s="25"/>
      <c r="E127" s="25"/>
      <c r="F127" s="25"/>
      <c r="G127" s="25"/>
      <c r="H127" s="25"/>
      <c r="I127" s="25"/>
      <c r="J127" s="25"/>
      <c r="K127" s="25"/>
      <c r="L127" s="25"/>
      <c r="M127" s="25"/>
      <c r="N127" s="25"/>
      <c r="O127" s="25"/>
      <c r="P127" s="34">
        <f>SUM(P119:P126)</f>
        <v>-33894</v>
      </c>
      <c r="Q127" s="34"/>
      <c r="R127" s="34">
        <f>SUM(R99:R126)</f>
        <v>-14215</v>
      </c>
      <c r="S127" s="25"/>
      <c r="T127" s="5"/>
    </row>
    <row r="128" spans="1:20" ht="15.6" x14ac:dyDescent="0.3">
      <c r="A128" s="24"/>
      <c r="B128" s="25" t="s">
        <v>48</v>
      </c>
      <c r="C128" s="25"/>
      <c r="D128" s="25"/>
      <c r="E128" s="25"/>
      <c r="F128" s="25"/>
      <c r="G128" s="25"/>
      <c r="H128" s="25"/>
      <c r="I128" s="25"/>
      <c r="J128" s="25"/>
      <c r="K128" s="25"/>
      <c r="L128" s="25"/>
      <c r="M128" s="25"/>
      <c r="N128" s="25"/>
      <c r="O128" s="25"/>
      <c r="P128" s="34">
        <f>P98+P127+P112</f>
        <v>0</v>
      </c>
      <c r="Q128" s="34"/>
      <c r="R128" s="34">
        <f>R98+R127</f>
        <v>0</v>
      </c>
      <c r="S128" s="25"/>
      <c r="T128" s="5"/>
    </row>
    <row r="129" spans="1:21" ht="15.6" x14ac:dyDescent="0.3">
      <c r="A129" s="24"/>
      <c r="B129" s="25"/>
      <c r="C129" s="25"/>
      <c r="D129" s="25"/>
      <c r="E129" s="25"/>
      <c r="F129" s="25"/>
      <c r="G129" s="25"/>
      <c r="H129" s="25"/>
      <c r="I129" s="25"/>
      <c r="J129" s="25"/>
      <c r="K129" s="25"/>
      <c r="L129" s="25"/>
      <c r="M129" s="25"/>
      <c r="N129" s="25"/>
      <c r="O129" s="25"/>
      <c r="P129" s="34"/>
      <c r="Q129" s="34"/>
      <c r="R129" s="34"/>
      <c r="S129" s="25"/>
      <c r="T129" s="5"/>
    </row>
    <row r="130" spans="1:21" ht="15.6" x14ac:dyDescent="0.3">
      <c r="A130" s="6"/>
      <c r="B130" s="8"/>
      <c r="C130" s="8"/>
      <c r="D130" s="8"/>
      <c r="E130" s="8"/>
      <c r="F130" s="8"/>
      <c r="G130" s="8"/>
      <c r="H130" s="8"/>
      <c r="I130" s="8"/>
      <c r="J130" s="8"/>
      <c r="K130" s="8"/>
      <c r="L130" s="8"/>
      <c r="M130" s="8"/>
      <c r="N130" s="8"/>
      <c r="O130" s="8"/>
      <c r="P130" s="8"/>
      <c r="Q130" s="8"/>
      <c r="R130" s="52"/>
      <c r="S130" s="8"/>
      <c r="T130" s="5"/>
    </row>
    <row r="131" spans="1:21" ht="18" thickBot="1" x14ac:dyDescent="0.35">
      <c r="A131" s="102"/>
      <c r="B131" s="103" t="str">
        <f>B62</f>
        <v>PM8 INVESTOR REPORT QUARTER ENDING MARCH 2007</v>
      </c>
      <c r="C131" s="104"/>
      <c r="D131" s="104"/>
      <c r="E131" s="104"/>
      <c r="F131" s="104"/>
      <c r="G131" s="104"/>
      <c r="H131" s="104"/>
      <c r="I131" s="104"/>
      <c r="J131" s="104"/>
      <c r="K131" s="104"/>
      <c r="L131" s="104"/>
      <c r="M131" s="104"/>
      <c r="N131" s="104"/>
      <c r="O131" s="104"/>
      <c r="P131" s="104"/>
      <c r="Q131" s="104"/>
      <c r="R131" s="107"/>
      <c r="S131" s="106"/>
      <c r="T131" s="5"/>
    </row>
    <row r="132" spans="1:21" ht="15.6" x14ac:dyDescent="0.3">
      <c r="A132" s="2"/>
      <c r="B132" s="60" t="s">
        <v>49</v>
      </c>
      <c r="C132" s="4"/>
      <c r="D132" s="4"/>
      <c r="E132" s="4"/>
      <c r="F132" s="4"/>
      <c r="G132" s="4"/>
      <c r="H132" s="4"/>
      <c r="I132" s="4"/>
      <c r="J132" s="4"/>
      <c r="K132" s="4"/>
      <c r="L132" s="4"/>
      <c r="M132" s="4"/>
      <c r="N132" s="4"/>
      <c r="O132" s="4"/>
      <c r="P132" s="4"/>
      <c r="Q132" s="4"/>
      <c r="R132" s="50"/>
      <c r="S132" s="4"/>
      <c r="T132" s="5"/>
    </row>
    <row r="133" spans="1:21" ht="15.6" x14ac:dyDescent="0.3">
      <c r="A133" s="6"/>
      <c r="B133" s="21"/>
      <c r="C133" s="8"/>
      <c r="D133" s="8"/>
      <c r="E133" s="8"/>
      <c r="F133" s="8"/>
      <c r="G133" s="8"/>
      <c r="H133" s="8"/>
      <c r="I133" s="8"/>
      <c r="J133" s="8"/>
      <c r="K133" s="8"/>
      <c r="L133" s="8"/>
      <c r="M133" s="8"/>
      <c r="N133" s="8"/>
      <c r="O133" s="8"/>
      <c r="P133" s="8"/>
      <c r="Q133" s="8"/>
      <c r="R133" s="52"/>
      <c r="S133" s="8"/>
      <c r="T133" s="5"/>
    </row>
    <row r="134" spans="1:21" ht="15.6" x14ac:dyDescent="0.3">
      <c r="A134" s="6"/>
      <c r="B134" s="120" t="s">
        <v>50</v>
      </c>
      <c r="C134" s="8"/>
      <c r="D134" s="8"/>
      <c r="E134" s="8"/>
      <c r="F134" s="8"/>
      <c r="G134" s="8"/>
      <c r="H134" s="8"/>
      <c r="I134" s="8"/>
      <c r="J134" s="8"/>
      <c r="K134" s="8"/>
      <c r="L134" s="8"/>
      <c r="M134" s="8"/>
      <c r="N134" s="8"/>
      <c r="O134" s="8"/>
      <c r="P134" s="8"/>
      <c r="Q134" s="8"/>
      <c r="R134" s="52"/>
      <c r="S134" s="8"/>
      <c r="T134" s="5"/>
    </row>
    <row r="135" spans="1:21" ht="15.6" x14ac:dyDescent="0.3">
      <c r="A135" s="24"/>
      <c r="B135" s="25" t="s">
        <v>51</v>
      </c>
      <c r="C135" s="25"/>
      <c r="D135" s="25"/>
      <c r="E135" s="25"/>
      <c r="F135" s="25"/>
      <c r="G135" s="25"/>
      <c r="H135" s="25"/>
      <c r="I135" s="25"/>
      <c r="J135" s="25"/>
      <c r="K135" s="25"/>
      <c r="L135" s="25"/>
      <c r="M135" s="25"/>
      <c r="N135" s="25"/>
      <c r="O135" s="25"/>
      <c r="P135" s="25"/>
      <c r="Q135" s="25"/>
      <c r="R135" s="53">
        <f>+R33*0.019</f>
        <v>19000</v>
      </c>
      <c r="S135" s="25"/>
      <c r="T135" s="5"/>
    </row>
    <row r="136" spans="1:21" ht="15.6" x14ac:dyDescent="0.3">
      <c r="A136" s="24"/>
      <c r="B136" s="25" t="s">
        <v>52</v>
      </c>
      <c r="C136" s="25"/>
      <c r="D136" s="25"/>
      <c r="E136" s="25"/>
      <c r="F136" s="25"/>
      <c r="G136" s="25"/>
      <c r="H136" s="25"/>
      <c r="I136" s="25"/>
      <c r="J136" s="25"/>
      <c r="K136" s="25"/>
      <c r="L136" s="25"/>
      <c r="M136" s="25"/>
      <c r="N136" s="25"/>
      <c r="O136" s="25"/>
      <c r="P136" s="25"/>
      <c r="Q136" s="25"/>
      <c r="R136" s="53">
        <v>19000</v>
      </c>
      <c r="S136" s="25"/>
      <c r="T136" s="5"/>
    </row>
    <row r="137" spans="1:21" ht="15.6" x14ac:dyDescent="0.3">
      <c r="A137" s="24"/>
      <c r="B137" s="25" t="s">
        <v>155</v>
      </c>
      <c r="C137" s="25"/>
      <c r="D137" s="25"/>
      <c r="E137" s="25"/>
      <c r="F137" s="25"/>
      <c r="G137" s="25"/>
      <c r="H137" s="25"/>
      <c r="I137" s="25"/>
      <c r="J137" s="25"/>
      <c r="K137" s="25"/>
      <c r="L137" s="25"/>
      <c r="M137" s="25"/>
      <c r="N137" s="25"/>
      <c r="O137" s="25"/>
      <c r="P137" s="25"/>
      <c r="Q137" s="25"/>
      <c r="R137" s="53">
        <v>0</v>
      </c>
      <c r="S137" s="25"/>
      <c r="T137" s="5"/>
    </row>
    <row r="138" spans="1:21" ht="15.6" x14ac:dyDescent="0.3">
      <c r="A138" s="24"/>
      <c r="B138" s="25" t="s">
        <v>142</v>
      </c>
      <c r="C138" s="25"/>
      <c r="D138" s="25"/>
      <c r="E138" s="25"/>
      <c r="F138" s="25"/>
      <c r="G138" s="25"/>
      <c r="H138" s="25"/>
      <c r="I138" s="25"/>
      <c r="J138" s="25"/>
      <c r="K138" s="25"/>
      <c r="L138" s="25"/>
      <c r="M138" s="25"/>
      <c r="N138" s="25"/>
      <c r="O138" s="25"/>
      <c r="P138" s="25"/>
      <c r="Q138" s="25"/>
      <c r="R138" s="53">
        <v>0</v>
      </c>
      <c r="S138" s="25"/>
      <c r="T138" s="5"/>
    </row>
    <row r="139" spans="1:21" ht="15.6" x14ac:dyDescent="0.3">
      <c r="A139" s="24"/>
      <c r="B139" s="25" t="s">
        <v>143</v>
      </c>
      <c r="C139" s="25"/>
      <c r="D139" s="25"/>
      <c r="E139" s="25"/>
      <c r="F139" s="25"/>
      <c r="G139" s="25"/>
      <c r="H139" s="25"/>
      <c r="I139" s="25"/>
      <c r="J139" s="25"/>
      <c r="K139" s="25"/>
      <c r="L139" s="25"/>
      <c r="M139" s="25"/>
      <c r="N139" s="25"/>
      <c r="O139" s="25"/>
      <c r="P139" s="25"/>
      <c r="Q139" s="25"/>
      <c r="R139" s="53">
        <v>0</v>
      </c>
      <c r="S139" s="25"/>
      <c r="T139" s="5"/>
    </row>
    <row r="140" spans="1:21" ht="15.6" x14ac:dyDescent="0.3">
      <c r="A140" s="24"/>
      <c r="B140" s="25" t="s">
        <v>53</v>
      </c>
      <c r="C140" s="25"/>
      <c r="D140" s="25"/>
      <c r="E140" s="25"/>
      <c r="F140" s="25"/>
      <c r="G140" s="25"/>
      <c r="H140" s="25"/>
      <c r="I140" s="25"/>
      <c r="J140" s="25"/>
      <c r="K140" s="25"/>
      <c r="L140" s="25"/>
      <c r="M140" s="25"/>
      <c r="N140" s="25"/>
      <c r="O140" s="25"/>
      <c r="P140" s="25"/>
      <c r="Q140" s="25"/>
      <c r="R140" s="53">
        <v>0</v>
      </c>
      <c r="S140" s="25"/>
      <c r="T140" s="5"/>
    </row>
    <row r="141" spans="1:21" ht="15.6" x14ac:dyDescent="0.3">
      <c r="A141" s="24"/>
      <c r="B141" s="25" t="s">
        <v>148</v>
      </c>
      <c r="C141" s="25"/>
      <c r="D141" s="25"/>
      <c r="E141" s="25"/>
      <c r="F141" s="25"/>
      <c r="G141" s="25"/>
      <c r="H141" s="25"/>
      <c r="I141" s="25"/>
      <c r="J141" s="25"/>
      <c r="K141" s="25"/>
      <c r="L141" s="25"/>
      <c r="M141" s="25"/>
      <c r="N141" s="25"/>
      <c r="O141" s="25"/>
      <c r="P141" s="25"/>
      <c r="Q141" s="25"/>
      <c r="R141" s="53">
        <v>0</v>
      </c>
      <c r="S141" s="25"/>
      <c r="T141" s="5"/>
    </row>
    <row r="142" spans="1:21" ht="15.6" x14ac:dyDescent="0.3">
      <c r="A142" s="24"/>
      <c r="B142" s="25" t="s">
        <v>203</v>
      </c>
      <c r="C142" s="25"/>
      <c r="D142" s="25"/>
      <c r="E142" s="25"/>
      <c r="F142" s="25"/>
      <c r="G142" s="25"/>
      <c r="H142" s="25"/>
      <c r="I142" s="25"/>
      <c r="J142" s="25"/>
      <c r="K142" s="25"/>
      <c r="L142" s="25"/>
      <c r="M142" s="25"/>
      <c r="N142" s="25"/>
      <c r="O142" s="25"/>
      <c r="P142" s="25"/>
      <c r="Q142" s="25"/>
      <c r="R142" s="53">
        <v>0</v>
      </c>
      <c r="S142" s="25"/>
      <c r="T142" s="5"/>
      <c r="U142" s="110"/>
    </row>
    <row r="143" spans="1:21" ht="15.6" x14ac:dyDescent="0.3">
      <c r="A143" s="24"/>
      <c r="B143" s="25" t="s">
        <v>54</v>
      </c>
      <c r="C143" s="25"/>
      <c r="D143" s="25"/>
      <c r="E143" s="25"/>
      <c r="F143" s="25"/>
      <c r="G143" s="25"/>
      <c r="H143" s="25"/>
      <c r="I143" s="25"/>
      <c r="J143" s="25"/>
      <c r="K143" s="25"/>
      <c r="L143" s="25"/>
      <c r="M143" s="25"/>
      <c r="N143" s="25"/>
      <c r="O143" s="25"/>
      <c r="P143" s="25"/>
      <c r="Q143" s="25"/>
      <c r="R143" s="53">
        <f>SUM(R136:R142)</f>
        <v>19000</v>
      </c>
      <c r="S143" s="25"/>
      <c r="T143" s="5"/>
    </row>
    <row r="144" spans="1:21" ht="15.6" x14ac:dyDescent="0.3">
      <c r="A144" s="24"/>
      <c r="B144" s="25"/>
      <c r="C144" s="25"/>
      <c r="D144" s="25"/>
      <c r="E144" s="25"/>
      <c r="F144" s="25"/>
      <c r="G144" s="25"/>
      <c r="H144" s="25"/>
      <c r="I144" s="25"/>
      <c r="J144" s="25"/>
      <c r="K144" s="25"/>
      <c r="L144" s="25"/>
      <c r="M144" s="25"/>
      <c r="N144" s="25"/>
      <c r="O144" s="25"/>
      <c r="P144" s="25"/>
      <c r="Q144" s="25"/>
      <c r="R144" s="53"/>
      <c r="S144" s="25"/>
      <c r="T144" s="5"/>
    </row>
    <row r="145" spans="1:20" ht="15.6" x14ac:dyDescent="0.3">
      <c r="A145" s="24"/>
      <c r="B145" s="141" t="s">
        <v>264</v>
      </c>
      <c r="C145" s="25"/>
      <c r="D145" s="25"/>
      <c r="E145" s="25"/>
      <c r="F145" s="25"/>
      <c r="G145" s="25"/>
      <c r="H145" s="25"/>
      <c r="I145" s="25"/>
      <c r="J145" s="25"/>
      <c r="K145" s="25"/>
      <c r="L145" s="25"/>
      <c r="M145" s="25"/>
      <c r="N145" s="25"/>
      <c r="O145" s="25"/>
      <c r="P145" s="25"/>
      <c r="Q145" s="25"/>
      <c r="R145" s="53"/>
      <c r="S145" s="25"/>
      <c r="T145" s="5"/>
    </row>
    <row r="146" spans="1:20" ht="15.6" x14ac:dyDescent="0.3">
      <c r="A146" s="24"/>
      <c r="B146" s="25" t="s">
        <v>206</v>
      </c>
      <c r="C146" s="25"/>
      <c r="D146" s="25"/>
      <c r="E146" s="25"/>
      <c r="F146" s="25"/>
      <c r="G146" s="25"/>
      <c r="H146" s="25"/>
      <c r="I146" s="25"/>
      <c r="J146" s="25"/>
      <c r="K146" s="25"/>
      <c r="L146" s="25"/>
      <c r="M146" s="25"/>
      <c r="N146" s="25"/>
      <c r="O146" s="25"/>
      <c r="P146" s="25"/>
      <c r="Q146" s="25"/>
      <c r="R146" s="53">
        <f>+R33*0.005</f>
        <v>5000</v>
      </c>
      <c r="S146" s="25"/>
      <c r="T146" s="5"/>
    </row>
    <row r="147" spans="1:20" ht="15.6" x14ac:dyDescent="0.3">
      <c r="A147" s="24"/>
      <c r="B147" s="25" t="s">
        <v>260</v>
      </c>
      <c r="C147" s="25"/>
      <c r="D147" s="25"/>
      <c r="E147" s="25"/>
      <c r="F147" s="25"/>
      <c r="G147" s="25"/>
      <c r="H147" s="25"/>
      <c r="I147" s="25"/>
      <c r="J147" s="25"/>
      <c r="K147" s="25"/>
      <c r="L147" s="25"/>
      <c r="M147" s="25"/>
      <c r="N147" s="25"/>
      <c r="O147" s="25"/>
      <c r="P147" s="25"/>
      <c r="Q147" s="25"/>
      <c r="R147" s="53">
        <v>0</v>
      </c>
      <c r="S147" s="25"/>
      <c r="T147" s="5"/>
    </row>
    <row r="148" spans="1:20" ht="15.6" x14ac:dyDescent="0.3">
      <c r="A148" s="24"/>
      <c r="B148" s="25" t="s">
        <v>265</v>
      </c>
      <c r="C148" s="25"/>
      <c r="D148" s="25"/>
      <c r="E148" s="25"/>
      <c r="F148" s="25"/>
      <c r="G148" s="25"/>
      <c r="H148" s="25"/>
      <c r="I148" s="25"/>
      <c r="J148" s="25"/>
      <c r="K148" s="25"/>
      <c r="L148" s="25"/>
      <c r="M148" s="25"/>
      <c r="N148" s="25"/>
      <c r="O148" s="25"/>
      <c r="P148" s="25"/>
      <c r="Q148" s="25"/>
      <c r="R148" s="53">
        <f>SUM(R146:R147)</f>
        <v>5000</v>
      </c>
      <c r="S148" s="25"/>
      <c r="T148" s="5"/>
    </row>
    <row r="149" spans="1:20" ht="15.6" x14ac:dyDescent="0.3">
      <c r="A149" s="24"/>
      <c r="B149" s="25"/>
      <c r="C149" s="25"/>
      <c r="D149" s="25"/>
      <c r="E149" s="25"/>
      <c r="F149" s="25"/>
      <c r="G149" s="25"/>
      <c r="H149" s="25"/>
      <c r="I149" s="25"/>
      <c r="J149" s="25"/>
      <c r="K149" s="25"/>
      <c r="L149" s="25"/>
      <c r="M149" s="25"/>
      <c r="N149" s="25"/>
      <c r="O149" s="25"/>
      <c r="P149" s="25"/>
      <c r="Q149" s="25"/>
      <c r="R149" s="53"/>
      <c r="S149" s="25"/>
      <c r="T149" s="5"/>
    </row>
    <row r="150" spans="1:20" ht="15.6" x14ac:dyDescent="0.3">
      <c r="A150" s="24"/>
      <c r="B150" s="25"/>
      <c r="C150" s="25"/>
      <c r="D150" s="25"/>
      <c r="E150" s="25"/>
      <c r="F150" s="25"/>
      <c r="G150" s="25"/>
      <c r="H150" s="25"/>
      <c r="I150" s="25"/>
      <c r="J150" s="25"/>
      <c r="K150" s="25"/>
      <c r="L150" s="25"/>
      <c r="M150" s="25"/>
      <c r="N150" s="25"/>
      <c r="O150" s="25"/>
      <c r="P150" s="25"/>
      <c r="Q150" s="25"/>
      <c r="R150" s="61"/>
      <c r="S150" s="25"/>
      <c r="T150" s="5"/>
    </row>
    <row r="151" spans="1:20" ht="15.6" x14ac:dyDescent="0.3">
      <c r="A151" s="6"/>
      <c r="B151" s="120" t="s">
        <v>28</v>
      </c>
      <c r="C151" s="8"/>
      <c r="D151" s="8"/>
      <c r="E151" s="8"/>
      <c r="F151" s="8"/>
      <c r="G151" s="8"/>
      <c r="H151" s="8"/>
      <c r="I151" s="8"/>
      <c r="J151" s="8"/>
      <c r="K151" s="8"/>
      <c r="L151" s="8"/>
      <c r="M151" s="8"/>
      <c r="N151" s="8"/>
      <c r="O151" s="8"/>
      <c r="P151" s="8"/>
      <c r="Q151" s="8"/>
      <c r="R151" s="52"/>
      <c r="S151" s="8"/>
      <c r="T151" s="5"/>
    </row>
    <row r="152" spans="1:20" ht="15.6" x14ac:dyDescent="0.3">
      <c r="A152" s="24"/>
      <c r="B152" s="25" t="s">
        <v>55</v>
      </c>
      <c r="C152" s="25"/>
      <c r="D152" s="25"/>
      <c r="E152" s="25"/>
      <c r="F152" s="25"/>
      <c r="G152" s="25"/>
      <c r="H152" s="25"/>
      <c r="I152" s="25"/>
      <c r="J152" s="25"/>
      <c r="K152" s="25"/>
      <c r="L152" s="25"/>
      <c r="M152" s="25"/>
      <c r="N152" s="25"/>
      <c r="O152" s="25"/>
      <c r="P152" s="25"/>
      <c r="Q152" s="25"/>
      <c r="R152" s="59" t="s">
        <v>137</v>
      </c>
      <c r="S152" s="25"/>
      <c r="T152" s="5"/>
    </row>
    <row r="153" spans="1:20" ht="15.6" x14ac:dyDescent="0.3">
      <c r="A153" s="24"/>
      <c r="B153" s="25" t="s">
        <v>56</v>
      </c>
      <c r="C153" s="146"/>
      <c r="D153" s="146"/>
      <c r="E153" s="146"/>
      <c r="F153" s="146"/>
      <c r="G153" s="146"/>
      <c r="H153" s="146"/>
      <c r="I153" s="146"/>
      <c r="J153" s="146"/>
      <c r="K153" s="146"/>
      <c r="L153" s="146"/>
      <c r="M153" s="146"/>
      <c r="N153" s="146"/>
      <c r="O153" s="146"/>
      <c r="P153" s="146"/>
      <c r="Q153" s="146"/>
      <c r="R153" s="59" t="s">
        <v>137</v>
      </c>
      <c r="S153" s="25"/>
      <c r="T153" s="5"/>
    </row>
    <row r="154" spans="1:20" ht="15.6" x14ac:dyDescent="0.3">
      <c r="A154" s="24"/>
      <c r="B154" s="25" t="s">
        <v>57</v>
      </c>
      <c r="C154" s="25"/>
      <c r="D154" s="25"/>
      <c r="E154" s="25"/>
      <c r="F154" s="25"/>
      <c r="G154" s="25"/>
      <c r="H154" s="25"/>
      <c r="I154" s="25"/>
      <c r="J154" s="25"/>
      <c r="K154" s="25"/>
      <c r="L154" s="25"/>
      <c r="M154" s="25"/>
      <c r="N154" s="25"/>
      <c r="O154" s="25"/>
      <c r="P154" s="25"/>
      <c r="Q154" s="25"/>
      <c r="R154" s="59" t="s">
        <v>137</v>
      </c>
      <c r="S154" s="25"/>
      <c r="T154" s="5"/>
    </row>
    <row r="155" spans="1:20" ht="15.6" x14ac:dyDescent="0.3">
      <c r="A155" s="24"/>
      <c r="B155" s="25" t="s">
        <v>58</v>
      </c>
      <c r="C155" s="25"/>
      <c r="D155" s="25"/>
      <c r="E155" s="25"/>
      <c r="F155" s="25"/>
      <c r="G155" s="25"/>
      <c r="H155" s="25"/>
      <c r="I155" s="25"/>
      <c r="J155" s="25"/>
      <c r="K155" s="25"/>
      <c r="L155" s="25"/>
      <c r="M155" s="25"/>
      <c r="N155" s="25"/>
      <c r="O155" s="25"/>
      <c r="P155" s="25"/>
      <c r="Q155" s="25"/>
      <c r="R155" s="59" t="s">
        <v>137</v>
      </c>
      <c r="S155" s="25"/>
      <c r="T155" s="5"/>
    </row>
    <row r="156" spans="1:20" ht="15.6" x14ac:dyDescent="0.3">
      <c r="A156" s="24"/>
      <c r="B156" s="25"/>
      <c r="C156" s="25"/>
      <c r="D156" s="25"/>
      <c r="E156" s="25"/>
      <c r="F156" s="25"/>
      <c r="G156" s="25"/>
      <c r="H156" s="25"/>
      <c r="I156" s="25"/>
      <c r="J156" s="25"/>
      <c r="K156" s="25"/>
      <c r="L156" s="25"/>
      <c r="M156" s="25"/>
      <c r="N156" s="25"/>
      <c r="O156" s="25"/>
      <c r="P156" s="25"/>
      <c r="Q156" s="25"/>
      <c r="R156" s="61"/>
      <c r="S156" s="25"/>
      <c r="T156" s="5"/>
    </row>
    <row r="157" spans="1:20" ht="15.6" x14ac:dyDescent="0.3">
      <c r="A157" s="6"/>
      <c r="B157" s="120" t="s">
        <v>59</v>
      </c>
      <c r="C157" s="8"/>
      <c r="D157" s="8"/>
      <c r="E157" s="8"/>
      <c r="F157" s="8"/>
      <c r="G157" s="8"/>
      <c r="H157" s="8"/>
      <c r="I157" s="8"/>
      <c r="J157" s="8"/>
      <c r="K157" s="8"/>
      <c r="L157" s="8"/>
      <c r="M157" s="8"/>
      <c r="N157" s="8"/>
      <c r="O157" s="8"/>
      <c r="P157" s="8"/>
      <c r="Q157" s="8"/>
      <c r="R157" s="63"/>
      <c r="S157" s="8"/>
      <c r="T157" s="5"/>
    </row>
    <row r="158" spans="1:20" ht="15.6" x14ac:dyDescent="0.3">
      <c r="A158" s="24"/>
      <c r="B158" s="25" t="s">
        <v>60</v>
      </c>
      <c r="C158" s="25"/>
      <c r="D158" s="25"/>
      <c r="E158" s="25"/>
      <c r="F158" s="25"/>
      <c r="G158" s="25"/>
      <c r="H158" s="25"/>
      <c r="I158" s="25"/>
      <c r="J158" s="25"/>
      <c r="K158" s="25"/>
      <c r="L158" s="25"/>
      <c r="M158" s="25"/>
      <c r="N158" s="25"/>
      <c r="O158" s="25"/>
      <c r="P158" s="25"/>
      <c r="Q158" s="25"/>
      <c r="R158" s="53">
        <v>0</v>
      </c>
      <c r="S158" s="25"/>
      <c r="T158" s="5"/>
    </row>
    <row r="159" spans="1:20" ht="15.6" x14ac:dyDescent="0.3">
      <c r="A159" s="24"/>
      <c r="B159" s="25" t="s">
        <v>61</v>
      </c>
      <c r="C159" s="25"/>
      <c r="D159" s="25"/>
      <c r="E159" s="25"/>
      <c r="F159" s="25"/>
      <c r="G159" s="25"/>
      <c r="H159" s="25"/>
      <c r="I159" s="25"/>
      <c r="J159" s="25"/>
      <c r="K159" s="25"/>
      <c r="L159" s="25"/>
      <c r="M159" s="25"/>
      <c r="N159" s="25"/>
      <c r="O159" s="25"/>
      <c r="P159" s="25"/>
      <c r="Q159" s="25"/>
      <c r="R159" s="53">
        <f>P112</f>
        <v>88</v>
      </c>
      <c r="S159" s="25"/>
      <c r="T159" s="5"/>
    </row>
    <row r="160" spans="1:20" ht="15.6" x14ac:dyDescent="0.3">
      <c r="A160" s="24"/>
      <c r="B160" s="25" t="s">
        <v>62</v>
      </c>
      <c r="C160" s="25"/>
      <c r="D160" s="25"/>
      <c r="E160" s="25"/>
      <c r="F160" s="25"/>
      <c r="G160" s="25"/>
      <c r="H160" s="25"/>
      <c r="I160" s="25"/>
      <c r="J160" s="25"/>
      <c r="K160" s="25"/>
      <c r="L160" s="25"/>
      <c r="M160" s="25"/>
      <c r="N160" s="25"/>
      <c r="O160" s="25"/>
      <c r="P160" s="25"/>
      <c r="Q160" s="25"/>
      <c r="R160" s="53">
        <f>R159+R158</f>
        <v>88</v>
      </c>
      <c r="S160" s="25"/>
      <c r="T160" s="5"/>
    </row>
    <row r="161" spans="1:20" ht="15.6" x14ac:dyDescent="0.3">
      <c r="A161" s="24"/>
      <c r="B161" s="155" t="s">
        <v>308</v>
      </c>
      <c r="C161" s="25"/>
      <c r="D161" s="25"/>
      <c r="E161" s="25"/>
      <c r="F161" s="25"/>
      <c r="G161" s="25"/>
      <c r="H161" s="25"/>
      <c r="I161" s="25"/>
      <c r="J161" s="25"/>
      <c r="K161" s="25"/>
      <c r="L161" s="25"/>
      <c r="M161" s="25"/>
      <c r="N161" s="25"/>
      <c r="O161" s="25"/>
      <c r="P161" s="25"/>
      <c r="Q161" s="25"/>
      <c r="R161" s="53">
        <f>R112</f>
        <v>-88</v>
      </c>
      <c r="S161" s="25"/>
      <c r="T161" s="5"/>
    </row>
    <row r="162" spans="1:20" ht="15.6" x14ac:dyDescent="0.3">
      <c r="A162" s="24"/>
      <c r="B162" s="25" t="s">
        <v>63</v>
      </c>
      <c r="C162" s="25"/>
      <c r="D162" s="25"/>
      <c r="E162" s="25"/>
      <c r="F162" s="25"/>
      <c r="G162" s="25"/>
      <c r="H162" s="25"/>
      <c r="I162" s="25"/>
      <c r="J162" s="25"/>
      <c r="K162" s="25"/>
      <c r="L162" s="25"/>
      <c r="M162" s="25"/>
      <c r="N162" s="25"/>
      <c r="O162" s="25"/>
      <c r="P162" s="25"/>
      <c r="Q162" s="25"/>
      <c r="R162" s="53">
        <f>R160+R161</f>
        <v>0</v>
      </c>
      <c r="S162" s="25"/>
      <c r="T162" s="5"/>
    </row>
    <row r="163" spans="1:20" ht="16.2" thickBot="1" x14ac:dyDescent="0.35">
      <c r="A163" s="24"/>
      <c r="B163" s="25"/>
      <c r="C163" s="25"/>
      <c r="D163" s="25"/>
      <c r="E163" s="25"/>
      <c r="F163" s="25"/>
      <c r="G163" s="25"/>
      <c r="H163" s="25"/>
      <c r="I163" s="25"/>
      <c r="J163" s="25"/>
      <c r="K163" s="25"/>
      <c r="L163" s="25"/>
      <c r="M163" s="25"/>
      <c r="N163" s="25"/>
      <c r="O163" s="25"/>
      <c r="P163" s="25"/>
      <c r="Q163" s="25"/>
      <c r="R163" s="61"/>
      <c r="S163" s="25"/>
      <c r="T163" s="5"/>
    </row>
    <row r="164" spans="1:20" ht="15.6" x14ac:dyDescent="0.3">
      <c r="A164" s="2"/>
      <c r="B164" s="4"/>
      <c r="C164" s="4"/>
      <c r="D164" s="4"/>
      <c r="E164" s="4"/>
      <c r="F164" s="4"/>
      <c r="G164" s="4"/>
      <c r="H164" s="4"/>
      <c r="I164" s="4"/>
      <c r="J164" s="4"/>
      <c r="K164" s="4"/>
      <c r="L164" s="4"/>
      <c r="M164" s="4"/>
      <c r="N164" s="4"/>
      <c r="O164" s="4"/>
      <c r="P164" s="4"/>
      <c r="Q164" s="4"/>
      <c r="R164" s="50"/>
      <c r="S164" s="4"/>
      <c r="T164" s="5"/>
    </row>
    <row r="165" spans="1:20" ht="15.6" x14ac:dyDescent="0.3">
      <c r="A165" s="6"/>
      <c r="B165" s="120" t="s">
        <v>64</v>
      </c>
      <c r="C165" s="8"/>
      <c r="D165" s="8"/>
      <c r="E165" s="8"/>
      <c r="F165" s="8"/>
      <c r="G165" s="8"/>
      <c r="H165" s="8"/>
      <c r="I165" s="8"/>
      <c r="J165" s="8"/>
      <c r="K165" s="8"/>
      <c r="L165" s="8"/>
      <c r="M165" s="8"/>
      <c r="N165" s="8"/>
      <c r="O165" s="8"/>
      <c r="P165" s="8"/>
      <c r="Q165" s="8"/>
      <c r="R165" s="52"/>
      <c r="S165" s="8"/>
      <c r="T165" s="5"/>
    </row>
    <row r="166" spans="1:20" ht="15.6" x14ac:dyDescent="0.3">
      <c r="A166" s="6"/>
      <c r="B166" s="21"/>
      <c r="C166" s="8"/>
      <c r="D166" s="8"/>
      <c r="E166" s="8"/>
      <c r="F166" s="8"/>
      <c r="G166" s="8"/>
      <c r="H166" s="8"/>
      <c r="I166" s="8"/>
      <c r="J166" s="8"/>
      <c r="K166" s="8"/>
      <c r="L166" s="8"/>
      <c r="M166" s="8"/>
      <c r="N166" s="8"/>
      <c r="O166" s="8"/>
      <c r="P166" s="8"/>
      <c r="Q166" s="8"/>
      <c r="R166" s="52"/>
      <c r="S166" s="8"/>
      <c r="T166" s="5"/>
    </row>
    <row r="167" spans="1:20" ht="15.6" x14ac:dyDescent="0.3">
      <c r="A167" s="24"/>
      <c r="B167" s="25" t="s">
        <v>65</v>
      </c>
      <c r="C167" s="25"/>
      <c r="D167" s="25"/>
      <c r="E167" s="25"/>
      <c r="F167" s="25"/>
      <c r="G167" s="25"/>
      <c r="H167" s="25"/>
      <c r="I167" s="25"/>
      <c r="J167" s="25"/>
      <c r="K167" s="25"/>
      <c r="L167" s="25"/>
      <c r="M167" s="25"/>
      <c r="N167" s="25"/>
      <c r="O167" s="25"/>
      <c r="P167" s="25"/>
      <c r="Q167" s="25"/>
      <c r="R167" s="53">
        <f>R70</f>
        <v>736211</v>
      </c>
      <c r="S167" s="25"/>
      <c r="T167" s="5"/>
    </row>
    <row r="168" spans="1:20" ht="15.6" x14ac:dyDescent="0.3">
      <c r="A168" s="24"/>
      <c r="B168" s="25" t="s">
        <v>66</v>
      </c>
      <c r="C168" s="25"/>
      <c r="D168" s="25"/>
      <c r="E168" s="25"/>
      <c r="F168" s="25"/>
      <c r="G168" s="25"/>
      <c r="H168" s="25"/>
      <c r="I168" s="25"/>
      <c r="J168" s="25"/>
      <c r="K168" s="25"/>
      <c r="L168" s="25"/>
      <c r="M168" s="25"/>
      <c r="N168" s="25"/>
      <c r="O168" s="25"/>
      <c r="P168" s="25"/>
      <c r="Q168" s="25"/>
      <c r="R168" s="53">
        <f>R83</f>
        <v>736211</v>
      </c>
      <c r="S168" s="25"/>
      <c r="T168" s="5"/>
    </row>
    <row r="169" spans="1:20" ht="16.2" thickBot="1" x14ac:dyDescent="0.35">
      <c r="A169" s="24"/>
      <c r="B169" s="25"/>
      <c r="C169" s="25"/>
      <c r="D169" s="25"/>
      <c r="E169" s="25"/>
      <c r="F169" s="25"/>
      <c r="G169" s="25"/>
      <c r="H169" s="25"/>
      <c r="I169" s="25"/>
      <c r="J169" s="25"/>
      <c r="K169" s="25"/>
      <c r="L169" s="25"/>
      <c r="M169" s="25"/>
      <c r="N169" s="25"/>
      <c r="O169" s="25"/>
      <c r="P169" s="25"/>
      <c r="Q169" s="25"/>
      <c r="R169" s="61"/>
      <c r="S169" s="25"/>
      <c r="T169" s="5"/>
    </row>
    <row r="170" spans="1:20" ht="15.6" x14ac:dyDescent="0.3">
      <c r="A170" s="2"/>
      <c r="B170" s="4"/>
      <c r="C170" s="4"/>
      <c r="D170" s="4"/>
      <c r="E170" s="4"/>
      <c r="F170" s="4"/>
      <c r="G170" s="4"/>
      <c r="H170" s="4"/>
      <c r="I170" s="4"/>
      <c r="J170" s="4"/>
      <c r="K170" s="4"/>
      <c r="L170" s="4"/>
      <c r="M170" s="4"/>
      <c r="N170" s="4"/>
      <c r="O170" s="4"/>
      <c r="P170" s="4"/>
      <c r="Q170" s="4"/>
      <c r="R170" s="50"/>
      <c r="S170" s="4"/>
      <c r="T170" s="5"/>
    </row>
    <row r="171" spans="1:20" ht="15.6" x14ac:dyDescent="0.3">
      <c r="A171" s="6"/>
      <c r="B171" s="120" t="s">
        <v>67</v>
      </c>
      <c r="C171" s="118"/>
      <c r="D171" s="118"/>
      <c r="E171" s="118"/>
      <c r="F171" s="118"/>
      <c r="G171" s="118"/>
      <c r="H171" s="121"/>
      <c r="I171" s="121"/>
      <c r="J171" s="121"/>
      <c r="K171" s="121"/>
      <c r="L171" s="121"/>
      <c r="M171" s="121"/>
      <c r="N171" s="121"/>
      <c r="O171" s="121" t="s">
        <v>112</v>
      </c>
      <c r="P171" s="121" t="s">
        <v>120</v>
      </c>
      <c r="Q171" s="112"/>
      <c r="R171" s="122" t="s">
        <v>129</v>
      </c>
      <c r="S171" s="10"/>
      <c r="T171" s="5"/>
    </row>
    <row r="172" spans="1:20" ht="15.6" x14ac:dyDescent="0.3">
      <c r="A172" s="24"/>
      <c r="B172" s="25" t="s">
        <v>68</v>
      </c>
      <c r="C172" s="25"/>
      <c r="D172" s="25"/>
      <c r="E172" s="25"/>
      <c r="F172" s="25"/>
      <c r="G172" s="25"/>
      <c r="H172" s="25"/>
      <c r="I172" s="25"/>
      <c r="J172" s="25"/>
      <c r="K172" s="25"/>
      <c r="L172" s="25"/>
      <c r="M172" s="25"/>
      <c r="N172" s="25"/>
      <c r="O172" s="53">
        <v>160000</v>
      </c>
      <c r="P172" s="40"/>
      <c r="Q172" s="25"/>
      <c r="R172" s="53"/>
      <c r="S172" s="25"/>
      <c r="T172" s="5"/>
    </row>
    <row r="173" spans="1:20" ht="15.6" x14ac:dyDescent="0.3">
      <c r="A173" s="24"/>
      <c r="B173" s="25" t="s">
        <v>69</v>
      </c>
      <c r="C173" s="25"/>
      <c r="D173" s="25"/>
      <c r="E173" s="25"/>
      <c r="F173" s="25"/>
      <c r="G173" s="25"/>
      <c r="H173" s="25"/>
      <c r="I173" s="25"/>
      <c r="J173" s="25"/>
      <c r="K173" s="25"/>
      <c r="L173" s="25"/>
      <c r="M173" s="25"/>
      <c r="N173" s="25"/>
      <c r="O173" s="53">
        <f>'Dec 06'!O174</f>
        <v>51899</v>
      </c>
      <c r="P173" s="53">
        <f>'Dec 06'!P174</f>
        <v>7450</v>
      </c>
      <c r="Q173" s="25"/>
      <c r="R173" s="53">
        <f>O173+P173</f>
        <v>59349</v>
      </c>
      <c r="S173" s="25"/>
      <c r="T173" s="5"/>
    </row>
    <row r="174" spans="1:20" ht="15.6" x14ac:dyDescent="0.3">
      <c r="A174" s="24"/>
      <c r="B174" s="25" t="s">
        <v>70</v>
      </c>
      <c r="C174" s="25"/>
      <c r="D174" s="25"/>
      <c r="E174" s="25"/>
      <c r="F174" s="25"/>
      <c r="G174" s="25"/>
      <c r="H174" s="25"/>
      <c r="I174" s="25"/>
      <c r="J174" s="25"/>
      <c r="K174" s="25"/>
      <c r="L174" s="25"/>
      <c r="M174" s="25"/>
      <c r="N174" s="25"/>
      <c r="O174" s="34">
        <v>4204</v>
      </c>
      <c r="P174" s="34">
        <f>-P96-P119</f>
        <v>299</v>
      </c>
      <c r="Q174" s="25"/>
      <c r="R174" s="53">
        <f>O174+P174</f>
        <v>4503</v>
      </c>
      <c r="S174" s="25"/>
      <c r="T174" s="5"/>
    </row>
    <row r="175" spans="1:20" ht="15.6" x14ac:dyDescent="0.3">
      <c r="A175" s="24"/>
      <c r="B175" s="25" t="s">
        <v>71</v>
      </c>
      <c r="C175" s="25"/>
      <c r="D175" s="25"/>
      <c r="E175" s="25"/>
      <c r="F175" s="25"/>
      <c r="G175" s="25"/>
      <c r="H175" s="25"/>
      <c r="I175" s="25"/>
      <c r="J175" s="25"/>
      <c r="K175" s="25"/>
      <c r="L175" s="25"/>
      <c r="M175" s="25"/>
      <c r="N175" s="25"/>
      <c r="O175" s="53">
        <f>O173+O174</f>
        <v>56103</v>
      </c>
      <c r="P175" s="53">
        <f>P174+P173</f>
        <v>7749</v>
      </c>
      <c r="Q175" s="25"/>
      <c r="R175" s="53">
        <f>O175+P175</f>
        <v>63852</v>
      </c>
      <c r="S175" s="25"/>
      <c r="T175" s="5"/>
    </row>
    <row r="176" spans="1:20" ht="15.6" x14ac:dyDescent="0.3">
      <c r="A176" s="24"/>
      <c r="B176" s="25" t="s">
        <v>72</v>
      </c>
      <c r="C176" s="25"/>
      <c r="D176" s="25"/>
      <c r="E176" s="25"/>
      <c r="F176" s="25"/>
      <c r="G176" s="25"/>
      <c r="H176" s="25"/>
      <c r="I176" s="25"/>
      <c r="J176" s="25"/>
      <c r="K176" s="25"/>
      <c r="L176" s="25"/>
      <c r="M176" s="25"/>
      <c r="N176" s="25"/>
      <c r="O176" s="53">
        <f>O172-O175-P175</f>
        <v>96148</v>
      </c>
      <c r="P176" s="40"/>
      <c r="Q176" s="25"/>
      <c r="R176" s="53"/>
      <c r="S176" s="25"/>
      <c r="T176" s="5"/>
    </row>
    <row r="177" spans="1:20" ht="16.2" thickBot="1" x14ac:dyDescent="0.35">
      <c r="A177" s="24"/>
      <c r="B177" s="25"/>
      <c r="C177" s="25"/>
      <c r="D177" s="25"/>
      <c r="E177" s="25"/>
      <c r="F177" s="25"/>
      <c r="G177" s="25"/>
      <c r="H177" s="25"/>
      <c r="I177" s="25"/>
      <c r="J177" s="25"/>
      <c r="K177" s="25"/>
      <c r="L177" s="25"/>
      <c r="M177" s="25"/>
      <c r="N177" s="25"/>
      <c r="O177" s="25"/>
      <c r="P177" s="25"/>
      <c r="Q177" s="25"/>
      <c r="R177" s="61"/>
      <c r="S177" s="25"/>
      <c r="T177" s="5"/>
    </row>
    <row r="178" spans="1:20" ht="15.6" x14ac:dyDescent="0.3">
      <c r="A178" s="2"/>
      <c r="B178" s="4"/>
      <c r="C178" s="4"/>
      <c r="D178" s="4"/>
      <c r="E178" s="4"/>
      <c r="F178" s="4"/>
      <c r="G178" s="4"/>
      <c r="H178" s="4"/>
      <c r="I178" s="4"/>
      <c r="J178" s="4"/>
      <c r="K178" s="4"/>
      <c r="L178" s="4"/>
      <c r="M178" s="4"/>
      <c r="N178" s="4"/>
      <c r="O178" s="4"/>
      <c r="P178" s="4"/>
      <c r="Q178" s="4"/>
      <c r="R178" s="50"/>
      <c r="S178" s="4"/>
      <c r="T178" s="5"/>
    </row>
    <row r="179" spans="1:20" ht="15.6" x14ac:dyDescent="0.3">
      <c r="A179" s="6"/>
      <c r="B179" s="120" t="s">
        <v>73</v>
      </c>
      <c r="C179" s="8"/>
      <c r="D179" s="8"/>
      <c r="E179" s="8"/>
      <c r="F179" s="8"/>
      <c r="G179" s="8"/>
      <c r="H179" s="8"/>
      <c r="I179" s="8"/>
      <c r="J179" s="8"/>
      <c r="K179" s="8"/>
      <c r="L179" s="8"/>
      <c r="M179" s="8"/>
      <c r="N179" s="8"/>
      <c r="O179" s="8"/>
      <c r="P179" s="8"/>
      <c r="Q179" s="8"/>
      <c r="R179" s="65"/>
      <c r="S179" s="8"/>
      <c r="T179" s="5"/>
    </row>
    <row r="180" spans="1:20" ht="15.6" x14ac:dyDescent="0.3">
      <c r="A180" s="24"/>
      <c r="B180" s="25" t="s">
        <v>74</v>
      </c>
      <c r="C180" s="25"/>
      <c r="D180" s="25"/>
      <c r="E180" s="25"/>
      <c r="F180" s="25"/>
      <c r="G180" s="25"/>
      <c r="H180" s="25"/>
      <c r="I180" s="25"/>
      <c r="J180" s="25"/>
      <c r="K180" s="25"/>
      <c r="L180" s="25"/>
      <c r="M180" s="25"/>
      <c r="N180" s="25"/>
      <c r="O180" s="25"/>
      <c r="P180" s="25"/>
      <c r="Q180" s="25"/>
      <c r="R180" s="59">
        <f>(R98+R100+R101+R102+R103+R104)/-(R105+R106+R107+R108)</f>
        <v>1.463989936051997</v>
      </c>
      <c r="S180" s="25" t="s">
        <v>130</v>
      </c>
      <c r="T180" s="5"/>
    </row>
    <row r="181" spans="1:20" ht="15.6" x14ac:dyDescent="0.3">
      <c r="A181" s="24"/>
      <c r="B181" s="25" t="s">
        <v>75</v>
      </c>
      <c r="C181" s="25"/>
      <c r="D181" s="25"/>
      <c r="E181" s="25"/>
      <c r="F181" s="25"/>
      <c r="G181" s="25"/>
      <c r="H181" s="25"/>
      <c r="I181" s="25"/>
      <c r="J181" s="25"/>
      <c r="K181" s="25"/>
      <c r="L181" s="25"/>
      <c r="M181" s="25"/>
      <c r="N181" s="25"/>
      <c r="O181" s="25"/>
      <c r="P181" s="25"/>
      <c r="Q181" s="25"/>
      <c r="R181" s="66">
        <v>1.38</v>
      </c>
      <c r="S181" s="25" t="s">
        <v>130</v>
      </c>
      <c r="T181" s="5"/>
    </row>
    <row r="182" spans="1:20" ht="15.6" x14ac:dyDescent="0.3">
      <c r="A182" s="24"/>
      <c r="B182" s="25" t="s">
        <v>76</v>
      </c>
      <c r="C182" s="25"/>
      <c r="D182" s="25"/>
      <c r="E182" s="25"/>
      <c r="F182" s="25"/>
      <c r="G182" s="25"/>
      <c r="H182" s="25"/>
      <c r="I182" s="25"/>
      <c r="J182" s="25"/>
      <c r="K182" s="25"/>
      <c r="L182" s="25"/>
      <c r="M182" s="25"/>
      <c r="N182" s="25"/>
      <c r="O182" s="25"/>
      <c r="P182" s="25"/>
      <c r="Q182" s="25"/>
      <c r="R182" s="59">
        <f>(R98+R100+R101+R102+R103+R104+R105+R106+R107+R108)/-(R109+R110)</f>
        <v>2.8591731266149871</v>
      </c>
      <c r="S182" s="25" t="s">
        <v>130</v>
      </c>
      <c r="T182" s="5"/>
    </row>
    <row r="183" spans="1:20" ht="15.6" x14ac:dyDescent="0.3">
      <c r="A183" s="24"/>
      <c r="B183" s="25" t="s">
        <v>77</v>
      </c>
      <c r="C183" s="25"/>
      <c r="D183" s="25"/>
      <c r="E183" s="25"/>
      <c r="F183" s="25"/>
      <c r="G183" s="25"/>
      <c r="H183" s="25"/>
      <c r="I183" s="25"/>
      <c r="J183" s="25"/>
      <c r="K183" s="25"/>
      <c r="L183" s="25"/>
      <c r="M183" s="25"/>
      <c r="N183" s="25"/>
      <c r="O183" s="25"/>
      <c r="P183" s="25"/>
      <c r="Q183" s="25"/>
      <c r="R183" s="67">
        <v>2.76</v>
      </c>
      <c r="S183" s="25" t="s">
        <v>130</v>
      </c>
      <c r="T183" s="5"/>
    </row>
    <row r="184" spans="1:20" ht="15.6" x14ac:dyDescent="0.3">
      <c r="A184" s="24"/>
      <c r="B184" s="25"/>
      <c r="C184" s="25"/>
      <c r="D184" s="25"/>
      <c r="E184" s="25"/>
      <c r="F184" s="25"/>
      <c r="G184" s="25"/>
      <c r="H184" s="25"/>
      <c r="I184" s="25"/>
      <c r="J184" s="25"/>
      <c r="K184" s="25"/>
      <c r="L184" s="25"/>
      <c r="M184" s="25"/>
      <c r="N184" s="25"/>
      <c r="O184" s="25"/>
      <c r="P184" s="25"/>
      <c r="Q184" s="25"/>
      <c r="R184" s="25"/>
      <c r="S184" s="25"/>
      <c r="T184" s="5"/>
    </row>
    <row r="185" spans="1:20" ht="15.6" x14ac:dyDescent="0.3">
      <c r="A185" s="24"/>
      <c r="B185" s="25"/>
      <c r="C185" s="25"/>
      <c r="D185" s="25"/>
      <c r="E185" s="25"/>
      <c r="F185" s="25"/>
      <c r="G185" s="25"/>
      <c r="H185" s="25"/>
      <c r="I185" s="25"/>
      <c r="J185" s="25"/>
      <c r="K185" s="25"/>
      <c r="L185" s="25"/>
      <c r="M185" s="25"/>
      <c r="N185" s="25"/>
      <c r="O185" s="25"/>
      <c r="P185" s="25"/>
      <c r="Q185" s="25"/>
      <c r="R185" s="25"/>
      <c r="S185" s="25"/>
      <c r="T185" s="5"/>
    </row>
    <row r="186" spans="1:20" ht="15.6" x14ac:dyDescent="0.3">
      <c r="A186" s="6"/>
      <c r="B186" s="8"/>
      <c r="C186" s="8"/>
      <c r="D186" s="8"/>
      <c r="E186" s="8"/>
      <c r="F186" s="8"/>
      <c r="G186" s="8"/>
      <c r="H186" s="8"/>
      <c r="I186" s="8"/>
      <c r="J186" s="8"/>
      <c r="K186" s="8"/>
      <c r="L186" s="8"/>
      <c r="M186" s="8"/>
      <c r="N186" s="8"/>
      <c r="O186" s="8"/>
      <c r="P186" s="8"/>
      <c r="Q186" s="8"/>
      <c r="R186" s="8"/>
      <c r="S186" s="8"/>
      <c r="T186" s="5"/>
    </row>
    <row r="187" spans="1:20" ht="18" thickBot="1" x14ac:dyDescent="0.35">
      <c r="A187" s="102"/>
      <c r="B187" s="103" t="str">
        <f>B131</f>
        <v>PM8 INVESTOR REPORT QUARTER ENDING MARCH 2007</v>
      </c>
      <c r="C187" s="148"/>
      <c r="D187" s="148"/>
      <c r="E187" s="148"/>
      <c r="F187" s="148"/>
      <c r="G187" s="148"/>
      <c r="H187" s="148"/>
      <c r="I187" s="148"/>
      <c r="J187" s="148"/>
      <c r="K187" s="148"/>
      <c r="L187" s="148"/>
      <c r="M187" s="148"/>
      <c r="N187" s="148"/>
      <c r="O187" s="148"/>
      <c r="P187" s="148"/>
      <c r="Q187" s="148"/>
      <c r="R187" s="148"/>
      <c r="S187" s="149"/>
      <c r="T187" s="5"/>
    </row>
    <row r="188" spans="1:20" ht="15.6" x14ac:dyDescent="0.3">
      <c r="A188" s="68"/>
      <c r="B188" s="60" t="s">
        <v>78</v>
      </c>
      <c r="C188" s="69"/>
      <c r="D188" s="69"/>
      <c r="E188" s="69"/>
      <c r="F188" s="69"/>
      <c r="G188" s="70"/>
      <c r="H188" s="70"/>
      <c r="I188" s="70"/>
      <c r="J188" s="70"/>
      <c r="K188" s="70"/>
      <c r="L188" s="70"/>
      <c r="M188" s="70"/>
      <c r="N188" s="70"/>
      <c r="O188" s="70"/>
      <c r="P188" s="71">
        <v>39171</v>
      </c>
      <c r="Q188" s="4"/>
      <c r="R188" s="4"/>
      <c r="S188" s="4"/>
      <c r="T188" s="5"/>
    </row>
    <row r="189" spans="1:20" ht="15.6" x14ac:dyDescent="0.3">
      <c r="A189" s="72"/>
      <c r="B189" s="73"/>
      <c r="C189" s="74"/>
      <c r="D189" s="74"/>
      <c r="E189" s="74"/>
      <c r="F189" s="74"/>
      <c r="G189" s="75"/>
      <c r="H189" s="75"/>
      <c r="I189" s="75"/>
      <c r="J189" s="75"/>
      <c r="K189" s="75"/>
      <c r="L189" s="75"/>
      <c r="M189" s="75"/>
      <c r="N189" s="75"/>
      <c r="O189" s="75"/>
      <c r="P189" s="75"/>
      <c r="Q189" s="8"/>
      <c r="R189" s="8"/>
      <c r="S189" s="8"/>
      <c r="T189" s="5"/>
    </row>
    <row r="190" spans="1:20" ht="15.6" x14ac:dyDescent="0.3">
      <c r="A190" s="76"/>
      <c r="B190" s="77" t="s">
        <v>79</v>
      </c>
      <c r="C190" s="78"/>
      <c r="D190" s="78"/>
      <c r="E190" s="78"/>
      <c r="F190" s="78"/>
      <c r="G190" s="64"/>
      <c r="H190" s="64"/>
      <c r="I190" s="64"/>
      <c r="J190" s="64"/>
      <c r="K190" s="64"/>
      <c r="L190" s="64"/>
      <c r="M190" s="64"/>
      <c r="N190" s="64"/>
      <c r="O190" s="64"/>
      <c r="P190" s="79">
        <v>6.2039999999999998E-2</v>
      </c>
      <c r="Q190" s="25"/>
      <c r="R190" s="25"/>
      <c r="S190" s="25"/>
      <c r="T190" s="5"/>
    </row>
    <row r="191" spans="1:20" ht="15.6" x14ac:dyDescent="0.3">
      <c r="A191" s="76"/>
      <c r="B191" s="77" t="s">
        <v>178</v>
      </c>
      <c r="C191" s="78"/>
      <c r="D191" s="78"/>
      <c r="E191" s="78"/>
      <c r="F191" s="78"/>
      <c r="G191" s="64"/>
      <c r="H191" s="64"/>
      <c r="I191" s="64"/>
      <c r="J191" s="64"/>
      <c r="K191" s="64"/>
      <c r="L191" s="64"/>
      <c r="M191" s="64"/>
      <c r="N191" s="64"/>
      <c r="O191" s="64"/>
      <c r="P191" s="39">
        <v>5.1733455000000005E-2</v>
      </c>
      <c r="Q191" s="25"/>
      <c r="R191" s="25"/>
      <c r="S191" s="25"/>
      <c r="T191" s="5"/>
    </row>
    <row r="192" spans="1:20" ht="15.6" x14ac:dyDescent="0.3">
      <c r="A192" s="76"/>
      <c r="B192" s="77" t="s">
        <v>80</v>
      </c>
      <c r="C192" s="78"/>
      <c r="D192" s="78"/>
      <c r="E192" s="78"/>
      <c r="F192" s="78"/>
      <c r="G192" s="64"/>
      <c r="H192" s="64"/>
      <c r="I192" s="64"/>
      <c r="J192" s="64"/>
      <c r="K192" s="64"/>
      <c r="L192" s="64"/>
      <c r="M192" s="64"/>
      <c r="N192" s="64"/>
      <c r="O192" s="64"/>
      <c r="P192" s="79">
        <f>P190-P191</f>
        <v>1.0306544999999993E-2</v>
      </c>
      <c r="Q192" s="25"/>
      <c r="R192" s="25"/>
      <c r="S192" s="25"/>
      <c r="T192" s="5"/>
    </row>
    <row r="193" spans="1:20" ht="15.6" x14ac:dyDescent="0.3">
      <c r="A193" s="76"/>
      <c r="B193" s="77" t="s">
        <v>81</v>
      </c>
      <c r="C193" s="78"/>
      <c r="D193" s="78"/>
      <c r="E193" s="78"/>
      <c r="F193" s="78"/>
      <c r="G193" s="64"/>
      <c r="H193" s="64"/>
      <c r="I193" s="64"/>
      <c r="J193" s="64"/>
      <c r="K193" s="64"/>
      <c r="L193" s="64"/>
      <c r="M193" s="64"/>
      <c r="N193" s="64"/>
      <c r="O193" s="64"/>
      <c r="P193" s="79">
        <v>6.3310000000000005E-2</v>
      </c>
      <c r="Q193" s="25"/>
      <c r="R193" s="25"/>
      <c r="S193" s="25"/>
      <c r="T193" s="5"/>
    </row>
    <row r="194" spans="1:20" ht="15.6" x14ac:dyDescent="0.3">
      <c r="A194" s="76"/>
      <c r="B194" s="77" t="s">
        <v>261</v>
      </c>
      <c r="C194" s="78"/>
      <c r="D194" s="78"/>
      <c r="E194" s="78"/>
      <c r="F194" s="78"/>
      <c r="G194" s="64"/>
      <c r="H194" s="64"/>
      <c r="I194" s="64"/>
      <c r="J194" s="64"/>
      <c r="K194" s="64"/>
      <c r="L194" s="64"/>
      <c r="M194" s="64"/>
      <c r="N194" s="64"/>
      <c r="O194" s="64"/>
      <c r="P194" s="79">
        <f>+R42</f>
        <v>5.8075790766869827E-2</v>
      </c>
      <c r="Q194" s="25"/>
      <c r="R194" s="25"/>
      <c r="S194" s="25"/>
      <c r="T194" s="5"/>
    </row>
    <row r="195" spans="1:20" ht="15.6" x14ac:dyDescent="0.3">
      <c r="A195" s="76"/>
      <c r="B195" s="77" t="s">
        <v>82</v>
      </c>
      <c r="C195" s="78"/>
      <c r="D195" s="78"/>
      <c r="E195" s="78"/>
      <c r="F195" s="78"/>
      <c r="G195" s="64"/>
      <c r="H195" s="64"/>
      <c r="I195" s="64"/>
      <c r="J195" s="64"/>
      <c r="K195" s="64"/>
      <c r="L195" s="64"/>
      <c r="M195" s="64"/>
      <c r="N195" s="64"/>
      <c r="O195" s="64"/>
      <c r="P195" s="79">
        <f>P193-P194</f>
        <v>5.2342092331301784E-3</v>
      </c>
      <c r="Q195" s="25"/>
      <c r="R195" s="25"/>
      <c r="S195" s="25"/>
      <c r="T195" s="5"/>
    </row>
    <row r="196" spans="1:20" ht="15.6" x14ac:dyDescent="0.3">
      <c r="A196" s="76"/>
      <c r="B196" s="77" t="s">
        <v>267</v>
      </c>
      <c r="C196" s="78"/>
      <c r="D196" s="78"/>
      <c r="E196" s="78"/>
      <c r="F196" s="78"/>
      <c r="G196" s="64"/>
      <c r="H196" s="64"/>
      <c r="I196" s="64"/>
      <c r="J196" s="64"/>
      <c r="K196" s="64"/>
      <c r="L196" s="64"/>
      <c r="M196" s="64"/>
      <c r="N196" s="64"/>
      <c r="O196" s="64"/>
      <c r="P196" s="79">
        <f>+R98/J70</f>
        <v>1.8565706143335348E-2</v>
      </c>
      <c r="Q196" s="25"/>
      <c r="R196" s="25"/>
      <c r="S196" s="25"/>
      <c r="T196" s="5"/>
    </row>
    <row r="197" spans="1:20" ht="15.6" x14ac:dyDescent="0.3">
      <c r="A197" s="76"/>
      <c r="B197" s="77" t="s">
        <v>208</v>
      </c>
      <c r="C197" s="78"/>
      <c r="D197" s="78"/>
      <c r="E197" s="78"/>
      <c r="F197" s="78"/>
      <c r="G197" s="64"/>
      <c r="H197" s="64"/>
      <c r="I197" s="64"/>
      <c r="J197" s="64"/>
      <c r="K197" s="64"/>
      <c r="L197" s="64"/>
      <c r="M197" s="64"/>
      <c r="N197" s="64"/>
      <c r="O197" s="64"/>
      <c r="P197" s="132">
        <v>12875</v>
      </c>
      <c r="Q197" s="25"/>
      <c r="R197" s="25"/>
      <c r="S197" s="25"/>
      <c r="T197" s="5"/>
    </row>
    <row r="198" spans="1:20" ht="15.6" x14ac:dyDescent="0.3">
      <c r="A198" s="76"/>
      <c r="B198" s="77" t="s">
        <v>209</v>
      </c>
      <c r="C198" s="78"/>
      <c r="D198" s="78"/>
      <c r="E198" s="78"/>
      <c r="F198" s="78"/>
      <c r="G198" s="64"/>
      <c r="H198" s="64"/>
      <c r="I198" s="64"/>
      <c r="J198" s="64"/>
      <c r="K198" s="64"/>
      <c r="L198" s="64"/>
      <c r="M198" s="64"/>
      <c r="N198" s="64"/>
      <c r="O198" s="64"/>
      <c r="P198" s="132">
        <v>16163</v>
      </c>
      <c r="Q198" s="25"/>
      <c r="R198" s="25"/>
      <c r="S198" s="25"/>
      <c r="T198" s="5"/>
    </row>
    <row r="199" spans="1:20" ht="15.6" x14ac:dyDescent="0.3">
      <c r="A199" s="76"/>
      <c r="B199" s="77" t="s">
        <v>83</v>
      </c>
      <c r="C199" s="78"/>
      <c r="D199" s="78"/>
      <c r="E199" s="78"/>
      <c r="F199" s="78"/>
      <c r="G199" s="64"/>
      <c r="H199" s="64"/>
      <c r="I199" s="64"/>
      <c r="J199" s="64"/>
      <c r="K199" s="64"/>
      <c r="L199" s="64"/>
      <c r="M199" s="64"/>
      <c r="N199" s="64"/>
      <c r="O199" s="64"/>
      <c r="P199" s="136">
        <v>19.739999999999998</v>
      </c>
      <c r="Q199" s="25" t="s">
        <v>125</v>
      </c>
      <c r="R199" s="25"/>
      <c r="S199" s="25"/>
      <c r="T199" s="5"/>
    </row>
    <row r="200" spans="1:20" ht="15.6" x14ac:dyDescent="0.3">
      <c r="A200" s="76"/>
      <c r="B200" s="77" t="s">
        <v>84</v>
      </c>
      <c r="C200" s="78"/>
      <c r="D200" s="78"/>
      <c r="E200" s="78"/>
      <c r="F200" s="78"/>
      <c r="G200" s="64"/>
      <c r="H200" s="64"/>
      <c r="I200" s="64"/>
      <c r="J200" s="64"/>
      <c r="K200" s="64"/>
      <c r="L200" s="64"/>
      <c r="M200" s="64"/>
      <c r="N200" s="64"/>
      <c r="O200" s="64"/>
      <c r="P200" s="136">
        <v>18.55</v>
      </c>
      <c r="Q200" s="25" t="s">
        <v>125</v>
      </c>
      <c r="R200" s="25"/>
      <c r="S200" s="25"/>
      <c r="T200" s="5"/>
    </row>
    <row r="201" spans="1:20" ht="15.6" x14ac:dyDescent="0.3">
      <c r="A201" s="76"/>
      <c r="B201" s="77" t="s">
        <v>85</v>
      </c>
      <c r="C201" s="78"/>
      <c r="D201" s="78"/>
      <c r="E201" s="78"/>
      <c r="F201" s="78"/>
      <c r="G201" s="64"/>
      <c r="H201" s="64"/>
      <c r="I201" s="64"/>
      <c r="J201" s="64"/>
      <c r="K201" s="64"/>
      <c r="L201" s="64"/>
      <c r="M201" s="64"/>
      <c r="N201" s="64"/>
      <c r="O201" s="64"/>
      <c r="P201" s="79">
        <f>+L67/J67</f>
        <v>4.4342194109910547E-2</v>
      </c>
      <c r="Q201" s="25"/>
      <c r="R201" s="25"/>
      <c r="S201" s="25"/>
      <c r="T201" s="5"/>
    </row>
    <row r="202" spans="1:20" ht="15.6" x14ac:dyDescent="0.3">
      <c r="A202" s="76"/>
      <c r="B202" s="77" t="s">
        <v>86</v>
      </c>
      <c r="C202" s="78"/>
      <c r="D202" s="78"/>
      <c r="E202" s="78"/>
      <c r="F202" s="78"/>
      <c r="G202" s="64"/>
      <c r="H202" s="64"/>
      <c r="I202" s="64"/>
      <c r="J202" s="64"/>
      <c r="K202" s="64"/>
      <c r="L202" s="64"/>
      <c r="M202" s="64"/>
      <c r="N202" s="64"/>
      <c r="O202" s="64"/>
      <c r="P202" s="79">
        <v>0.1484</v>
      </c>
      <c r="Q202" s="25"/>
      <c r="R202" s="25"/>
      <c r="S202" s="25"/>
      <c r="T202" s="5"/>
    </row>
    <row r="203" spans="1:20" ht="15.6" x14ac:dyDescent="0.3">
      <c r="A203" s="76"/>
      <c r="B203" s="77"/>
      <c r="C203" s="77"/>
      <c r="D203" s="77"/>
      <c r="E203" s="77"/>
      <c r="F203" s="77"/>
      <c r="G203" s="25"/>
      <c r="H203" s="25"/>
      <c r="I203" s="25"/>
      <c r="J203" s="25"/>
      <c r="K203" s="25"/>
      <c r="L203" s="25"/>
      <c r="M203" s="25"/>
      <c r="N203" s="25"/>
      <c r="O203" s="25"/>
      <c r="P203" s="61"/>
      <c r="Q203" s="25"/>
      <c r="R203" s="80"/>
      <c r="S203" s="25"/>
      <c r="T203" s="5"/>
    </row>
    <row r="204" spans="1:20" ht="15.6" x14ac:dyDescent="0.3">
      <c r="A204" s="81"/>
      <c r="B204" s="14" t="s">
        <v>87</v>
      </c>
      <c r="C204" s="82"/>
      <c r="D204" s="82"/>
      <c r="E204" s="82"/>
      <c r="F204" s="83"/>
      <c r="G204" s="82"/>
      <c r="H204" s="17"/>
      <c r="I204" s="17"/>
      <c r="J204" s="17"/>
      <c r="K204" s="17"/>
      <c r="L204" s="17"/>
      <c r="M204" s="17"/>
      <c r="N204" s="17"/>
      <c r="O204" s="17" t="s">
        <v>113</v>
      </c>
      <c r="P204" s="84" t="s">
        <v>121</v>
      </c>
      <c r="Q204" s="8"/>
      <c r="R204" s="8"/>
      <c r="S204" s="8"/>
      <c r="T204" s="5"/>
    </row>
    <row r="205" spans="1:20" ht="15.6" x14ac:dyDescent="0.3">
      <c r="A205" s="85"/>
      <c r="B205" s="77" t="s">
        <v>88</v>
      </c>
      <c r="C205" s="54"/>
      <c r="D205" s="54"/>
      <c r="E205" s="54"/>
      <c r="F205" s="25"/>
      <c r="G205" s="25"/>
      <c r="H205" s="30"/>
      <c r="I205" s="30"/>
      <c r="J205" s="30"/>
      <c r="K205" s="30"/>
      <c r="L205" s="30"/>
      <c r="M205" s="30"/>
      <c r="N205" s="30"/>
      <c r="O205" s="30">
        <v>5</v>
      </c>
      <c r="P205" s="86">
        <v>160</v>
      </c>
      <c r="Q205" s="25"/>
      <c r="R205" s="80"/>
      <c r="S205" s="87"/>
      <c r="T205" s="5"/>
    </row>
    <row r="206" spans="1:20" ht="15.6" x14ac:dyDescent="0.3">
      <c r="A206" s="85"/>
      <c r="B206" s="77" t="s">
        <v>169</v>
      </c>
      <c r="C206" s="54"/>
      <c r="D206" s="54"/>
      <c r="E206" s="54"/>
      <c r="F206" s="25"/>
      <c r="G206" s="25"/>
      <c r="H206" s="30"/>
      <c r="I206" s="30"/>
      <c r="J206" s="30"/>
      <c r="K206" s="30"/>
      <c r="L206" s="30"/>
      <c r="M206" s="30"/>
      <c r="N206" s="30"/>
      <c r="O206" s="163">
        <f>+N245</f>
        <v>45</v>
      </c>
      <c r="P206" s="86">
        <f>+P245</f>
        <v>7051</v>
      </c>
      <c r="Q206" s="25"/>
      <c r="R206" s="80"/>
      <c r="S206" s="87"/>
      <c r="T206" s="5"/>
    </row>
    <row r="207" spans="1:20" ht="15.6" x14ac:dyDescent="0.3">
      <c r="A207" s="85"/>
      <c r="B207" s="77" t="s">
        <v>89</v>
      </c>
      <c r="C207" s="54"/>
      <c r="D207" s="54"/>
      <c r="E207" s="54"/>
      <c r="F207" s="25"/>
      <c r="G207" s="25"/>
      <c r="H207" s="30"/>
      <c r="I207" s="30"/>
      <c r="J207" s="30"/>
      <c r="K207" s="30"/>
      <c r="L207" s="30"/>
      <c r="M207" s="30"/>
      <c r="N207" s="30"/>
      <c r="O207" s="163">
        <f>+N257</f>
        <v>1</v>
      </c>
      <c r="P207" s="86">
        <f>+P257</f>
        <v>36</v>
      </c>
      <c r="Q207" s="25"/>
      <c r="R207" s="80"/>
      <c r="S207" s="87"/>
      <c r="T207" s="5"/>
    </row>
    <row r="208" spans="1:20" ht="15.6" x14ac:dyDescent="0.3">
      <c r="A208" s="85"/>
      <c r="B208" s="123" t="s">
        <v>90</v>
      </c>
      <c r="C208" s="54"/>
      <c r="D208" s="54"/>
      <c r="E208" s="54"/>
      <c r="F208" s="25"/>
      <c r="G208" s="25"/>
      <c r="H208" s="25"/>
      <c r="I208" s="25"/>
      <c r="J208" s="25"/>
      <c r="K208" s="25"/>
      <c r="L208" s="25"/>
      <c r="M208" s="25"/>
      <c r="N208" s="25"/>
      <c r="O208" s="25"/>
      <c r="P208" s="86">
        <v>0</v>
      </c>
      <c r="Q208" s="25"/>
      <c r="R208" s="80"/>
      <c r="S208" s="87"/>
      <c r="T208" s="5"/>
    </row>
    <row r="209" spans="1:20" ht="15.6" x14ac:dyDescent="0.3">
      <c r="A209" s="85"/>
      <c r="B209" s="123" t="s">
        <v>91</v>
      </c>
      <c r="C209" s="54"/>
      <c r="D209" s="54"/>
      <c r="E209" s="54"/>
      <c r="F209" s="25"/>
      <c r="G209" s="25"/>
      <c r="H209" s="25"/>
      <c r="I209" s="25"/>
      <c r="J209" s="25"/>
      <c r="K209" s="25"/>
      <c r="L209" s="25"/>
      <c r="M209" s="25"/>
      <c r="N209" s="25"/>
      <c r="O209" s="25"/>
      <c r="P209" s="62" t="s">
        <v>122</v>
      </c>
      <c r="Q209" s="25"/>
      <c r="R209" s="80"/>
      <c r="S209" s="87"/>
      <c r="T209" s="5"/>
    </row>
    <row r="210" spans="1:20" ht="15.6" x14ac:dyDescent="0.3">
      <c r="A210" s="88"/>
      <c r="B210" s="123" t="s">
        <v>92</v>
      </c>
      <c r="C210" s="77"/>
      <c r="D210" s="77"/>
      <c r="E210" s="77"/>
      <c r="F210" s="77"/>
      <c r="G210" s="25"/>
      <c r="H210" s="25"/>
      <c r="I210" s="25"/>
      <c r="J210" s="25"/>
      <c r="K210" s="25"/>
      <c r="L210" s="25"/>
      <c r="M210" s="25"/>
      <c r="N210" s="25"/>
      <c r="O210" s="25"/>
      <c r="P210" s="86"/>
      <c r="Q210" s="25"/>
      <c r="R210" s="80"/>
      <c r="S210" s="89"/>
      <c r="T210" s="5"/>
    </row>
    <row r="211" spans="1:20" ht="15.6" x14ac:dyDescent="0.3">
      <c r="A211" s="88"/>
      <c r="B211" s="134" t="s">
        <v>93</v>
      </c>
      <c r="C211" s="77"/>
      <c r="D211" s="77"/>
      <c r="E211" s="77"/>
      <c r="F211" s="77"/>
      <c r="G211" s="25"/>
      <c r="H211" s="25"/>
      <c r="I211" s="25"/>
      <c r="J211" s="25"/>
      <c r="K211" s="25"/>
      <c r="L211" s="25"/>
      <c r="M211" s="25"/>
      <c r="N211" s="25"/>
      <c r="O211" s="30"/>
      <c r="P211" s="86">
        <f>R159</f>
        <v>88</v>
      </c>
      <c r="Q211" s="25"/>
      <c r="R211" s="80"/>
      <c r="S211" s="89"/>
      <c r="T211" s="5"/>
    </row>
    <row r="212" spans="1:20" ht="15.6" x14ac:dyDescent="0.3">
      <c r="A212" s="85"/>
      <c r="B212" s="77" t="s">
        <v>94</v>
      </c>
      <c r="C212" s="54"/>
      <c r="D212" s="54"/>
      <c r="E212" s="54"/>
      <c r="F212" s="54"/>
      <c r="G212" s="25"/>
      <c r="H212" s="25"/>
      <c r="I212" s="25"/>
      <c r="J212" s="25"/>
      <c r="K212" s="25"/>
      <c r="L212" s="25"/>
      <c r="M212" s="25"/>
      <c r="N212" s="25"/>
      <c r="O212" s="30"/>
      <c r="P212" s="86">
        <f>+'Dec 06'!P211+P211</f>
        <v>150</v>
      </c>
      <c r="Q212" s="25"/>
      <c r="R212" s="80"/>
      <c r="S212" s="89"/>
      <c r="T212" s="5"/>
    </row>
    <row r="213" spans="1:20" ht="15.6" x14ac:dyDescent="0.3">
      <c r="A213" s="85"/>
      <c r="B213" s="77" t="s">
        <v>95</v>
      </c>
      <c r="C213" s="54"/>
      <c r="D213" s="54"/>
      <c r="E213" s="54"/>
      <c r="F213" s="54"/>
      <c r="G213" s="25"/>
      <c r="H213" s="25"/>
      <c r="I213" s="25"/>
      <c r="J213" s="25"/>
      <c r="K213" s="25"/>
      <c r="L213" s="25"/>
      <c r="M213" s="25"/>
      <c r="N213" s="25"/>
      <c r="O213" s="25"/>
      <c r="P213" s="86">
        <v>0</v>
      </c>
      <c r="Q213" s="25"/>
      <c r="R213" s="80"/>
      <c r="S213" s="89"/>
      <c r="T213" s="5"/>
    </row>
    <row r="214" spans="1:20" ht="15.6" x14ac:dyDescent="0.3">
      <c r="A214" s="88" t="s">
        <v>255</v>
      </c>
      <c r="B214" s="123" t="s">
        <v>256</v>
      </c>
      <c r="C214" s="77"/>
      <c r="D214" s="77"/>
      <c r="E214" s="77"/>
      <c r="F214" s="77"/>
      <c r="G214" s="25"/>
      <c r="H214" s="25"/>
      <c r="I214" s="25"/>
      <c r="J214" s="25"/>
      <c r="K214" s="25"/>
      <c r="L214" s="25"/>
      <c r="M214" s="25"/>
      <c r="N214" s="25"/>
      <c r="O214" s="25"/>
      <c r="P214" s="86"/>
      <c r="Q214" s="25"/>
      <c r="R214" s="80"/>
      <c r="S214" s="89"/>
      <c r="T214" s="5"/>
    </row>
    <row r="215" spans="1:20" ht="15.6" x14ac:dyDescent="0.3">
      <c r="A215" s="88"/>
      <c r="B215" s="77" t="s">
        <v>283</v>
      </c>
      <c r="C215" s="77"/>
      <c r="D215" s="77"/>
      <c r="E215" s="77"/>
      <c r="F215" s="77"/>
      <c r="G215" s="25"/>
      <c r="H215" s="25"/>
      <c r="I215" s="25"/>
      <c r="J215" s="25"/>
      <c r="K215" s="25"/>
      <c r="L215" s="25"/>
      <c r="M215" s="25"/>
      <c r="N215" s="25"/>
      <c r="O215" s="30">
        <v>1</v>
      </c>
      <c r="P215" s="86">
        <v>34</v>
      </c>
      <c r="Q215" s="25"/>
      <c r="R215" s="80"/>
      <c r="S215" s="89"/>
      <c r="T215" s="5"/>
    </row>
    <row r="216" spans="1:20" ht="15.6" x14ac:dyDescent="0.3">
      <c r="A216" s="85"/>
      <c r="B216" s="77" t="s">
        <v>97</v>
      </c>
      <c r="C216" s="90"/>
      <c r="D216" s="90"/>
      <c r="E216" s="90"/>
      <c r="F216" s="91"/>
      <c r="G216" s="25"/>
      <c r="H216" s="25"/>
      <c r="I216" s="25"/>
      <c r="J216" s="25"/>
      <c r="K216" s="25"/>
      <c r="L216" s="25"/>
      <c r="M216" s="25"/>
      <c r="N216" s="25"/>
      <c r="O216" s="30"/>
      <c r="P216" s="62">
        <v>13.14</v>
      </c>
      <c r="Q216" s="25"/>
      <c r="R216" s="80"/>
      <c r="S216" s="89"/>
      <c r="T216" s="5"/>
    </row>
    <row r="217" spans="1:20" ht="15.6" x14ac:dyDescent="0.3">
      <c r="A217" s="85"/>
      <c r="B217" s="77" t="s">
        <v>98</v>
      </c>
      <c r="C217" s="90"/>
      <c r="D217" s="90"/>
      <c r="E217" s="90"/>
      <c r="F217" s="91"/>
      <c r="G217" s="25"/>
      <c r="H217" s="25"/>
      <c r="I217" s="25"/>
      <c r="J217" s="25"/>
      <c r="K217" s="25"/>
      <c r="L217" s="25"/>
      <c r="M217" s="25"/>
      <c r="N217" s="25"/>
      <c r="O217" s="30"/>
      <c r="P217" s="62">
        <v>3.55</v>
      </c>
      <c r="Q217" s="25"/>
      <c r="R217" s="80"/>
      <c r="S217" s="89"/>
      <c r="T217" s="5"/>
    </row>
    <row r="218" spans="1:20" ht="15.6" x14ac:dyDescent="0.3">
      <c r="A218" s="85"/>
      <c r="B218" s="123" t="s">
        <v>257</v>
      </c>
      <c r="C218" s="90"/>
      <c r="D218" s="90"/>
      <c r="E218" s="90"/>
      <c r="F218" s="91"/>
      <c r="G218" s="25"/>
      <c r="H218" s="25"/>
      <c r="I218" s="25"/>
      <c r="J218" s="25"/>
      <c r="K218" s="25"/>
      <c r="L218" s="25"/>
      <c r="M218" s="25"/>
      <c r="N218" s="25"/>
      <c r="O218" s="30"/>
      <c r="P218" s="92"/>
      <c r="Q218" s="25"/>
      <c r="R218" s="80"/>
      <c r="S218" s="89"/>
      <c r="T218" s="5"/>
    </row>
    <row r="219" spans="1:20" ht="15.6" x14ac:dyDescent="0.3">
      <c r="A219" s="85"/>
      <c r="B219" s="77" t="s">
        <v>283</v>
      </c>
      <c r="C219" s="90"/>
      <c r="D219" s="90"/>
      <c r="E219" s="90"/>
      <c r="F219" s="91"/>
      <c r="G219" s="25"/>
      <c r="H219" s="25"/>
      <c r="I219" s="25"/>
      <c r="J219" s="25"/>
      <c r="K219" s="25"/>
      <c r="L219" s="25"/>
      <c r="M219" s="25"/>
      <c r="N219" s="25"/>
      <c r="O219" s="30">
        <v>10</v>
      </c>
      <c r="P219" s="86">
        <v>1399</v>
      </c>
      <c r="Q219" s="25"/>
      <c r="R219" s="80"/>
      <c r="S219" s="89"/>
      <c r="T219" s="5"/>
    </row>
    <row r="220" spans="1:20" ht="15.6" x14ac:dyDescent="0.3">
      <c r="A220" s="85"/>
      <c r="B220" s="77" t="s">
        <v>258</v>
      </c>
      <c r="C220" s="90"/>
      <c r="D220" s="90"/>
      <c r="E220" s="90"/>
      <c r="F220" s="91"/>
      <c r="G220" s="25"/>
      <c r="H220" s="25"/>
      <c r="I220" s="25"/>
      <c r="J220" s="25"/>
      <c r="K220" s="25"/>
      <c r="L220" s="25"/>
      <c r="M220" s="25"/>
      <c r="N220" s="25"/>
      <c r="O220" s="25"/>
      <c r="P220" s="171">
        <v>9.2100000000000009</v>
      </c>
      <c r="Q220" s="25"/>
      <c r="R220" s="80"/>
      <c r="S220" s="89"/>
      <c r="T220" s="5"/>
    </row>
    <row r="221" spans="1:20" ht="17.399999999999999" x14ac:dyDescent="0.3">
      <c r="A221" s="85"/>
      <c r="B221" s="166" t="s">
        <v>247</v>
      </c>
      <c r="C221" s="90"/>
      <c r="D221" s="90"/>
      <c r="E221" s="90"/>
      <c r="F221" s="91"/>
      <c r="G221" s="25"/>
      <c r="H221" s="25"/>
      <c r="I221" s="25"/>
      <c r="J221" s="168" t="s">
        <v>246</v>
      </c>
      <c r="K221" s="25"/>
      <c r="L221" s="25"/>
      <c r="M221" s="25"/>
      <c r="N221" s="25"/>
      <c r="O221" s="25"/>
      <c r="P221" s="92"/>
      <c r="Q221" s="25"/>
      <c r="R221" s="80"/>
      <c r="S221" s="89"/>
      <c r="T221" s="5"/>
    </row>
    <row r="222" spans="1:20" ht="15.6" x14ac:dyDescent="0.3">
      <c r="A222" s="85"/>
      <c r="B222" s="77"/>
      <c r="C222" s="90"/>
      <c r="D222" s="90"/>
      <c r="E222" s="90"/>
      <c r="F222" s="91"/>
      <c r="G222" s="25"/>
      <c r="H222" s="25"/>
      <c r="I222" s="25"/>
      <c r="J222" s="25"/>
      <c r="K222" s="25"/>
      <c r="L222" s="25"/>
      <c r="M222" s="25"/>
      <c r="N222" s="25"/>
      <c r="O222" s="25"/>
      <c r="P222" s="92"/>
      <c r="Q222" s="25"/>
      <c r="R222" s="80"/>
      <c r="S222" s="89"/>
      <c r="T222" s="5"/>
    </row>
    <row r="223" spans="1:20" ht="15.6" x14ac:dyDescent="0.3">
      <c r="A223" s="6"/>
      <c r="B223" s="14" t="s">
        <v>236</v>
      </c>
      <c r="C223" s="82"/>
      <c r="D223" s="82"/>
      <c r="E223" s="82"/>
      <c r="F223" s="83"/>
      <c r="G223" s="82"/>
      <c r="H223" s="17"/>
      <c r="I223" s="17"/>
      <c r="J223" s="17"/>
      <c r="K223" s="17"/>
      <c r="L223" s="17"/>
      <c r="M223" s="17"/>
      <c r="N223" s="84" t="s">
        <v>113</v>
      </c>
      <c r="O223" s="17" t="s">
        <v>114</v>
      </c>
      <c r="P223" s="84" t="s">
        <v>123</v>
      </c>
      <c r="Q223" s="17" t="s">
        <v>114</v>
      </c>
      <c r="R223" s="8"/>
      <c r="S223" s="93"/>
      <c r="T223" s="5"/>
    </row>
    <row r="224" spans="1:20" ht="15.6" x14ac:dyDescent="0.3">
      <c r="A224" s="24"/>
      <c r="B224" s="54" t="s">
        <v>99</v>
      </c>
      <c r="C224" s="94"/>
      <c r="D224" s="94"/>
      <c r="E224" s="94"/>
      <c r="F224" s="25"/>
      <c r="G224" s="94"/>
      <c r="H224" s="94"/>
      <c r="I224" s="94"/>
      <c r="J224" s="94"/>
      <c r="K224" s="94"/>
      <c r="L224" s="94"/>
      <c r="M224" s="94"/>
      <c r="N224" s="54">
        <v>6866</v>
      </c>
      <c r="O224" s="95">
        <f t="shared" ref="O224:O231" si="1">N224/$N$233</f>
        <v>0.99148014440433208</v>
      </c>
      <c r="P224" s="53">
        <v>723920</v>
      </c>
      <c r="Q224" s="135">
        <f t="shared" ref="Q224:Q231" si="2">P224/$P$233</f>
        <v>0.9928626680784064</v>
      </c>
      <c r="R224" s="80"/>
      <c r="S224" s="89"/>
      <c r="T224" s="5"/>
    </row>
    <row r="225" spans="1:21" ht="15.6" x14ac:dyDescent="0.3">
      <c r="A225" s="24"/>
      <c r="B225" s="54" t="s">
        <v>100</v>
      </c>
      <c r="C225" s="94"/>
      <c r="D225" s="94"/>
      <c r="E225" s="94"/>
      <c r="F225" s="25"/>
      <c r="G225" s="95"/>
      <c r="H225" s="94"/>
      <c r="I225" s="94"/>
      <c r="J225" s="94"/>
      <c r="K225" s="94"/>
      <c r="L225" s="94"/>
      <c r="M225" s="94"/>
      <c r="N225" s="54">
        <v>37</v>
      </c>
      <c r="O225" s="95">
        <f t="shared" si="1"/>
        <v>5.3429602888086644E-3</v>
      </c>
      <c r="P225" s="53">
        <v>3882</v>
      </c>
      <c r="Q225" s="135">
        <f t="shared" si="2"/>
        <v>5.3241972558851439E-3</v>
      </c>
      <c r="R225" s="80"/>
      <c r="S225" s="89"/>
      <c r="T225" s="5"/>
      <c r="U225" s="110"/>
    </row>
    <row r="226" spans="1:21" ht="15.6" x14ac:dyDescent="0.3">
      <c r="A226" s="24"/>
      <c r="B226" s="54" t="s">
        <v>101</v>
      </c>
      <c r="C226" s="94"/>
      <c r="D226" s="94"/>
      <c r="E226" s="94"/>
      <c r="F226" s="25"/>
      <c r="G226" s="95"/>
      <c r="H226" s="94"/>
      <c r="I226" s="94"/>
      <c r="J226" s="94"/>
      <c r="K226" s="94"/>
      <c r="L226" s="94"/>
      <c r="M226" s="94"/>
      <c r="N226" s="54">
        <v>10</v>
      </c>
      <c r="O226" s="95">
        <f t="shared" si="1"/>
        <v>1.4440433212996389E-3</v>
      </c>
      <c r="P226" s="53">
        <v>546</v>
      </c>
      <c r="Q226" s="135">
        <f t="shared" si="2"/>
        <v>7.4884381806112536E-4</v>
      </c>
      <c r="R226" s="80"/>
      <c r="S226" s="89"/>
      <c r="T226" s="5"/>
    </row>
    <row r="227" spans="1:21" ht="15.6" x14ac:dyDescent="0.3">
      <c r="A227" s="24"/>
      <c r="B227" s="54" t="s">
        <v>210</v>
      </c>
      <c r="C227" s="94"/>
      <c r="D227" s="94"/>
      <c r="E227" s="94"/>
      <c r="F227" s="25"/>
      <c r="G227" s="95"/>
      <c r="H227" s="94"/>
      <c r="I227" s="94"/>
      <c r="J227" s="94"/>
      <c r="K227" s="94"/>
      <c r="L227" s="94"/>
      <c r="M227" s="94"/>
      <c r="N227" s="54">
        <v>5</v>
      </c>
      <c r="O227" s="95">
        <f t="shared" si="1"/>
        <v>7.2202166064981946E-4</v>
      </c>
      <c r="P227" s="53">
        <v>439</v>
      </c>
      <c r="Q227" s="135">
        <f t="shared" si="2"/>
        <v>6.0209237386233338E-4</v>
      </c>
      <c r="R227" s="80"/>
      <c r="S227" s="89"/>
      <c r="T227" s="5"/>
      <c r="U227" s="110"/>
    </row>
    <row r="228" spans="1:21" ht="15.6" x14ac:dyDescent="0.3">
      <c r="A228" s="24"/>
      <c r="B228" s="54" t="s">
        <v>211</v>
      </c>
      <c r="C228" s="94"/>
      <c r="D228" s="94"/>
      <c r="E228" s="94"/>
      <c r="F228" s="25"/>
      <c r="G228" s="95"/>
      <c r="H228" s="94"/>
      <c r="I228" s="94"/>
      <c r="J228" s="94"/>
      <c r="K228" s="94"/>
      <c r="L228" s="94"/>
      <c r="M228" s="94"/>
      <c r="N228" s="54">
        <v>0</v>
      </c>
      <c r="O228" s="95">
        <f t="shared" si="1"/>
        <v>0</v>
      </c>
      <c r="P228" s="53">
        <v>0</v>
      </c>
      <c r="Q228" s="135">
        <f t="shared" si="2"/>
        <v>0</v>
      </c>
      <c r="R228" s="80"/>
      <c r="S228" s="89"/>
      <c r="T228" s="5"/>
    </row>
    <row r="229" spans="1:21" ht="15.6" x14ac:dyDescent="0.3">
      <c r="A229" s="24"/>
      <c r="B229" s="54" t="s">
        <v>212</v>
      </c>
      <c r="C229" s="94"/>
      <c r="D229" s="94"/>
      <c r="E229" s="94"/>
      <c r="F229" s="25"/>
      <c r="G229" s="95"/>
      <c r="H229" s="94"/>
      <c r="I229" s="94"/>
      <c r="J229" s="94"/>
      <c r="K229" s="94"/>
      <c r="L229" s="94"/>
      <c r="M229" s="94"/>
      <c r="N229" s="54">
        <v>3</v>
      </c>
      <c r="O229" s="95">
        <f t="shared" si="1"/>
        <v>4.3321299638989169E-4</v>
      </c>
      <c r="P229" s="53">
        <v>82</v>
      </c>
      <c r="Q229" s="135">
        <f t="shared" si="2"/>
        <v>1.1246372359159759E-4</v>
      </c>
      <c r="R229" s="80"/>
      <c r="S229" s="89"/>
      <c r="T229" s="5"/>
      <c r="U229" s="110"/>
    </row>
    <row r="230" spans="1:21" ht="15.6" x14ac:dyDescent="0.3">
      <c r="A230" s="24"/>
      <c r="B230" s="54" t="s">
        <v>213</v>
      </c>
      <c r="C230" s="94"/>
      <c r="D230" s="94"/>
      <c r="E230" s="94"/>
      <c r="F230" s="25"/>
      <c r="G230" s="95"/>
      <c r="H230" s="94"/>
      <c r="I230" s="94"/>
      <c r="J230" s="94"/>
      <c r="K230" s="94"/>
      <c r="L230" s="94"/>
      <c r="M230" s="94"/>
      <c r="N230" s="54">
        <v>2</v>
      </c>
      <c r="O230" s="95">
        <f t="shared" si="1"/>
        <v>2.8880866425992781E-4</v>
      </c>
      <c r="P230" s="53">
        <v>154</v>
      </c>
      <c r="Q230" s="135">
        <f t="shared" si="2"/>
        <v>2.1121235894031742E-4</v>
      </c>
      <c r="R230" s="80"/>
      <c r="S230" s="89"/>
      <c r="T230" s="5"/>
    </row>
    <row r="231" spans="1:21" ht="15.6" x14ac:dyDescent="0.3">
      <c r="A231" s="24"/>
      <c r="B231" s="54" t="s">
        <v>214</v>
      </c>
      <c r="C231" s="94"/>
      <c r="D231" s="94"/>
      <c r="E231" s="94"/>
      <c r="F231" s="25"/>
      <c r="G231" s="95"/>
      <c r="H231" s="94"/>
      <c r="I231" s="94"/>
      <c r="J231" s="94"/>
      <c r="K231" s="94"/>
      <c r="L231" s="94"/>
      <c r="M231" s="94"/>
      <c r="N231" s="54">
        <v>2</v>
      </c>
      <c r="O231" s="95">
        <f t="shared" si="1"/>
        <v>2.8880866425992781E-4</v>
      </c>
      <c r="P231" s="53">
        <v>101</v>
      </c>
      <c r="Q231" s="135">
        <f t="shared" si="2"/>
        <v>1.3852239125306532E-4</v>
      </c>
      <c r="R231" s="80"/>
      <c r="S231" s="89"/>
      <c r="T231" s="5"/>
      <c r="U231" s="110"/>
    </row>
    <row r="232" spans="1:21" ht="15.6" x14ac:dyDescent="0.3">
      <c r="A232" s="24"/>
      <c r="B232" s="25"/>
      <c r="C232" s="94"/>
      <c r="D232" s="94"/>
      <c r="E232" s="94"/>
      <c r="F232" s="25"/>
      <c r="G232" s="95"/>
      <c r="H232" s="94"/>
      <c r="I232" s="94"/>
      <c r="J232" s="94"/>
      <c r="K232" s="94"/>
      <c r="L232" s="94"/>
      <c r="M232" s="94"/>
      <c r="N232" s="54"/>
      <c r="O232" s="95"/>
      <c r="P232" s="53"/>
      <c r="Q232" s="135"/>
      <c r="R232" s="80"/>
      <c r="S232" s="89"/>
      <c r="T232" s="5"/>
    </row>
    <row r="233" spans="1:21" ht="15.6" x14ac:dyDescent="0.3">
      <c r="A233" s="24"/>
      <c r="B233" s="25" t="s">
        <v>129</v>
      </c>
      <c r="C233" s="25"/>
      <c r="D233" s="25"/>
      <c r="E233" s="25"/>
      <c r="F233" s="25"/>
      <c r="G233" s="25"/>
      <c r="H233" s="96"/>
      <c r="I233" s="96"/>
      <c r="J233" s="96"/>
      <c r="K233" s="96"/>
      <c r="L233" s="96"/>
      <c r="M233" s="96"/>
      <c r="N233" s="34">
        <f>SUM(N224:N232)</f>
        <v>6925</v>
      </c>
      <c r="O233" s="135">
        <f>SUM(O224:O232)</f>
        <v>1</v>
      </c>
      <c r="P233" s="53">
        <f>SUM(P224:P232)</f>
        <v>729124</v>
      </c>
      <c r="Q233" s="135">
        <f>SUM(Q224:Q232)</f>
        <v>1</v>
      </c>
      <c r="R233" s="25"/>
      <c r="S233" s="25"/>
      <c r="T233" s="5"/>
    </row>
    <row r="234" spans="1:21" ht="15.6" x14ac:dyDescent="0.3">
      <c r="A234" s="24"/>
      <c r="B234" s="25"/>
      <c r="C234" s="25"/>
      <c r="D234" s="25"/>
      <c r="E234" s="25"/>
      <c r="F234" s="25"/>
      <c r="G234" s="25"/>
      <c r="H234" s="96"/>
      <c r="I234" s="96"/>
      <c r="J234" s="96"/>
      <c r="K234" s="96"/>
      <c r="L234" s="96"/>
      <c r="M234" s="96"/>
      <c r="N234" s="34"/>
      <c r="O234" s="135"/>
      <c r="P234" s="53"/>
      <c r="Q234" s="135"/>
      <c r="R234" s="25"/>
      <c r="S234" s="25"/>
      <c r="T234" s="5"/>
    </row>
    <row r="235" spans="1:21" ht="15.6" x14ac:dyDescent="0.3">
      <c r="A235" s="144"/>
      <c r="B235" s="14" t="s">
        <v>241</v>
      </c>
      <c r="C235" s="82"/>
      <c r="D235" s="82"/>
      <c r="E235" s="82"/>
      <c r="F235" s="83"/>
      <c r="G235" s="82"/>
      <c r="H235" s="17"/>
      <c r="I235" s="17"/>
      <c r="J235" s="17"/>
      <c r="K235" s="17"/>
      <c r="L235" s="17"/>
      <c r="M235" s="17"/>
      <c r="N235" s="84" t="s">
        <v>113</v>
      </c>
      <c r="O235" s="17" t="s">
        <v>114</v>
      </c>
      <c r="P235" s="84" t="s">
        <v>123</v>
      </c>
      <c r="Q235" s="17" t="s">
        <v>114</v>
      </c>
      <c r="R235" s="142"/>
      <c r="S235" s="143"/>
      <c r="T235" s="5"/>
    </row>
    <row r="236" spans="1:21" ht="15.6" x14ac:dyDescent="0.3">
      <c r="A236" s="24"/>
      <c r="B236" s="54" t="s">
        <v>99</v>
      </c>
      <c r="C236" s="94"/>
      <c r="D236" s="94"/>
      <c r="E236" s="94"/>
      <c r="F236" s="25"/>
      <c r="G236" s="94"/>
      <c r="H236" s="94"/>
      <c r="I236" s="94"/>
      <c r="J236" s="94"/>
      <c r="K236" s="94"/>
      <c r="L236" s="94"/>
      <c r="M236" s="94"/>
      <c r="N236" s="54">
        <v>23</v>
      </c>
      <c r="O236" s="95">
        <f t="shared" ref="O236:O243" si="3">N236/$N$245</f>
        <v>0.51111111111111107</v>
      </c>
      <c r="P236" s="53">
        <v>2615</v>
      </c>
      <c r="Q236" s="135">
        <f t="shared" ref="Q236:Q243" si="4">P236/$P$245</f>
        <v>0.37086938022975463</v>
      </c>
      <c r="R236" s="25"/>
      <c r="S236" s="25"/>
      <c r="T236" s="5"/>
    </row>
    <row r="237" spans="1:21" ht="15.6" x14ac:dyDescent="0.3">
      <c r="A237" s="24"/>
      <c r="B237" s="54" t="s">
        <v>100</v>
      </c>
      <c r="C237" s="94"/>
      <c r="D237" s="94"/>
      <c r="E237" s="94"/>
      <c r="F237" s="25"/>
      <c r="G237" s="95"/>
      <c r="H237" s="94"/>
      <c r="I237" s="94"/>
      <c r="J237" s="94"/>
      <c r="K237" s="94"/>
      <c r="L237" s="94"/>
      <c r="M237" s="94"/>
      <c r="N237" s="54">
        <v>1</v>
      </c>
      <c r="O237" s="95">
        <f t="shared" si="3"/>
        <v>2.2222222222222223E-2</v>
      </c>
      <c r="P237" s="53">
        <v>240</v>
      </c>
      <c r="Q237" s="135">
        <f t="shared" si="4"/>
        <v>3.403772514536945E-2</v>
      </c>
      <c r="R237" s="25"/>
      <c r="S237" s="25"/>
      <c r="T237" s="5"/>
    </row>
    <row r="238" spans="1:21" ht="15.6" x14ac:dyDescent="0.3">
      <c r="A238" s="24"/>
      <c r="B238" s="54" t="s">
        <v>101</v>
      </c>
      <c r="C238" s="94"/>
      <c r="D238" s="94"/>
      <c r="E238" s="94"/>
      <c r="F238" s="25"/>
      <c r="G238" s="95"/>
      <c r="H238" s="94"/>
      <c r="I238" s="94"/>
      <c r="J238" s="94"/>
      <c r="K238" s="94"/>
      <c r="L238" s="94"/>
      <c r="M238" s="94"/>
      <c r="N238" s="54">
        <v>5</v>
      </c>
      <c r="O238" s="95">
        <f t="shared" si="3"/>
        <v>0.1111111111111111</v>
      </c>
      <c r="P238" s="53">
        <v>673</v>
      </c>
      <c r="Q238" s="135">
        <f t="shared" si="4"/>
        <v>9.5447454261806841E-2</v>
      </c>
      <c r="R238" s="25"/>
      <c r="S238" s="25"/>
      <c r="T238" s="5"/>
    </row>
    <row r="239" spans="1:21" ht="15.6" x14ac:dyDescent="0.3">
      <c r="A239" s="24"/>
      <c r="B239" s="54" t="s">
        <v>210</v>
      </c>
      <c r="C239" s="94"/>
      <c r="D239" s="94"/>
      <c r="E239" s="94"/>
      <c r="F239" s="25"/>
      <c r="G239" s="95"/>
      <c r="H239" s="94"/>
      <c r="I239" s="94"/>
      <c r="J239" s="94"/>
      <c r="K239" s="94"/>
      <c r="L239" s="94"/>
      <c r="M239" s="94"/>
      <c r="N239" s="54">
        <v>2</v>
      </c>
      <c r="O239" s="95">
        <f t="shared" si="3"/>
        <v>4.4444444444444446E-2</v>
      </c>
      <c r="P239" s="53">
        <v>473</v>
      </c>
      <c r="Q239" s="135">
        <f t="shared" si="4"/>
        <v>6.7082683307332289E-2</v>
      </c>
      <c r="R239" s="25"/>
      <c r="S239" s="25"/>
      <c r="T239" s="5"/>
    </row>
    <row r="240" spans="1:21" ht="15.6" x14ac:dyDescent="0.3">
      <c r="A240" s="24"/>
      <c r="B240" s="54" t="s">
        <v>211</v>
      </c>
      <c r="C240" s="94"/>
      <c r="D240" s="94"/>
      <c r="E240" s="94"/>
      <c r="F240" s="25"/>
      <c r="G240" s="95"/>
      <c r="H240" s="94"/>
      <c r="I240" s="94"/>
      <c r="J240" s="94"/>
      <c r="K240" s="94"/>
      <c r="L240" s="94"/>
      <c r="M240" s="94"/>
      <c r="N240" s="54">
        <v>7</v>
      </c>
      <c r="O240" s="95">
        <f t="shared" si="3"/>
        <v>0.15555555555555556</v>
      </c>
      <c r="P240" s="53">
        <v>1246</v>
      </c>
      <c r="Q240" s="135">
        <f t="shared" si="4"/>
        <v>0.17671252304637641</v>
      </c>
      <c r="R240" s="25"/>
      <c r="S240" s="25"/>
      <c r="T240" s="5"/>
    </row>
    <row r="241" spans="1:20" ht="15.6" x14ac:dyDescent="0.3">
      <c r="A241" s="24"/>
      <c r="B241" s="54" t="s">
        <v>212</v>
      </c>
      <c r="C241" s="94"/>
      <c r="D241" s="94"/>
      <c r="E241" s="94"/>
      <c r="F241" s="25"/>
      <c r="G241" s="95"/>
      <c r="H241" s="94"/>
      <c r="I241" s="94"/>
      <c r="J241" s="94"/>
      <c r="K241" s="94"/>
      <c r="L241" s="94"/>
      <c r="M241" s="94"/>
      <c r="N241" s="54">
        <v>0</v>
      </c>
      <c r="O241" s="95">
        <f t="shared" si="3"/>
        <v>0</v>
      </c>
      <c r="P241" s="53">
        <v>0</v>
      </c>
      <c r="Q241" s="135">
        <f t="shared" si="4"/>
        <v>0</v>
      </c>
      <c r="R241" s="25"/>
      <c r="S241" s="25"/>
      <c r="T241" s="5"/>
    </row>
    <row r="242" spans="1:20" ht="15.6" x14ac:dyDescent="0.3">
      <c r="A242" s="24"/>
      <c r="B242" s="54" t="s">
        <v>213</v>
      </c>
      <c r="C242" s="94"/>
      <c r="D242" s="94"/>
      <c r="E242" s="94"/>
      <c r="F242" s="25"/>
      <c r="G242" s="95"/>
      <c r="H242" s="94"/>
      <c r="I242" s="94"/>
      <c r="J242" s="94"/>
      <c r="K242" s="94"/>
      <c r="L242" s="94"/>
      <c r="M242" s="94"/>
      <c r="N242" s="54">
        <v>5</v>
      </c>
      <c r="O242" s="95">
        <f t="shared" si="3"/>
        <v>0.1111111111111111</v>
      </c>
      <c r="P242" s="53">
        <v>1494</v>
      </c>
      <c r="Q242" s="135">
        <f t="shared" si="4"/>
        <v>0.21188483902992483</v>
      </c>
      <c r="R242" s="25"/>
      <c r="S242" s="25"/>
      <c r="T242" s="5"/>
    </row>
    <row r="243" spans="1:20" ht="15.6" x14ac:dyDescent="0.3">
      <c r="A243" s="24"/>
      <c r="B243" s="54" t="s">
        <v>214</v>
      </c>
      <c r="C243" s="94"/>
      <c r="D243" s="94"/>
      <c r="E243" s="94"/>
      <c r="F243" s="25"/>
      <c r="G243" s="95"/>
      <c r="H243" s="94"/>
      <c r="I243" s="94"/>
      <c r="J243" s="94"/>
      <c r="K243" s="94"/>
      <c r="L243" s="94"/>
      <c r="M243" s="94"/>
      <c r="N243" s="54">
        <v>2</v>
      </c>
      <c r="O243" s="95">
        <f t="shared" si="3"/>
        <v>4.4444444444444446E-2</v>
      </c>
      <c r="P243" s="53">
        <v>310</v>
      </c>
      <c r="Q243" s="135">
        <f t="shared" si="4"/>
        <v>4.3965394979435544E-2</v>
      </c>
      <c r="R243" s="25"/>
      <c r="S243" s="25"/>
      <c r="T243" s="5"/>
    </row>
    <row r="244" spans="1:20" ht="15.6" x14ac:dyDescent="0.3">
      <c r="A244" s="24"/>
      <c r="B244" s="25"/>
      <c r="C244" s="94"/>
      <c r="D244" s="94"/>
      <c r="E244" s="94"/>
      <c r="F244" s="25"/>
      <c r="G244" s="95"/>
      <c r="H244" s="94"/>
      <c r="I244" s="94"/>
      <c r="J244" s="94"/>
      <c r="K244" s="94"/>
      <c r="L244" s="94"/>
      <c r="M244" s="94"/>
      <c r="N244" s="54"/>
      <c r="O244" s="95"/>
      <c r="P244" s="53"/>
      <c r="Q244" s="135"/>
      <c r="R244" s="25"/>
      <c r="S244" s="25"/>
      <c r="T244" s="5"/>
    </row>
    <row r="245" spans="1:20" ht="15.6" x14ac:dyDescent="0.3">
      <c r="A245" s="24"/>
      <c r="B245" s="25" t="s">
        <v>129</v>
      </c>
      <c r="C245" s="25"/>
      <c r="D245" s="25"/>
      <c r="E245" s="25"/>
      <c r="F245" s="25"/>
      <c r="G245" s="25"/>
      <c r="H245" s="96"/>
      <c r="I245" s="96"/>
      <c r="J245" s="96"/>
      <c r="K245" s="96"/>
      <c r="L245" s="96"/>
      <c r="M245" s="96"/>
      <c r="N245" s="34">
        <f>SUM(N236:N244)</f>
        <v>45</v>
      </c>
      <c r="O245" s="135">
        <f>SUM(O236:O244)</f>
        <v>0.99999999999999989</v>
      </c>
      <c r="P245" s="53">
        <f>SUM(P236:P244)</f>
        <v>7051</v>
      </c>
      <c r="Q245" s="135">
        <f>SUM(Q236:Q244)</f>
        <v>1</v>
      </c>
      <c r="R245" s="25"/>
      <c r="S245" s="25"/>
      <c r="T245" s="5"/>
    </row>
    <row r="246" spans="1:20" ht="15.6" x14ac:dyDescent="0.3">
      <c r="A246" s="24"/>
      <c r="B246" s="25"/>
      <c r="C246" s="25"/>
      <c r="D246" s="25"/>
      <c r="E246" s="25"/>
      <c r="F246" s="25"/>
      <c r="G246" s="25"/>
      <c r="H246" s="96"/>
      <c r="I246" s="96"/>
      <c r="J246" s="96"/>
      <c r="K246" s="96"/>
      <c r="L246" s="96"/>
      <c r="M246" s="96"/>
      <c r="N246" s="34"/>
      <c r="O246" s="135"/>
      <c r="P246" s="53"/>
      <c r="Q246" s="135"/>
      <c r="R246" s="25"/>
      <c r="S246" s="25"/>
      <c r="T246" s="5"/>
    </row>
    <row r="247" spans="1:20" s="153" customFormat="1" ht="15.6" x14ac:dyDescent="0.3">
      <c r="A247" s="144"/>
      <c r="B247" s="14" t="s">
        <v>239</v>
      </c>
      <c r="C247" s="151"/>
      <c r="D247" s="151"/>
      <c r="E247" s="151"/>
      <c r="F247" s="151"/>
      <c r="G247" s="151"/>
      <c r="H247" s="152"/>
      <c r="I247" s="152"/>
      <c r="J247" s="152"/>
      <c r="K247" s="152"/>
      <c r="L247" s="152"/>
      <c r="M247" s="152"/>
      <c r="N247" s="84" t="s">
        <v>113</v>
      </c>
      <c r="O247" s="17" t="s">
        <v>114</v>
      </c>
      <c r="P247" s="84" t="s">
        <v>123</v>
      </c>
      <c r="Q247" s="17" t="s">
        <v>114</v>
      </c>
      <c r="R247" s="151"/>
      <c r="S247" s="151"/>
      <c r="T247" s="5"/>
    </row>
    <row r="248" spans="1:20" s="153" customFormat="1" ht="15.6" x14ac:dyDescent="0.3">
      <c r="A248" s="24"/>
      <c r="B248" s="54" t="s">
        <v>99</v>
      </c>
      <c r="C248" s="161"/>
      <c r="D248" s="161"/>
      <c r="E248" s="161"/>
      <c r="F248" s="161"/>
      <c r="G248" s="161"/>
      <c r="H248" s="162"/>
      <c r="I248" s="162"/>
      <c r="J248" s="162"/>
      <c r="K248" s="162"/>
      <c r="L248" s="162"/>
      <c r="M248" s="162"/>
      <c r="N248" s="54">
        <v>0</v>
      </c>
      <c r="O248" s="95">
        <f t="shared" ref="O248:O255" si="5">N248/$N$257</f>
        <v>0</v>
      </c>
      <c r="P248" s="53">
        <v>0</v>
      </c>
      <c r="Q248" s="135">
        <f t="shared" ref="Q248:Q255" si="6">P248/$P$257</f>
        <v>0</v>
      </c>
      <c r="R248" s="155"/>
      <c r="S248" s="160"/>
      <c r="T248" s="5"/>
    </row>
    <row r="249" spans="1:20" s="153" customFormat="1" ht="15.6" x14ac:dyDescent="0.3">
      <c r="A249" s="24"/>
      <c r="B249" s="54" t="s">
        <v>100</v>
      </c>
      <c r="C249" s="161"/>
      <c r="D249" s="161"/>
      <c r="E249" s="161"/>
      <c r="F249" s="161"/>
      <c r="G249" s="161"/>
      <c r="H249" s="162"/>
      <c r="I249" s="162"/>
      <c r="J249" s="162"/>
      <c r="K249" s="162"/>
      <c r="L249" s="162"/>
      <c r="M249" s="162"/>
      <c r="N249" s="54">
        <v>0</v>
      </c>
      <c r="O249" s="95">
        <f t="shared" si="5"/>
        <v>0</v>
      </c>
      <c r="P249" s="53">
        <v>0</v>
      </c>
      <c r="Q249" s="135">
        <f t="shared" si="6"/>
        <v>0</v>
      </c>
      <c r="R249" s="135"/>
      <c r="S249" s="160"/>
      <c r="T249" s="5"/>
    </row>
    <row r="250" spans="1:20" s="153" customFormat="1" ht="15.6" x14ac:dyDescent="0.3">
      <c r="A250" s="24"/>
      <c r="B250" s="54" t="s">
        <v>101</v>
      </c>
      <c r="C250" s="161"/>
      <c r="D250" s="161"/>
      <c r="E250" s="161"/>
      <c r="F250" s="161"/>
      <c r="G250" s="161"/>
      <c r="H250" s="162"/>
      <c r="I250" s="162"/>
      <c r="J250" s="162"/>
      <c r="K250" s="162"/>
      <c r="L250" s="162"/>
      <c r="M250" s="162"/>
      <c r="N250" s="54">
        <v>0</v>
      </c>
      <c r="O250" s="95">
        <f t="shared" si="5"/>
        <v>0</v>
      </c>
      <c r="P250" s="53">
        <v>0</v>
      </c>
      <c r="Q250" s="135">
        <f t="shared" si="6"/>
        <v>0</v>
      </c>
      <c r="R250" s="155"/>
      <c r="S250" s="160"/>
      <c r="T250" s="5"/>
    </row>
    <row r="251" spans="1:20" s="153" customFormat="1" ht="15.6" x14ac:dyDescent="0.3">
      <c r="A251" s="24"/>
      <c r="B251" s="54" t="s">
        <v>210</v>
      </c>
      <c r="C251" s="161"/>
      <c r="D251" s="161"/>
      <c r="E251" s="161"/>
      <c r="F251" s="161"/>
      <c r="G251" s="161"/>
      <c r="H251" s="162"/>
      <c r="I251" s="162"/>
      <c r="J251" s="162"/>
      <c r="K251" s="162"/>
      <c r="L251" s="162"/>
      <c r="M251" s="162"/>
      <c r="N251" s="54">
        <v>0</v>
      </c>
      <c r="O251" s="95">
        <f t="shared" si="5"/>
        <v>0</v>
      </c>
      <c r="P251" s="53">
        <v>0</v>
      </c>
      <c r="Q251" s="135">
        <f t="shared" si="6"/>
        <v>0</v>
      </c>
      <c r="R251" s="155"/>
      <c r="S251" s="160"/>
      <c r="T251" s="5"/>
    </row>
    <row r="252" spans="1:20" s="153" customFormat="1" ht="15.6" x14ac:dyDescent="0.3">
      <c r="A252" s="24"/>
      <c r="B252" s="54" t="s">
        <v>211</v>
      </c>
      <c r="C252" s="161"/>
      <c r="D252" s="161"/>
      <c r="E252" s="161"/>
      <c r="F252" s="161"/>
      <c r="G252" s="161"/>
      <c r="H252" s="162"/>
      <c r="I252" s="162"/>
      <c r="J252" s="162"/>
      <c r="K252" s="162"/>
      <c r="L252" s="162"/>
      <c r="M252" s="162"/>
      <c r="N252" s="54">
        <v>0</v>
      </c>
      <c r="O252" s="95">
        <f t="shared" si="5"/>
        <v>0</v>
      </c>
      <c r="P252" s="53">
        <v>0</v>
      </c>
      <c r="Q252" s="135">
        <f t="shared" si="6"/>
        <v>0</v>
      </c>
      <c r="R252" s="155"/>
      <c r="S252" s="160"/>
      <c r="T252" s="5"/>
    </row>
    <row r="253" spans="1:20" s="153" customFormat="1" ht="15.6" x14ac:dyDescent="0.3">
      <c r="A253" s="24"/>
      <c r="B253" s="54" t="s">
        <v>212</v>
      </c>
      <c r="C253" s="161"/>
      <c r="D253" s="161"/>
      <c r="E253" s="161"/>
      <c r="F253" s="161"/>
      <c r="G253" s="161"/>
      <c r="H253" s="162"/>
      <c r="I253" s="162"/>
      <c r="J253" s="162"/>
      <c r="K253" s="162"/>
      <c r="L253" s="162"/>
      <c r="M253" s="162"/>
      <c r="N253" s="54">
        <v>0</v>
      </c>
      <c r="O253" s="95">
        <f t="shared" si="5"/>
        <v>0</v>
      </c>
      <c r="P253" s="53">
        <v>0</v>
      </c>
      <c r="Q253" s="135">
        <f t="shared" si="6"/>
        <v>0</v>
      </c>
      <c r="R253" s="155"/>
      <c r="S253" s="160"/>
      <c r="T253" s="5"/>
    </row>
    <row r="254" spans="1:20" s="153" customFormat="1" ht="15.6" x14ac:dyDescent="0.3">
      <c r="A254" s="24"/>
      <c r="B254" s="54" t="s">
        <v>213</v>
      </c>
      <c r="C254" s="161"/>
      <c r="D254" s="161"/>
      <c r="E254" s="161"/>
      <c r="F254" s="161"/>
      <c r="G254" s="161"/>
      <c r="H254" s="162"/>
      <c r="I254" s="162"/>
      <c r="J254" s="162"/>
      <c r="K254" s="162"/>
      <c r="L254" s="162"/>
      <c r="M254" s="162"/>
      <c r="N254" s="54">
        <v>0</v>
      </c>
      <c r="O254" s="95">
        <f t="shared" si="5"/>
        <v>0</v>
      </c>
      <c r="P254" s="53">
        <v>0</v>
      </c>
      <c r="Q254" s="135">
        <f t="shared" si="6"/>
        <v>0</v>
      </c>
      <c r="R254" s="155"/>
      <c r="S254" s="160"/>
      <c r="T254" s="5"/>
    </row>
    <row r="255" spans="1:20" s="153" customFormat="1" ht="15.6" x14ac:dyDescent="0.3">
      <c r="A255" s="24"/>
      <c r="B255" s="54" t="s">
        <v>214</v>
      </c>
      <c r="C255" s="161"/>
      <c r="D255" s="161"/>
      <c r="E255" s="161"/>
      <c r="F255" s="161"/>
      <c r="G255" s="161"/>
      <c r="H255" s="162"/>
      <c r="I255" s="162"/>
      <c r="J255" s="162"/>
      <c r="K255" s="162"/>
      <c r="L255" s="162"/>
      <c r="M255" s="162"/>
      <c r="N255" s="54">
        <v>1</v>
      </c>
      <c r="O255" s="95">
        <f t="shared" si="5"/>
        <v>1</v>
      </c>
      <c r="P255" s="53">
        <v>36</v>
      </c>
      <c r="Q255" s="135">
        <f t="shared" si="6"/>
        <v>1</v>
      </c>
      <c r="R255" s="155"/>
      <c r="S255" s="160"/>
      <c r="T255" s="5"/>
    </row>
    <row r="256" spans="1:20" s="153" customFormat="1" ht="15.6" x14ac:dyDescent="0.3">
      <c r="A256" s="24"/>
      <c r="B256" s="54"/>
      <c r="C256" s="161"/>
      <c r="D256" s="161"/>
      <c r="E256" s="161"/>
      <c r="F256" s="161"/>
      <c r="G256" s="161"/>
      <c r="H256" s="162"/>
      <c r="I256" s="162"/>
      <c r="J256" s="162"/>
      <c r="K256" s="162"/>
      <c r="L256" s="162"/>
      <c r="M256" s="162"/>
      <c r="N256" s="54"/>
      <c r="O256" s="95"/>
      <c r="P256" s="53"/>
      <c r="Q256" s="135"/>
      <c r="R256" s="155"/>
      <c r="S256" s="160"/>
      <c r="T256" s="5"/>
    </row>
    <row r="257" spans="1:20" ht="15.6" x14ac:dyDescent="0.3">
      <c r="A257" s="24"/>
      <c r="B257" s="25" t="s">
        <v>129</v>
      </c>
      <c r="C257" s="161"/>
      <c r="D257" s="161"/>
      <c r="E257" s="161"/>
      <c r="F257" s="161"/>
      <c r="G257" s="161"/>
      <c r="H257" s="162"/>
      <c r="I257" s="162"/>
      <c r="J257" s="162"/>
      <c r="K257" s="162"/>
      <c r="L257" s="162"/>
      <c r="M257" s="162"/>
      <c r="N257" s="34">
        <f>SUM(N248:N255)</f>
        <v>1</v>
      </c>
      <c r="O257" s="95">
        <f>SUM(O248:O255)</f>
        <v>1</v>
      </c>
      <c r="P257" s="53">
        <f>SUM(P248:P255)</f>
        <v>36</v>
      </c>
      <c r="Q257" s="135">
        <f>SUM(Q248:Q255)</f>
        <v>1</v>
      </c>
      <c r="R257" s="155"/>
      <c r="S257" s="160"/>
      <c r="T257" s="5"/>
    </row>
    <row r="258" spans="1:20" ht="15.6" x14ac:dyDescent="0.3">
      <c r="A258" s="24"/>
      <c r="B258" s="25"/>
      <c r="C258" s="151"/>
      <c r="D258" s="151"/>
      <c r="E258" s="151"/>
      <c r="F258" s="151"/>
      <c r="G258" s="151"/>
      <c r="H258" s="152"/>
      <c r="I258" s="152"/>
      <c r="J258" s="152"/>
      <c r="K258" s="152"/>
      <c r="L258" s="152"/>
      <c r="M258" s="152"/>
      <c r="N258" s="34"/>
      <c r="O258" s="135"/>
      <c r="P258" s="53"/>
      <c r="Q258" s="135"/>
      <c r="R258" s="151"/>
      <c r="S258" s="151"/>
      <c r="T258" s="5"/>
    </row>
    <row r="259" spans="1:20" ht="15.6" x14ac:dyDescent="0.3">
      <c r="A259" s="24"/>
      <c r="B259" s="154" t="s">
        <v>240</v>
      </c>
      <c r="C259" s="155"/>
      <c r="D259" s="155"/>
      <c r="E259" s="155"/>
      <c r="F259" s="155"/>
      <c r="G259" s="155"/>
      <c r="H259" s="156"/>
      <c r="I259" s="156"/>
      <c r="J259" s="156"/>
      <c r="K259" s="156"/>
      <c r="L259" s="156"/>
      <c r="M259" s="156"/>
      <c r="N259" s="157"/>
      <c r="O259" s="158"/>
      <c r="P259" s="159">
        <f>+P257+P245+P233</f>
        <v>736211</v>
      </c>
      <c r="Q259" s="158"/>
      <c r="R259" s="155"/>
      <c r="S259" s="160"/>
      <c r="T259" s="5"/>
    </row>
    <row r="260" spans="1:20" ht="15.6" x14ac:dyDescent="0.3">
      <c r="A260" s="24"/>
      <c r="B260" s="154"/>
      <c r="C260" s="8"/>
      <c r="D260" s="8"/>
      <c r="E260" s="8"/>
      <c r="F260" s="8"/>
      <c r="G260" s="8"/>
      <c r="H260" s="97"/>
      <c r="I260" s="97"/>
      <c r="J260" s="97"/>
      <c r="K260" s="97"/>
      <c r="L260" s="97"/>
      <c r="M260" s="97"/>
      <c r="N260" s="97"/>
      <c r="O260" s="97"/>
      <c r="P260" s="98"/>
      <c r="Q260" s="97"/>
      <c r="R260" s="8"/>
      <c r="S260" s="8"/>
      <c r="T260" s="5"/>
    </row>
    <row r="261" spans="1:20" ht="15.6" x14ac:dyDescent="0.3">
      <c r="A261" s="150"/>
      <c r="B261" s="14" t="s">
        <v>102</v>
      </c>
      <c r="C261" s="15"/>
      <c r="D261" s="15"/>
      <c r="E261" s="15"/>
      <c r="F261" s="17" t="s">
        <v>108</v>
      </c>
      <c r="G261" s="15"/>
      <c r="H261" s="14" t="s">
        <v>110</v>
      </c>
      <c r="I261" s="145"/>
      <c r="J261" s="145"/>
      <c r="K261" s="145"/>
      <c r="L261" s="145"/>
      <c r="M261" s="145"/>
      <c r="N261" s="145"/>
      <c r="O261" s="145"/>
      <c r="P261" s="145"/>
      <c r="Q261" s="145"/>
      <c r="R261" s="145"/>
      <c r="S261" s="145"/>
      <c r="T261" s="5"/>
    </row>
    <row r="262" spans="1:20" ht="15.6" x14ac:dyDescent="0.3">
      <c r="A262" s="150"/>
      <c r="B262" s="145"/>
      <c r="C262" s="8"/>
      <c r="D262" s="8"/>
      <c r="E262" s="8"/>
      <c r="F262" s="8"/>
      <c r="G262" s="8"/>
      <c r="H262" s="8"/>
      <c r="I262" s="145"/>
      <c r="J262" s="145"/>
      <c r="K262" s="145"/>
      <c r="L262" s="145"/>
      <c r="M262" s="145"/>
      <c r="N262" s="145"/>
      <c r="O262" s="145"/>
      <c r="P262" s="145"/>
      <c r="Q262" s="145"/>
      <c r="R262" s="145"/>
      <c r="S262" s="145"/>
      <c r="T262" s="5"/>
    </row>
    <row r="263" spans="1:20" ht="15.6" x14ac:dyDescent="0.3">
      <c r="A263" s="150"/>
      <c r="B263" s="13" t="s">
        <v>103</v>
      </c>
      <c r="C263" s="13"/>
      <c r="D263" s="13"/>
      <c r="E263" s="13"/>
      <c r="F263" s="133" t="s">
        <v>172</v>
      </c>
      <c r="G263" s="13"/>
      <c r="H263" s="13" t="s">
        <v>200</v>
      </c>
      <c r="I263" s="145"/>
      <c r="J263" s="145"/>
      <c r="K263" s="145"/>
      <c r="L263" s="145"/>
      <c r="M263" s="145"/>
      <c r="N263" s="145"/>
      <c r="O263" s="145"/>
      <c r="P263" s="145"/>
      <c r="Q263" s="145"/>
      <c r="R263" s="145"/>
      <c r="S263" s="145"/>
      <c r="T263" s="5"/>
    </row>
    <row r="264" spans="1:20" ht="15.6" x14ac:dyDescent="0.3">
      <c r="A264" s="150"/>
      <c r="B264" s="13" t="s">
        <v>271</v>
      </c>
      <c r="C264" s="13"/>
      <c r="D264" s="13"/>
      <c r="E264" s="13"/>
      <c r="F264" s="133" t="s">
        <v>272</v>
      </c>
      <c r="G264" s="13"/>
      <c r="H264" s="13" t="s">
        <v>273</v>
      </c>
      <c r="I264" s="145"/>
      <c r="J264" s="145"/>
      <c r="K264" s="145"/>
      <c r="L264" s="145"/>
      <c r="M264" s="145"/>
      <c r="N264" s="145"/>
      <c r="O264" s="145"/>
      <c r="P264" s="145"/>
      <c r="Q264" s="145"/>
      <c r="R264" s="145"/>
      <c r="S264" s="145"/>
      <c r="T264" s="5"/>
    </row>
    <row r="265" spans="1:20" ht="15.6" x14ac:dyDescent="0.3">
      <c r="A265" s="150"/>
      <c r="B265" s="13" t="s">
        <v>104</v>
      </c>
      <c r="C265" s="13"/>
      <c r="D265" s="13"/>
      <c r="E265" s="13"/>
      <c r="F265" s="133" t="s">
        <v>171</v>
      </c>
      <c r="G265" s="13"/>
      <c r="H265" s="13" t="s">
        <v>201</v>
      </c>
      <c r="I265" s="145"/>
      <c r="J265" s="145"/>
      <c r="K265" s="145"/>
      <c r="L265" s="145"/>
      <c r="M265" s="145"/>
      <c r="N265" s="145"/>
      <c r="O265" s="145"/>
      <c r="P265" s="145"/>
      <c r="Q265" s="145"/>
      <c r="R265" s="145"/>
      <c r="S265" s="145"/>
      <c r="T265" s="5"/>
    </row>
    <row r="266" spans="1:20" ht="15.6" x14ac:dyDescent="0.3">
      <c r="A266" s="150"/>
      <c r="B266" s="13"/>
      <c r="C266" s="13"/>
      <c r="D266" s="13"/>
      <c r="E266" s="13"/>
      <c r="F266" s="13"/>
      <c r="G266" s="100"/>
      <c r="H266" s="145"/>
      <c r="I266" s="145"/>
      <c r="J266" s="145"/>
      <c r="K266" s="145"/>
      <c r="L266" s="145"/>
      <c r="M266" s="145"/>
      <c r="N266" s="145"/>
      <c r="O266" s="145"/>
      <c r="P266" s="145"/>
      <c r="Q266" s="145"/>
      <c r="R266" s="145"/>
      <c r="S266" s="145"/>
      <c r="T266" s="5"/>
    </row>
    <row r="267" spans="1:20" ht="18" thickBot="1" x14ac:dyDescent="0.35">
      <c r="A267" s="150"/>
      <c r="B267" s="49" t="str">
        <f>B187</f>
        <v>PM8 INVESTOR REPORT QUARTER ENDING MARCH 2007</v>
      </c>
      <c r="C267" s="13"/>
      <c r="D267" s="13"/>
      <c r="E267" s="13"/>
      <c r="F267" s="13"/>
      <c r="G267" s="100"/>
      <c r="H267" s="145"/>
      <c r="I267" s="145"/>
      <c r="J267" s="145"/>
      <c r="K267" s="145"/>
      <c r="L267" s="145"/>
      <c r="M267" s="145"/>
      <c r="N267" s="145"/>
      <c r="O267" s="145"/>
      <c r="P267" s="145"/>
      <c r="Q267" s="145"/>
      <c r="R267" s="145"/>
      <c r="S267" s="145"/>
      <c r="T267" s="5"/>
    </row>
    <row r="268" spans="1:20" x14ac:dyDescent="0.25">
      <c r="A268" s="101"/>
      <c r="B268" s="101"/>
      <c r="C268" s="101"/>
      <c r="D268" s="101"/>
      <c r="E268" s="101"/>
      <c r="F268" s="101"/>
      <c r="G268" s="101"/>
      <c r="H268" s="101"/>
      <c r="I268" s="101"/>
      <c r="J268" s="101"/>
      <c r="K268" s="101"/>
      <c r="L268" s="101"/>
      <c r="M268" s="101"/>
      <c r="N268" s="101"/>
      <c r="O268" s="101"/>
      <c r="P268" s="101"/>
      <c r="Q268" s="101"/>
      <c r="R268" s="101"/>
      <c r="S268" s="101"/>
    </row>
  </sheetData>
  <phoneticPr fontId="0" type="noConversion"/>
  <hyperlinks>
    <hyperlink ref="J221" r:id="rId1"/>
    <hyperlink ref="J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2" max="14" man="1"/>
    <brk id="131" max="14" man="1"/>
    <brk id="187"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261</vt:i4>
      </vt:variant>
    </vt:vector>
  </HeadingPairs>
  <TitlesOfParts>
    <vt:vector size="313" baseType="lpstr">
      <vt:lpstr>March 05</vt:lpstr>
      <vt:lpstr>June 05</vt:lpstr>
      <vt:lpstr>Sept 05</vt:lpstr>
      <vt:lpstr>Dec 05</vt:lpstr>
      <vt:lpstr>March 06</vt:lpstr>
      <vt:lpstr>June 06</vt:lpstr>
      <vt:lpstr>Sept 06</vt:lpstr>
      <vt:lpstr>Dec 06</vt:lpstr>
      <vt:lpstr>March 07</vt:lpstr>
      <vt:lpstr>June 07</vt:lpstr>
      <vt:lpstr>Sept 07</vt:lpstr>
      <vt:lpstr>Dec 07</vt:lpstr>
      <vt:lpstr>March 08</vt:lpstr>
      <vt:lpstr>June 08</vt:lpstr>
      <vt:lpstr>Sept 08</vt:lpstr>
      <vt:lpstr>Dec 08</vt:lpstr>
      <vt:lpstr>March 09</vt:lpstr>
      <vt:lpstr>June 09</vt:lpstr>
      <vt:lpstr>Sept 09</vt:lpstr>
      <vt:lpstr>Dec 09</vt:lpstr>
      <vt:lpstr>March 10</vt:lpstr>
      <vt:lpstr>June 10</vt:lpstr>
      <vt:lpstr>Sept 10</vt:lpstr>
      <vt:lpstr>Dec 10</vt:lpstr>
      <vt:lpstr>March 11</vt:lpstr>
      <vt:lpstr>June 11</vt:lpstr>
      <vt:lpstr>Sept 11</vt:lpstr>
      <vt:lpstr>Dec 11</vt:lpstr>
      <vt:lpstr>March 12</vt:lpstr>
      <vt:lpstr>June 12</vt:lpstr>
      <vt:lpstr>Sept 12</vt:lpstr>
      <vt:lpstr>Dec 12</vt:lpstr>
      <vt:lpstr>March 13</vt:lpstr>
      <vt:lpstr>June 13</vt:lpstr>
      <vt:lpstr>Sept 13</vt:lpstr>
      <vt:lpstr>Dec 13</vt:lpstr>
      <vt:lpstr>March 14</vt:lpstr>
      <vt:lpstr>June 14</vt:lpstr>
      <vt:lpstr>Sept 14</vt:lpstr>
      <vt:lpstr>Dec 14</vt:lpstr>
      <vt:lpstr>March 15</vt:lpstr>
      <vt:lpstr>June 15</vt:lpstr>
      <vt:lpstr>Sept 15</vt:lpstr>
      <vt:lpstr>Dec 15</vt:lpstr>
      <vt:lpstr>March 16</vt:lpstr>
      <vt:lpstr>June 16</vt:lpstr>
      <vt:lpstr>Sept 16</vt:lpstr>
      <vt:lpstr>Dec 16</vt:lpstr>
      <vt:lpstr>Mar 17</vt:lpstr>
      <vt:lpstr>June 17</vt:lpstr>
      <vt:lpstr>Sept 17</vt:lpstr>
      <vt:lpstr>Dec 17</vt:lpstr>
      <vt:lpstr>'Sept 06'!_100PAGE_3</vt:lpstr>
      <vt:lpstr>'Sept 07'!_101PAGE_3</vt:lpstr>
      <vt:lpstr>'Sept 08'!_102PAGE_3</vt:lpstr>
      <vt:lpstr>'Sept 09'!_103PAGE_3</vt:lpstr>
      <vt:lpstr>'Sept 10'!_104PAGE_3</vt:lpstr>
      <vt:lpstr>'Sept 11'!_105PAGE_3</vt:lpstr>
      <vt:lpstr>'Sept 12'!_106PAGE_3</vt:lpstr>
      <vt:lpstr>'Sept 13'!_107PAGE_3</vt:lpstr>
      <vt:lpstr>_108PAGE_3</vt:lpstr>
      <vt:lpstr>'Dec 05'!_109PAGE_4</vt:lpstr>
      <vt:lpstr>'June 05'!_10PAGE_1</vt:lpstr>
      <vt:lpstr>'Dec 06'!_110PAGE_4</vt:lpstr>
      <vt:lpstr>'Dec 07'!_111PAGE_4</vt:lpstr>
      <vt:lpstr>'Dec 08'!_112PAGE_4</vt:lpstr>
      <vt:lpstr>'Dec 09'!_113PAGE_4</vt:lpstr>
      <vt:lpstr>'Dec 10'!_114PAGE_4</vt:lpstr>
      <vt:lpstr>'Dec 11'!_115PAGE_4</vt:lpstr>
      <vt:lpstr>'Dec 12'!_116PAGE_4</vt:lpstr>
      <vt:lpstr>'Dec 13'!_117PAGE_4</vt:lpstr>
      <vt:lpstr>'Dec 14'!_117PAGE_4</vt:lpstr>
      <vt:lpstr>'Dec 15'!_117PAGE_4</vt:lpstr>
      <vt:lpstr>'Dec 16'!_117PAGE_4</vt:lpstr>
      <vt:lpstr>'Dec 17'!_117PAGE_4</vt:lpstr>
      <vt:lpstr>'June 14'!_117PAGE_4</vt:lpstr>
      <vt:lpstr>'June 15'!_117PAGE_4</vt:lpstr>
      <vt:lpstr>'June 16'!_117PAGE_4</vt:lpstr>
      <vt:lpstr>'June 17'!_117PAGE_4</vt:lpstr>
      <vt:lpstr>'Mar 17'!_117PAGE_4</vt:lpstr>
      <vt:lpstr>'March 14'!_117PAGE_4</vt:lpstr>
      <vt:lpstr>'March 15'!_117PAGE_4</vt:lpstr>
      <vt:lpstr>'March 16'!_117PAGE_4</vt:lpstr>
      <vt:lpstr>'Sept 14'!_117PAGE_4</vt:lpstr>
      <vt:lpstr>'Sept 15'!_117PAGE_4</vt:lpstr>
      <vt:lpstr>'Sept 16'!_117PAGE_4</vt:lpstr>
      <vt:lpstr>'Sept 17'!_117PAGE_4</vt:lpstr>
      <vt:lpstr>'June 05'!_118PAGE_4</vt:lpstr>
      <vt:lpstr>'June 06'!_119PAGE_4</vt:lpstr>
      <vt:lpstr>'June 06'!_11PAGE_1</vt:lpstr>
      <vt:lpstr>'June 07'!_120PAGE_4</vt:lpstr>
      <vt:lpstr>'June 08'!_121PAGE_4</vt:lpstr>
      <vt:lpstr>'June 09'!_122PAGE_4</vt:lpstr>
      <vt:lpstr>'June 10'!_123PAGE_4</vt:lpstr>
      <vt:lpstr>'June 11'!_124PAGE_4</vt:lpstr>
      <vt:lpstr>'June 12'!_125PAGE_4</vt:lpstr>
      <vt:lpstr>'June 13'!_126PAGE_4</vt:lpstr>
      <vt:lpstr>'March 06'!_127PAGE_4</vt:lpstr>
      <vt:lpstr>'March 07'!_128PAGE_4</vt:lpstr>
      <vt:lpstr>'March 08'!_129PAGE_4</vt:lpstr>
      <vt:lpstr>'June 07'!_12PAGE_1</vt:lpstr>
      <vt:lpstr>'March 09'!_130PAGE_4</vt:lpstr>
      <vt:lpstr>'March 10'!_131PAGE_4</vt:lpstr>
      <vt:lpstr>'March 11'!_132PAGE_4</vt:lpstr>
      <vt:lpstr>'March 12'!_133PAGE_4</vt:lpstr>
      <vt:lpstr>'March 13'!_134PAGE_4</vt:lpstr>
      <vt:lpstr>'Sept 05'!_135PAGE_4</vt:lpstr>
      <vt:lpstr>'Sept 06'!_136PAGE_4</vt:lpstr>
      <vt:lpstr>'Sept 07'!_137PAGE_4</vt:lpstr>
      <vt:lpstr>'Sept 08'!_138PAGE_4</vt:lpstr>
      <vt:lpstr>'Sept 09'!_139PAGE_4</vt:lpstr>
      <vt:lpstr>'June 08'!_13PAGE_1</vt:lpstr>
      <vt:lpstr>'Sept 10'!_140PAGE_4</vt:lpstr>
      <vt:lpstr>'Sept 11'!_141PAGE_4</vt:lpstr>
      <vt:lpstr>'Sept 12'!_142PAGE_4</vt:lpstr>
      <vt:lpstr>'Sept 13'!_143PAGE_4</vt:lpstr>
      <vt:lpstr>_144PAGE_4</vt:lpstr>
      <vt:lpstr>'June 09'!_14PAGE_1</vt:lpstr>
      <vt:lpstr>'June 10'!_15PAGE_1</vt:lpstr>
      <vt:lpstr>'June 11'!_16PAGE_1</vt:lpstr>
      <vt:lpstr>'June 12'!_17PAGE_1</vt:lpstr>
      <vt:lpstr>'June 13'!_18PAGE_1</vt:lpstr>
      <vt:lpstr>'March 06'!_19PAGE_1</vt:lpstr>
      <vt:lpstr>'Dec 05'!_1PAGE_1</vt:lpstr>
      <vt:lpstr>'March 07'!_20PAGE_1</vt:lpstr>
      <vt:lpstr>'March 08'!_21PAGE_1</vt:lpstr>
      <vt:lpstr>'March 09'!_22PAGE_1</vt:lpstr>
      <vt:lpstr>'March 10'!_23PAGE_1</vt:lpstr>
      <vt:lpstr>'March 11'!_24PAGE_1</vt:lpstr>
      <vt:lpstr>'March 12'!_25PAGE_1</vt:lpstr>
      <vt:lpstr>'March 13'!_26PAGE_1</vt:lpstr>
      <vt:lpstr>'Sept 05'!_27PAGE_1</vt:lpstr>
      <vt:lpstr>'Sept 06'!_28PAGE_1</vt:lpstr>
      <vt:lpstr>'Sept 07'!_29PAGE_1</vt:lpstr>
      <vt:lpstr>'Dec 06'!_2PAGE_1</vt:lpstr>
      <vt:lpstr>'Sept 08'!_30PAGE_1</vt:lpstr>
      <vt:lpstr>'Sept 09'!_31PAGE_1</vt:lpstr>
      <vt:lpstr>'Sept 10'!_32PAGE_1</vt:lpstr>
      <vt:lpstr>'Sept 11'!_33PAGE_1</vt:lpstr>
      <vt:lpstr>'Sept 12'!_34PAGE_1</vt:lpstr>
      <vt:lpstr>'Sept 13'!_35PAGE_1</vt:lpstr>
      <vt:lpstr>_36PAGE_1</vt:lpstr>
      <vt:lpstr>'Dec 05'!_37PAGE_2</vt:lpstr>
      <vt:lpstr>'Dec 06'!_38PAGE_2</vt:lpstr>
      <vt:lpstr>'Dec 07'!_39PAGE_2</vt:lpstr>
      <vt:lpstr>'Dec 07'!_3PAGE_1</vt:lpstr>
      <vt:lpstr>'Dec 08'!_40PAGE_2</vt:lpstr>
      <vt:lpstr>'Dec 09'!_41PAGE_2</vt:lpstr>
      <vt:lpstr>'Dec 10'!_42PAGE_2</vt:lpstr>
      <vt:lpstr>'Dec 11'!_43PAGE_2</vt:lpstr>
      <vt:lpstr>'Dec 12'!_44PAGE_2</vt:lpstr>
      <vt:lpstr>'Dec 13'!_45PAGE_2</vt:lpstr>
      <vt:lpstr>'Dec 14'!_45PAGE_2</vt:lpstr>
      <vt:lpstr>'Dec 15'!_45PAGE_2</vt:lpstr>
      <vt:lpstr>'Dec 16'!_45PAGE_2</vt:lpstr>
      <vt:lpstr>'Dec 17'!_45PAGE_2</vt:lpstr>
      <vt:lpstr>'June 14'!_45PAGE_2</vt:lpstr>
      <vt:lpstr>'June 15'!_45PAGE_2</vt:lpstr>
      <vt:lpstr>'June 16'!_45PAGE_2</vt:lpstr>
      <vt:lpstr>'June 17'!_45PAGE_2</vt:lpstr>
      <vt:lpstr>'Mar 17'!_45PAGE_2</vt:lpstr>
      <vt:lpstr>'March 14'!_45PAGE_2</vt:lpstr>
      <vt:lpstr>'March 15'!_45PAGE_2</vt:lpstr>
      <vt:lpstr>'March 16'!_45PAGE_2</vt:lpstr>
      <vt:lpstr>'Sept 14'!_45PAGE_2</vt:lpstr>
      <vt:lpstr>'Sept 15'!_45PAGE_2</vt:lpstr>
      <vt:lpstr>'Sept 16'!_45PAGE_2</vt:lpstr>
      <vt:lpstr>'Sept 17'!_45PAGE_2</vt:lpstr>
      <vt:lpstr>'June 05'!_46PAGE_2</vt:lpstr>
      <vt:lpstr>'June 06'!_47PAGE_2</vt:lpstr>
      <vt:lpstr>'June 07'!_48PAGE_2</vt:lpstr>
      <vt:lpstr>'June 08'!_49PAGE_2</vt:lpstr>
      <vt:lpstr>'Dec 08'!_4PAGE_1</vt:lpstr>
      <vt:lpstr>'June 09'!_50PAGE_2</vt:lpstr>
      <vt:lpstr>'June 10'!_51PAGE_2</vt:lpstr>
      <vt:lpstr>'June 11'!_52PAGE_2</vt:lpstr>
      <vt:lpstr>'June 12'!_53PAGE_2</vt:lpstr>
      <vt:lpstr>'June 13'!_54PAGE_2</vt:lpstr>
      <vt:lpstr>'March 06'!_55PAGE_2</vt:lpstr>
      <vt:lpstr>'March 07'!_56PAGE_2</vt:lpstr>
      <vt:lpstr>'March 08'!_57PAGE_2</vt:lpstr>
      <vt:lpstr>'March 09'!_58PAGE_2</vt:lpstr>
      <vt:lpstr>'March 10'!_59PAGE_2</vt:lpstr>
      <vt:lpstr>'Dec 09'!_5PAGE_1</vt:lpstr>
      <vt:lpstr>'March 11'!_60PAGE_2</vt:lpstr>
      <vt:lpstr>'March 12'!_61PAGE_2</vt:lpstr>
      <vt:lpstr>'March 13'!_62PAGE_2</vt:lpstr>
      <vt:lpstr>'Sept 05'!_63PAGE_2</vt:lpstr>
      <vt:lpstr>'Sept 06'!_64PAGE_2</vt:lpstr>
      <vt:lpstr>'Sept 07'!_65PAGE_2</vt:lpstr>
      <vt:lpstr>'Sept 08'!_66PAGE_2</vt:lpstr>
      <vt:lpstr>'Sept 09'!_67PAGE_2</vt:lpstr>
      <vt:lpstr>'Sept 10'!_68PAGE_2</vt:lpstr>
      <vt:lpstr>'Sept 11'!_69PAGE_2</vt:lpstr>
      <vt:lpstr>'Dec 10'!_6PAGE_1</vt:lpstr>
      <vt:lpstr>'Sept 12'!_70PAGE_2</vt:lpstr>
      <vt:lpstr>'Sept 13'!_71PAGE_2</vt:lpstr>
      <vt:lpstr>_72PAGE_2</vt:lpstr>
      <vt:lpstr>'Dec 05'!_73PAGE_3</vt:lpstr>
      <vt:lpstr>'Dec 06'!_74PAGE_3</vt:lpstr>
      <vt:lpstr>'Dec 07'!_75PAGE_3</vt:lpstr>
      <vt:lpstr>'Dec 08'!_76PAGE_3</vt:lpstr>
      <vt:lpstr>'Dec 09'!_77PAGE_3</vt:lpstr>
      <vt:lpstr>'Dec 10'!_78PAGE_3</vt:lpstr>
      <vt:lpstr>'Dec 11'!_79PAGE_3</vt:lpstr>
      <vt:lpstr>'Dec 11'!_7PAGE_1</vt:lpstr>
      <vt:lpstr>'Dec 12'!_80PAGE_3</vt:lpstr>
      <vt:lpstr>'Dec 13'!_81PAGE_3</vt:lpstr>
      <vt:lpstr>'Dec 14'!_81PAGE_3</vt:lpstr>
      <vt:lpstr>'Dec 15'!_81PAGE_3</vt:lpstr>
      <vt:lpstr>'Dec 16'!_81PAGE_3</vt:lpstr>
      <vt:lpstr>'Dec 17'!_81PAGE_3</vt:lpstr>
      <vt:lpstr>'June 14'!_81PAGE_3</vt:lpstr>
      <vt:lpstr>'June 15'!_81PAGE_3</vt:lpstr>
      <vt:lpstr>'June 16'!_81PAGE_3</vt:lpstr>
      <vt:lpstr>'June 17'!_81PAGE_3</vt:lpstr>
      <vt:lpstr>'Mar 17'!_81PAGE_3</vt:lpstr>
      <vt:lpstr>'March 14'!_81PAGE_3</vt:lpstr>
      <vt:lpstr>'March 15'!_81PAGE_3</vt:lpstr>
      <vt:lpstr>'March 16'!_81PAGE_3</vt:lpstr>
      <vt:lpstr>'Sept 14'!_81PAGE_3</vt:lpstr>
      <vt:lpstr>'Sept 15'!_81PAGE_3</vt:lpstr>
      <vt:lpstr>'Sept 16'!_81PAGE_3</vt:lpstr>
      <vt:lpstr>'Sept 17'!_81PAGE_3</vt:lpstr>
      <vt:lpstr>'June 05'!_82PAGE_3</vt:lpstr>
      <vt:lpstr>'June 06'!_83PAGE_3</vt:lpstr>
      <vt:lpstr>'June 07'!_84PAGE_3</vt:lpstr>
      <vt:lpstr>'June 08'!_85PAGE_3</vt:lpstr>
      <vt:lpstr>'June 09'!_86PAGE_3</vt:lpstr>
      <vt:lpstr>'June 10'!_87PAGE_3</vt:lpstr>
      <vt:lpstr>'June 11'!_88PAGE_3</vt:lpstr>
      <vt:lpstr>'June 12'!_89PAGE_3</vt:lpstr>
      <vt:lpstr>'Dec 12'!_8PAGE_1</vt:lpstr>
      <vt:lpstr>'June 13'!_90PAGE_3</vt:lpstr>
      <vt:lpstr>'March 06'!_91PAGE_3</vt:lpstr>
      <vt:lpstr>'March 07'!_92PAGE_3</vt:lpstr>
      <vt:lpstr>'March 08'!_93PAGE_3</vt:lpstr>
      <vt:lpstr>'March 09'!_94PAGE_3</vt:lpstr>
      <vt:lpstr>'March 10'!_95PAGE_3</vt:lpstr>
      <vt:lpstr>'March 11'!_96PAGE_3</vt:lpstr>
      <vt:lpstr>'March 12'!_97PAGE_3</vt:lpstr>
      <vt:lpstr>'March 13'!_98PAGE_3</vt:lpstr>
      <vt:lpstr>'Sept 05'!_99PAGE_3</vt:lpstr>
      <vt:lpstr>'Dec 13'!_9PAGE_1</vt:lpstr>
      <vt:lpstr>'Dec 14'!_9PAGE_1</vt:lpstr>
      <vt:lpstr>'Dec 15'!_9PAGE_1</vt:lpstr>
      <vt:lpstr>'Dec 16'!_9PAGE_1</vt:lpstr>
      <vt:lpstr>'Dec 17'!_9PAGE_1</vt:lpstr>
      <vt:lpstr>'June 14'!_9PAGE_1</vt:lpstr>
      <vt:lpstr>'June 15'!_9PAGE_1</vt:lpstr>
      <vt:lpstr>'June 16'!_9PAGE_1</vt:lpstr>
      <vt:lpstr>'June 17'!_9PAGE_1</vt:lpstr>
      <vt:lpstr>'Mar 17'!_9PAGE_1</vt:lpstr>
      <vt:lpstr>'March 14'!_9PAGE_1</vt:lpstr>
      <vt:lpstr>'March 15'!_9PAGE_1</vt:lpstr>
      <vt:lpstr>'March 16'!_9PAGE_1</vt:lpstr>
      <vt:lpstr>'Sept 14'!_9PAGE_1</vt:lpstr>
      <vt:lpstr>'Sept 15'!_9PAGE_1</vt:lpstr>
      <vt:lpstr>'Sept 16'!_9PAGE_1</vt:lpstr>
      <vt:lpstr>'Sept 17'!_9PAGE_1</vt:lpstr>
      <vt:lpstr>'Dec 05'!Print_Area</vt:lpstr>
      <vt:lpstr>'Dec 06'!Print_Area</vt:lpstr>
      <vt:lpstr>'Dec 07'!Print_Area</vt:lpstr>
      <vt:lpstr>'Dec 08'!Print_Area</vt:lpstr>
      <vt:lpstr>'Dec 09'!Print_Area</vt:lpstr>
      <vt:lpstr>'Dec 10'!Print_Area</vt:lpstr>
      <vt:lpstr>'Dec 11'!Print_Area</vt:lpstr>
      <vt:lpstr>'Dec 12'!Print_Area</vt:lpstr>
      <vt:lpstr>'Dec 13'!Print_Area</vt:lpstr>
      <vt:lpstr>'Dec 14'!Print_Area</vt:lpstr>
      <vt:lpstr>'Dec 15'!Print_Area</vt:lpstr>
      <vt:lpstr>'Dec 16'!Print_Area</vt:lpstr>
      <vt:lpstr>'Dec 17'!Print_Area</vt:lpstr>
      <vt:lpstr>'June 05'!Print_Area</vt:lpstr>
      <vt:lpstr>'June 06'!Print_Area</vt:lpstr>
      <vt:lpstr>'June 07'!Print_Area</vt:lpstr>
      <vt:lpstr>'June 08'!Print_Area</vt:lpstr>
      <vt:lpstr>'June 09'!Print_Area</vt:lpstr>
      <vt:lpstr>'June 10'!Print_Area</vt:lpstr>
      <vt:lpstr>'June 11'!Print_Area</vt:lpstr>
      <vt:lpstr>'June 12'!Print_Area</vt:lpstr>
      <vt:lpstr>'June 13'!Print_Area</vt:lpstr>
      <vt:lpstr>'June 14'!Print_Area</vt:lpstr>
      <vt:lpstr>'June 15'!Print_Area</vt:lpstr>
      <vt:lpstr>'June 16'!Print_Area</vt:lpstr>
      <vt:lpstr>'June 17'!Print_Area</vt:lpstr>
      <vt:lpstr>'Mar 17'!Print_Area</vt:lpstr>
      <vt:lpstr>'March 05'!Print_Area</vt:lpstr>
      <vt:lpstr>'March 06'!Print_Area</vt:lpstr>
      <vt:lpstr>'March 07'!Print_Area</vt:lpstr>
      <vt:lpstr>'March 08'!Print_Area</vt:lpstr>
      <vt:lpstr>'March 09'!Print_Area</vt:lpstr>
      <vt:lpstr>'March 10'!Print_Area</vt:lpstr>
      <vt:lpstr>'March 11'!Print_Area</vt:lpstr>
      <vt:lpstr>'March 12'!Print_Area</vt:lpstr>
      <vt:lpstr>'March 13'!Print_Area</vt:lpstr>
      <vt:lpstr>'March 14'!Print_Area</vt:lpstr>
      <vt:lpstr>'March 15'!Print_Area</vt:lpstr>
      <vt:lpstr>'March 16'!Print_Area</vt:lpstr>
      <vt:lpstr>'Sept 05'!Print_Area</vt:lpstr>
      <vt:lpstr>'Sept 06'!Print_Area</vt:lpstr>
      <vt:lpstr>'Sept 07'!Print_Area</vt:lpstr>
      <vt:lpstr>'Sept 08'!Print_Area</vt:lpstr>
      <vt:lpstr>'Sept 09'!Print_Area</vt:lpstr>
      <vt:lpstr>'Sept 10'!Print_Area</vt:lpstr>
      <vt:lpstr>'Sept 11'!Print_Area</vt:lpstr>
      <vt:lpstr>'Sept 12'!Print_Area</vt:lpstr>
      <vt:lpstr>'Sept 13'!Print_Area</vt:lpstr>
      <vt:lpstr>'Sept 14'!Print_Area</vt:lpstr>
      <vt:lpstr>'Sept 15'!Print_Area</vt:lpstr>
      <vt:lpstr>'Sept 16'!Print_Area</vt:lpstr>
      <vt:lpstr>'Sept 17'!Print_Area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2018-01-18T08:24:58Z</cp:lastPrinted>
  <dcterms:created xsi:type="dcterms:W3CDTF">2003-11-18T07:58:35Z</dcterms:created>
  <dcterms:modified xsi:type="dcterms:W3CDTF">2018-01-23T09:06:47Z</dcterms:modified>
</cp:coreProperties>
</file>