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N:\JPG\Investor Reporting\Paragon Finance\PM28\"/>
    </mc:Choice>
  </mc:AlternateContent>
  <xr:revisionPtr revIDLastSave="0" documentId="13_ncr:1_{7250BBE1-44FF-426C-99E2-3FA16AAA0922}" xr6:coauthVersionLast="47" xr6:coauthVersionMax="47" xr10:uidLastSave="{00000000-0000-0000-0000-000000000000}"/>
  <bookViews>
    <workbookView xWindow="22932" yWindow="-108" windowWidth="20376" windowHeight="12216" firstSheet="7" activeTab="13" xr2:uid="{00000000-000D-0000-FFFF-FFFF00000000}"/>
  </bookViews>
  <sheets>
    <sheet name="November 20" sheetId="20" r:id="rId1"/>
    <sheet name="February 21" sheetId="21" r:id="rId2"/>
    <sheet name="May 21" sheetId="22" r:id="rId3"/>
    <sheet name="August 21" sheetId="23" r:id="rId4"/>
    <sheet name="November 21" sheetId="24" r:id="rId5"/>
    <sheet name="February 22" sheetId="25" r:id="rId6"/>
    <sheet name="May 22" sheetId="26" r:id="rId7"/>
    <sheet name="August 22" sheetId="27" r:id="rId8"/>
    <sheet name="November 22" sheetId="28" r:id="rId9"/>
    <sheet name="February 23" sheetId="29" r:id="rId10"/>
    <sheet name="May 23" sheetId="30" r:id="rId11"/>
    <sheet name="August 23" sheetId="31" r:id="rId12"/>
    <sheet name="November 23" sheetId="32" r:id="rId13"/>
    <sheet name="February 24" sheetId="33" r:id="rId14"/>
  </sheets>
  <definedNames>
    <definedName name="_1PAGE_1" localSheetId="3">'August 21'!$A$1:$AC$53</definedName>
    <definedName name="_1PAGE_1" localSheetId="7">'August 22'!$A$1:$AC$53</definedName>
    <definedName name="_1PAGE_1" localSheetId="11">'August 23'!$A$1:$AC$53</definedName>
    <definedName name="_1PAGE_1" localSheetId="1">'February 21'!$A$1:$AC$53</definedName>
    <definedName name="_1PAGE_1" localSheetId="5">'February 22'!$A$1:$AC$53</definedName>
    <definedName name="_1PAGE_1" localSheetId="9">'February 23'!$A$1:$AC$53</definedName>
    <definedName name="_1PAGE_1" localSheetId="13">'February 24'!$A$1:$AC$53</definedName>
    <definedName name="_1PAGE_1" localSheetId="2">'May 21'!$A$1:$AC$53</definedName>
    <definedName name="_1PAGE_1" localSheetId="6">'May 22'!$A$1:$AC$53</definedName>
    <definedName name="_1PAGE_1" localSheetId="10">'May 23'!$A$1:$AC$53</definedName>
    <definedName name="_1PAGE_1" localSheetId="0">'November 20'!$A$1:$AC$53</definedName>
    <definedName name="_1PAGE_1" localSheetId="4">'November 21'!$A$1:$AC$53</definedName>
    <definedName name="_1PAGE_1" localSheetId="8">'November 22'!$A$1:$AC$53</definedName>
    <definedName name="_1PAGE_1" localSheetId="12">'November 23'!$A$1:$AC$53</definedName>
    <definedName name="_2PAGE_1" localSheetId="3">#REF!</definedName>
    <definedName name="_2PAGE_1" localSheetId="7">#REF!</definedName>
    <definedName name="_2PAGE_1" localSheetId="11">#REF!</definedName>
    <definedName name="_2PAGE_1" localSheetId="1">#REF!</definedName>
    <definedName name="_2PAGE_1" localSheetId="5">#REF!</definedName>
    <definedName name="_2PAGE_1" localSheetId="9">#REF!</definedName>
    <definedName name="_2PAGE_1" localSheetId="13">#REF!</definedName>
    <definedName name="_2PAGE_1" localSheetId="2">#REF!</definedName>
    <definedName name="_2PAGE_1" localSheetId="6">#REF!</definedName>
    <definedName name="_2PAGE_1" localSheetId="10">#REF!</definedName>
    <definedName name="_2PAGE_1" localSheetId="0">#REF!</definedName>
    <definedName name="_2PAGE_1" localSheetId="4">#REF!</definedName>
    <definedName name="_2PAGE_1" localSheetId="8">#REF!</definedName>
    <definedName name="_2PAGE_1" localSheetId="12">#REF!</definedName>
    <definedName name="_2PAGE_1">#REF!</definedName>
    <definedName name="_3PAGE_2" localSheetId="3">'August 21'!$A$54:$AC$132</definedName>
    <definedName name="_3PAGE_2" localSheetId="7">'August 22'!$A$54:$AC$132</definedName>
    <definedName name="_3PAGE_2" localSheetId="11">'August 23'!$A$54:$AC$132</definedName>
    <definedName name="_3PAGE_2" localSheetId="1">'February 21'!$A$54:$AC$132</definedName>
    <definedName name="_3PAGE_2" localSheetId="5">'February 22'!$A$54:$AC$132</definedName>
    <definedName name="_3PAGE_2" localSheetId="9">'February 23'!$A$54:$AC$132</definedName>
    <definedName name="_3PAGE_2" localSheetId="13">'February 24'!$A$54:$AC$132</definedName>
    <definedName name="_3PAGE_2" localSheetId="2">'May 21'!$A$54:$AC$132</definedName>
    <definedName name="_3PAGE_2" localSheetId="6">'May 22'!$A$54:$AC$132</definedName>
    <definedName name="_3PAGE_2" localSheetId="10">'May 23'!$A$54:$AC$132</definedName>
    <definedName name="_3PAGE_2" localSheetId="0">'November 20'!$A$54:$AC$132</definedName>
    <definedName name="_3PAGE_2" localSheetId="4">'November 21'!$A$54:$AC$132</definedName>
    <definedName name="_3PAGE_2" localSheetId="8">'November 22'!$A$54:$AC$132</definedName>
    <definedName name="_3PAGE_2" localSheetId="12">'November 23'!$A$54:$AC$132</definedName>
    <definedName name="_4PAGE_2" localSheetId="3">#REF!</definedName>
    <definedName name="_4PAGE_2" localSheetId="7">#REF!</definedName>
    <definedName name="_4PAGE_2" localSheetId="11">#REF!</definedName>
    <definedName name="_4PAGE_2" localSheetId="1">#REF!</definedName>
    <definedName name="_4PAGE_2" localSheetId="5">#REF!</definedName>
    <definedName name="_4PAGE_2" localSheetId="9">#REF!</definedName>
    <definedName name="_4PAGE_2" localSheetId="13">#REF!</definedName>
    <definedName name="_4PAGE_2" localSheetId="2">#REF!</definedName>
    <definedName name="_4PAGE_2" localSheetId="6">#REF!</definedName>
    <definedName name="_4PAGE_2" localSheetId="10">#REF!</definedName>
    <definedName name="_4PAGE_2" localSheetId="0">#REF!</definedName>
    <definedName name="_4PAGE_2" localSheetId="4">#REF!</definedName>
    <definedName name="_4PAGE_2" localSheetId="8">#REF!</definedName>
    <definedName name="_4PAGE_2" localSheetId="12">#REF!</definedName>
    <definedName name="_4PAGE_2">#REF!</definedName>
    <definedName name="_5PAGE_3" localSheetId="3">'August 21'!$A$133:$AC$243</definedName>
    <definedName name="_5PAGE_3" localSheetId="7">'August 22'!$A$133:$AC$243</definedName>
    <definedName name="_5PAGE_3" localSheetId="11">'August 23'!$A$133:$AC$243</definedName>
    <definedName name="_5PAGE_3" localSheetId="1">'February 21'!$A$133:$AC$243</definedName>
    <definedName name="_5PAGE_3" localSheetId="5">'February 22'!$A$133:$AC$243</definedName>
    <definedName name="_5PAGE_3" localSheetId="9">'February 23'!$A$133:$AC$243</definedName>
    <definedName name="_5PAGE_3" localSheetId="13">'February 24'!$A$133:$AC$243</definedName>
    <definedName name="_5PAGE_3" localSheetId="2">'May 21'!$A$133:$AC$243</definedName>
    <definedName name="_5PAGE_3" localSheetId="6">'May 22'!$A$133:$AC$243</definedName>
    <definedName name="_5PAGE_3" localSheetId="10">'May 23'!$A$133:$AC$243</definedName>
    <definedName name="_5PAGE_3" localSheetId="0">'November 20'!$A$133:$AC$243</definedName>
    <definedName name="_5PAGE_3" localSheetId="4">'November 21'!$A$133:$AC$243</definedName>
    <definedName name="_5PAGE_3" localSheetId="8">'November 22'!$A$133:$AC$243</definedName>
    <definedName name="_5PAGE_3" localSheetId="12">'November 23'!$A$133:$AC$243</definedName>
    <definedName name="_6PAGE_3" localSheetId="3">#REF!</definedName>
    <definedName name="_6PAGE_3" localSheetId="7">#REF!</definedName>
    <definedName name="_6PAGE_3" localSheetId="11">#REF!</definedName>
    <definedName name="_6PAGE_3" localSheetId="1">#REF!</definedName>
    <definedName name="_6PAGE_3" localSheetId="5">#REF!</definedName>
    <definedName name="_6PAGE_3" localSheetId="9">#REF!</definedName>
    <definedName name="_6PAGE_3" localSheetId="13">#REF!</definedName>
    <definedName name="_6PAGE_3" localSheetId="2">#REF!</definedName>
    <definedName name="_6PAGE_3" localSheetId="6">#REF!</definedName>
    <definedName name="_6PAGE_3" localSheetId="10">#REF!</definedName>
    <definedName name="_6PAGE_3" localSheetId="0">#REF!</definedName>
    <definedName name="_6PAGE_3" localSheetId="4">#REF!</definedName>
    <definedName name="_6PAGE_3" localSheetId="8">#REF!</definedName>
    <definedName name="_6PAGE_3" localSheetId="12">#REF!</definedName>
    <definedName name="_6PAGE_3">#REF!</definedName>
    <definedName name="_7PAGE_4" localSheetId="3">'August 21'!$A$244:$AC$374</definedName>
    <definedName name="_7PAGE_4" localSheetId="7">'August 22'!$A$244:$AC$357</definedName>
    <definedName name="_7PAGE_4" localSheetId="11">'August 23'!$A$244:$AC$357</definedName>
    <definedName name="_7PAGE_4" localSheetId="1">'February 21'!$A$244:$AC$374</definedName>
    <definedName name="_7PAGE_4" localSheetId="5">'February 22'!$A$244:$AC$357</definedName>
    <definedName name="_7PAGE_4" localSheetId="9">'February 23'!$A$244:$AC$357</definedName>
    <definedName name="_7PAGE_4" localSheetId="13">'February 24'!$A$244:$AC$357</definedName>
    <definedName name="_7PAGE_4" localSheetId="2">'May 21'!$A$244:$AC$374</definedName>
    <definedName name="_7PAGE_4" localSheetId="6">'May 22'!$A$244:$AC$357</definedName>
    <definedName name="_7PAGE_4" localSheetId="10">'May 23'!$A$244:$AC$357</definedName>
    <definedName name="_7PAGE_4" localSheetId="0">'November 20'!$A$244:$AC$374</definedName>
    <definedName name="_7PAGE_4" localSheetId="4">'November 21'!$A$244:$AC$357</definedName>
    <definedName name="_7PAGE_4" localSheetId="8">'November 22'!$A$244:$AC$357</definedName>
    <definedName name="_7PAGE_4" localSheetId="12">'November 23'!$A$244:$AC$357</definedName>
    <definedName name="_8PAGE_4" localSheetId="3">#REF!</definedName>
    <definedName name="_8PAGE_4" localSheetId="7">#REF!</definedName>
    <definedName name="_8PAGE_4" localSheetId="11">#REF!</definedName>
    <definedName name="_8PAGE_4" localSheetId="1">#REF!</definedName>
    <definedName name="_8PAGE_4" localSheetId="5">#REF!</definedName>
    <definedName name="_8PAGE_4" localSheetId="9">#REF!</definedName>
    <definedName name="_8PAGE_4" localSheetId="13">#REF!</definedName>
    <definedName name="_8PAGE_4" localSheetId="2">#REF!</definedName>
    <definedName name="_8PAGE_4" localSheetId="6">#REF!</definedName>
    <definedName name="_8PAGE_4" localSheetId="10">#REF!</definedName>
    <definedName name="_8PAGE_4" localSheetId="0">#REF!</definedName>
    <definedName name="_8PAGE_4" localSheetId="4">#REF!</definedName>
    <definedName name="_8PAGE_4" localSheetId="8">#REF!</definedName>
    <definedName name="_8PAGE_4" localSheetId="12">#REF!</definedName>
    <definedName name="_8PAGE_4">#REF!</definedName>
    <definedName name="_xlnm.Print_Area" localSheetId="3">'August 21'!$A$1:$AC$375</definedName>
    <definedName name="_xlnm.Print_Area" localSheetId="7">'August 22'!$A$1:$AC$358</definedName>
    <definedName name="_xlnm.Print_Area" localSheetId="11">'August 23'!$A$1:$AC$358</definedName>
    <definedName name="_xlnm.Print_Area" localSheetId="1">'February 21'!$A$1:$AC$375</definedName>
    <definedName name="_xlnm.Print_Area" localSheetId="5">'February 22'!$A$1:$AC$358</definedName>
    <definedName name="_xlnm.Print_Area" localSheetId="9">'February 23'!$A$1:$AC$358</definedName>
    <definedName name="_xlnm.Print_Area" localSheetId="13">'February 24'!$A$1:$AC$358</definedName>
    <definedName name="_xlnm.Print_Area" localSheetId="2">'May 21'!$A$1:$AC$375</definedName>
    <definedName name="_xlnm.Print_Area" localSheetId="6">'May 22'!$A$1:$AC$358</definedName>
    <definedName name="_xlnm.Print_Area" localSheetId="10">'May 23'!$A$1:$AC$358</definedName>
    <definedName name="_xlnm.Print_Area" localSheetId="0">'November 20'!$A$1:$AC$375</definedName>
    <definedName name="_xlnm.Print_Area" localSheetId="4">'November 21'!$A$1:$AC$358</definedName>
    <definedName name="_xlnm.Print_Area" localSheetId="8">'November 22'!$A$1:$AC$358</definedName>
    <definedName name="_xlnm.Print_Area" localSheetId="12">'November 23'!$A$1:$AC$358</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1" i="33" l="1"/>
  <c r="Z73" i="33"/>
  <c r="AB35" i="33" l="1"/>
  <c r="AB30" i="33" l="1"/>
  <c r="AB112" i="33"/>
  <c r="AB90" i="33"/>
  <c r="AB75" i="33"/>
  <c r="AB74" i="33"/>
  <c r="T57" i="33"/>
  <c r="Z217" i="33" l="1"/>
  <c r="Z219" i="33" s="1"/>
  <c r="Y217" i="33"/>
  <c r="Y219" i="33" s="1"/>
  <c r="AB209" i="33"/>
  <c r="AB201" i="33"/>
  <c r="AB204" i="33" s="1"/>
  <c r="AB193" i="33"/>
  <c r="AB185" i="33"/>
  <c r="AB177" i="33"/>
  <c r="AB180" i="33" s="1"/>
  <c r="AB160" i="33"/>
  <c r="AB148" i="33"/>
  <c r="AB157" i="33" s="1"/>
  <c r="AB137" i="33"/>
  <c r="AA341" i="33"/>
  <c r="Z341" i="33"/>
  <c r="Y341" i="33"/>
  <c r="X341" i="33"/>
  <c r="Y268" i="33" s="1"/>
  <c r="AA329" i="33"/>
  <c r="Z329" i="33"/>
  <c r="Y329" i="33"/>
  <c r="X329" i="33"/>
  <c r="AA319" i="33"/>
  <c r="Z319" i="33"/>
  <c r="Z267" i="33" s="1"/>
  <c r="Y319" i="33"/>
  <c r="X319" i="33"/>
  <c r="Y267" i="33" s="1"/>
  <c r="Z307" i="33"/>
  <c r="AA304" i="33" s="1"/>
  <c r="X307" i="33"/>
  <c r="Y305" i="33" s="1"/>
  <c r="Z293" i="33"/>
  <c r="X293" i="33"/>
  <c r="Z292" i="33"/>
  <c r="X292" i="33"/>
  <c r="Z291" i="33"/>
  <c r="X291" i="33"/>
  <c r="Z290" i="33"/>
  <c r="X290" i="33"/>
  <c r="Z289" i="33"/>
  <c r="X289" i="33"/>
  <c r="Z288" i="33"/>
  <c r="X288" i="33"/>
  <c r="Z287" i="33"/>
  <c r="X287" i="33"/>
  <c r="Z286" i="33"/>
  <c r="X286" i="33"/>
  <c r="Z272" i="33"/>
  <c r="Z273" i="33" s="1"/>
  <c r="Z270" i="33"/>
  <c r="Z269" i="33"/>
  <c r="Z268" i="33"/>
  <c r="Z248" i="33"/>
  <c r="AB226" i="33"/>
  <c r="AB218" i="33"/>
  <c r="Y216" i="33"/>
  <c r="AB210" i="33"/>
  <c r="AB212" i="33" s="1"/>
  <c r="AB203" i="33"/>
  <c r="AB195" i="33"/>
  <c r="AB194" i="33"/>
  <c r="AB187" i="33"/>
  <c r="AB188" i="33" s="1"/>
  <c r="AB179" i="33"/>
  <c r="AB172" i="33"/>
  <c r="AB170" i="33"/>
  <c r="AB169" i="33"/>
  <c r="AB161" i="33"/>
  <c r="AB147" i="33"/>
  <c r="AB143" i="33"/>
  <c r="AB136" i="33"/>
  <c r="B132" i="33"/>
  <c r="B243" i="33" s="1"/>
  <c r="B357" i="33" s="1"/>
  <c r="Z120" i="33"/>
  <c r="Z128" i="33" s="1"/>
  <c r="Z99" i="33"/>
  <c r="AB128" i="33"/>
  <c r="Z84" i="33"/>
  <c r="AB80" i="33"/>
  <c r="Z71" i="33"/>
  <c r="Z72" i="33" s="1"/>
  <c r="T69" i="33"/>
  <c r="AB64" i="33"/>
  <c r="AB63" i="33"/>
  <c r="Z60" i="33"/>
  <c r="X60" i="33"/>
  <c r="V60" i="33"/>
  <c r="R60" i="33"/>
  <c r="R66" i="33" s="1"/>
  <c r="P60" i="33"/>
  <c r="P66" i="33" s="1"/>
  <c r="AB58" i="33"/>
  <c r="Z262" i="33"/>
  <c r="X48" i="33"/>
  <c r="X47" i="33"/>
  <c r="AB41" i="33"/>
  <c r="P31" i="33"/>
  <c r="N31" i="33"/>
  <c r="L31" i="33"/>
  <c r="J31" i="33"/>
  <c r="H31" i="33"/>
  <c r="F31" i="33"/>
  <c r="P30" i="33"/>
  <c r="N30" i="33"/>
  <c r="L30" i="33"/>
  <c r="J30" i="33"/>
  <c r="H30" i="33"/>
  <c r="F30" i="33"/>
  <c r="Z250" i="33" s="1"/>
  <c r="AB29" i="33"/>
  <c r="AB237" i="32"/>
  <c r="AA300" i="33" l="1"/>
  <c r="AA302" i="33"/>
  <c r="AA303" i="33"/>
  <c r="AA305" i="33"/>
  <c r="Z343" i="33"/>
  <c r="Z345" i="33" s="1"/>
  <c r="AA298" i="33"/>
  <c r="AA301" i="33"/>
  <c r="AA299" i="33"/>
  <c r="T60" i="33"/>
  <c r="Z344" i="33"/>
  <c r="Z295" i="33"/>
  <c r="AA293" i="33" s="1"/>
  <c r="Z83" i="33"/>
  <c r="Z86" i="33" s="1"/>
  <c r="Z129" i="33" s="1"/>
  <c r="AB144" i="33"/>
  <c r="AB83" i="33"/>
  <c r="AB86" i="33" s="1"/>
  <c r="AB239" i="33" s="1"/>
  <c r="Z348" i="33"/>
  <c r="AB171" i="33"/>
  <c r="AB163" i="33"/>
  <c r="AB219" i="33"/>
  <c r="AB196" i="33"/>
  <c r="Y220" i="33"/>
  <c r="AB57" i="33"/>
  <c r="AB60" i="33" s="1"/>
  <c r="AB66" i="33" s="1"/>
  <c r="Z346" i="33" s="1"/>
  <c r="Y302" i="33"/>
  <c r="Y299" i="33"/>
  <c r="Y303" i="33"/>
  <c r="AB42" i="33"/>
  <c r="AB217" i="33"/>
  <c r="X295" i="33"/>
  <c r="Y293" i="33" s="1"/>
  <c r="Y300" i="33"/>
  <c r="Y304" i="33"/>
  <c r="Y298" i="33"/>
  <c r="X343" i="33"/>
  <c r="Y301" i="33"/>
  <c r="AB74" i="32"/>
  <c r="AB112" i="32"/>
  <c r="AB90" i="32"/>
  <c r="AB75" i="32"/>
  <c r="Z86" i="32"/>
  <c r="T57" i="32"/>
  <c r="AB30" i="32"/>
  <c r="AB31" i="32"/>
  <c r="AB231" i="33" l="1"/>
  <c r="Z252" i="33"/>
  <c r="AA288" i="33"/>
  <c r="AA286" i="33"/>
  <c r="AA292" i="33"/>
  <c r="AA290" i="33"/>
  <c r="AA307" i="33"/>
  <c r="Y291" i="33"/>
  <c r="Y287" i="33"/>
  <c r="Y289" i="33"/>
  <c r="Y286" i="33"/>
  <c r="AA287" i="33"/>
  <c r="Y292" i="33"/>
  <c r="AA289" i="33"/>
  <c r="Y290" i="33"/>
  <c r="AB233" i="33"/>
  <c r="AB235" i="33"/>
  <c r="AB237" i="33"/>
  <c r="AB129" i="33"/>
  <c r="AA291" i="33"/>
  <c r="Y307" i="33"/>
  <c r="Y288" i="33"/>
  <c r="Z273" i="32"/>
  <c r="Z217" i="32"/>
  <c r="Z219" i="32" s="1"/>
  <c r="Y217" i="32"/>
  <c r="Y219" i="32" s="1"/>
  <c r="AB209" i="32"/>
  <c r="AB201" i="32"/>
  <c r="AB193" i="32"/>
  <c r="AB185" i="32"/>
  <c r="AB177" i="32"/>
  <c r="AB160" i="32"/>
  <c r="AB148" i="32"/>
  <c r="AB157" i="32" s="1"/>
  <c r="AB137" i="32"/>
  <c r="AB144" i="32" s="1"/>
  <c r="AA341" i="32"/>
  <c r="Z341" i="32"/>
  <c r="Y341" i="32"/>
  <c r="X341" i="32"/>
  <c r="AA329" i="32"/>
  <c r="Z329" i="32"/>
  <c r="Y329" i="32"/>
  <c r="X329" i="32"/>
  <c r="AA319" i="32"/>
  <c r="Z319" i="32"/>
  <c r="Z267" i="32" s="1"/>
  <c r="Y319" i="32"/>
  <c r="X319" i="32"/>
  <c r="Y267" i="32" s="1"/>
  <c r="Z307" i="32"/>
  <c r="AA304" i="32" s="1"/>
  <c r="X307" i="32"/>
  <c r="Y304" i="32" s="1"/>
  <c r="Z293" i="32"/>
  <c r="X293" i="32"/>
  <c r="Z292" i="32"/>
  <c r="X292" i="32"/>
  <c r="Z291" i="32"/>
  <c r="X291" i="32"/>
  <c r="Z290" i="32"/>
  <c r="X290" i="32"/>
  <c r="Z289" i="32"/>
  <c r="X289" i="32"/>
  <c r="Z288" i="32"/>
  <c r="X288" i="32"/>
  <c r="Z287" i="32"/>
  <c r="X287" i="32"/>
  <c r="Z286" i="32"/>
  <c r="X286" i="32"/>
  <c r="Z272" i="32"/>
  <c r="Z270" i="32"/>
  <c r="Z269" i="32"/>
  <c r="Z268" i="32"/>
  <c r="Y268" i="32"/>
  <c r="Z248" i="32"/>
  <c r="AB226" i="32"/>
  <c r="AB218" i="32"/>
  <c r="Y216" i="32"/>
  <c r="AB210" i="32"/>
  <c r="AB212" i="32" s="1"/>
  <c r="AB203" i="32"/>
  <c r="AB204" i="32"/>
  <c r="AB196" i="32"/>
  <c r="AB195" i="32"/>
  <c r="AB194" i="32"/>
  <c r="AB188" i="32"/>
  <c r="AB187" i="32"/>
  <c r="AB179" i="32"/>
  <c r="AB172" i="32"/>
  <c r="AB171" i="32"/>
  <c r="AB170" i="32"/>
  <c r="AB169" i="32"/>
  <c r="AB161" i="32"/>
  <c r="AB163" i="32"/>
  <c r="AB147" i="32"/>
  <c r="AB143" i="32"/>
  <c r="AB136" i="32"/>
  <c r="B132" i="32"/>
  <c r="B243" i="32" s="1"/>
  <c r="B357" i="32" s="1"/>
  <c r="Z128" i="32"/>
  <c r="Z120" i="32"/>
  <c r="Z99" i="32"/>
  <c r="AB128" i="32"/>
  <c r="Z84" i="32"/>
  <c r="AB80" i="32"/>
  <c r="AB83" i="32"/>
  <c r="AB86" i="32" s="1"/>
  <c r="Z71" i="32"/>
  <c r="T69" i="32"/>
  <c r="AB64" i="32"/>
  <c r="AB63" i="32"/>
  <c r="Z60" i="32"/>
  <c r="X60" i="32"/>
  <c r="V60" i="32"/>
  <c r="R60" i="32"/>
  <c r="R66" i="32" s="1"/>
  <c r="P60" i="32"/>
  <c r="P66" i="32" s="1"/>
  <c r="AB58" i="32"/>
  <c r="T60" i="32"/>
  <c r="X48" i="32"/>
  <c r="X47" i="32"/>
  <c r="AB41" i="32"/>
  <c r="P31" i="32"/>
  <c r="N31" i="32"/>
  <c r="L31" i="32"/>
  <c r="J31" i="32"/>
  <c r="H31" i="32"/>
  <c r="F31" i="32"/>
  <c r="P30" i="32"/>
  <c r="N30" i="32"/>
  <c r="L30" i="32"/>
  <c r="J30" i="32"/>
  <c r="H30" i="32"/>
  <c r="F30" i="32"/>
  <c r="AB35" i="32" s="1"/>
  <c r="Z250" i="32" s="1"/>
  <c r="AB29" i="32"/>
  <c r="Z262" i="31"/>
  <c r="Z73" i="31"/>
  <c r="AA295" i="33" l="1"/>
  <c r="Y295" i="33"/>
  <c r="Z344" i="32"/>
  <c r="Z295" i="32"/>
  <c r="AA289" i="32" s="1"/>
  <c r="Z343" i="32"/>
  <c r="Z345" i="32" s="1"/>
  <c r="AA298" i="32"/>
  <c r="AA302" i="32"/>
  <c r="Y299" i="32"/>
  <c r="Y300" i="32"/>
  <c r="Y305" i="32"/>
  <c r="X343" i="32"/>
  <c r="Y298" i="32"/>
  <c r="Y301" i="32"/>
  <c r="Y302" i="32"/>
  <c r="Y303" i="32"/>
  <c r="AB219" i="32"/>
  <c r="Y220" i="32"/>
  <c r="AB180" i="32"/>
  <c r="AB239" i="32"/>
  <c r="AB235" i="32"/>
  <c r="AB233" i="32"/>
  <c r="Z252" i="32"/>
  <c r="AB231" i="32"/>
  <c r="AB129" i="32"/>
  <c r="AB57" i="32"/>
  <c r="AB60" i="32" s="1"/>
  <c r="AB66" i="32" s="1"/>
  <c r="Z346" i="32" s="1"/>
  <c r="Z72" i="32"/>
  <c r="AA301" i="32"/>
  <c r="AA305" i="32"/>
  <c r="Z348" i="32"/>
  <c r="Z73" i="32"/>
  <c r="AB42" i="32"/>
  <c r="Z262" i="32"/>
  <c r="AA299" i="32"/>
  <c r="X295" i="32"/>
  <c r="Y286" i="32" s="1"/>
  <c r="AB217" i="32"/>
  <c r="AA303" i="32"/>
  <c r="AA300" i="32"/>
  <c r="AB31" i="31"/>
  <c r="AB31" i="30"/>
  <c r="AB90" i="31"/>
  <c r="AB112" i="31"/>
  <c r="AB75" i="31"/>
  <c r="AB74" i="31"/>
  <c r="Z83" i="32" l="1"/>
  <c r="Z129" i="32" s="1"/>
  <c r="AA288" i="32"/>
  <c r="AA286" i="32"/>
  <c r="AA290" i="32"/>
  <c r="AA293" i="32"/>
  <c r="AA291" i="32"/>
  <c r="AA292" i="32"/>
  <c r="AA287" i="32"/>
  <c r="AA307" i="32"/>
  <c r="Y288" i="32"/>
  <c r="Y307" i="32"/>
  <c r="Y293" i="32"/>
  <c r="Y291" i="32"/>
  <c r="Y287" i="32"/>
  <c r="Y289" i="32"/>
  <c r="Y290" i="32"/>
  <c r="Y292" i="32"/>
  <c r="Z83" i="31"/>
  <c r="T57" i="31"/>
  <c r="AA295" i="32" l="1"/>
  <c r="Y295" i="32"/>
  <c r="AB30" i="31"/>
  <c r="Z273" i="31"/>
  <c r="Z217" i="31"/>
  <c r="Y217" i="31"/>
  <c r="Y219" i="31" s="1"/>
  <c r="AB209" i="31"/>
  <c r="AB201" i="31"/>
  <c r="AB204" i="31" s="1"/>
  <c r="AB193" i="31"/>
  <c r="AB185" i="31"/>
  <c r="AB177" i="31"/>
  <c r="AB180" i="31" s="1"/>
  <c r="AB160" i="31"/>
  <c r="AB163" i="31" s="1"/>
  <c r="AB148" i="31"/>
  <c r="AB157" i="31" s="1"/>
  <c r="AB137" i="31"/>
  <c r="AA341" i="31"/>
  <c r="Z341" i="31"/>
  <c r="Y341" i="31"/>
  <c r="X341" i="31"/>
  <c r="AA329" i="31"/>
  <c r="Z329" i="31"/>
  <c r="Y329" i="31"/>
  <c r="X329" i="31"/>
  <c r="AA319" i="31"/>
  <c r="Z319" i="31"/>
  <c r="Z267" i="31" s="1"/>
  <c r="Y319" i="31"/>
  <c r="X319" i="31"/>
  <c r="Z307" i="31"/>
  <c r="AA305" i="31" s="1"/>
  <c r="X307" i="31"/>
  <c r="Y304" i="31" s="1"/>
  <c r="AA304" i="31"/>
  <c r="AA303" i="31"/>
  <c r="AA299" i="31"/>
  <c r="Z293" i="31"/>
  <c r="X293" i="31"/>
  <c r="Z292" i="31"/>
  <c r="X292" i="31"/>
  <c r="Z291" i="31"/>
  <c r="X291" i="31"/>
  <c r="Z290" i="31"/>
  <c r="X290" i="31"/>
  <c r="Z289" i="31"/>
  <c r="X289" i="31"/>
  <c r="Z288" i="31"/>
  <c r="X288" i="31"/>
  <c r="Z287" i="31"/>
  <c r="X287" i="31"/>
  <c r="Z286" i="31"/>
  <c r="X286" i="31"/>
  <c r="Z272" i="31"/>
  <c r="Z270" i="31"/>
  <c r="Z269" i="31"/>
  <c r="Y268" i="31"/>
  <c r="Y267" i="31"/>
  <c r="Z248" i="31"/>
  <c r="AB226" i="31"/>
  <c r="Z219" i="31"/>
  <c r="AB218" i="31"/>
  <c r="Y216" i="31"/>
  <c r="AB210" i="31"/>
  <c r="AB212" i="31" s="1"/>
  <c r="AB203" i="31"/>
  <c r="AB195" i="31"/>
  <c r="AB194" i="31"/>
  <c r="AB188" i="31"/>
  <c r="AB187" i="31"/>
  <c r="AB179" i="31"/>
  <c r="AB172" i="31"/>
  <c r="AB170" i="31"/>
  <c r="AB171" i="31" s="1"/>
  <c r="AB169" i="31"/>
  <c r="AB161" i="31"/>
  <c r="AB147" i="31"/>
  <c r="AB143" i="31"/>
  <c r="AB136" i="31"/>
  <c r="B132" i="31"/>
  <c r="B243" i="31" s="1"/>
  <c r="B357" i="31" s="1"/>
  <c r="AB128" i="31"/>
  <c r="Z120" i="31"/>
  <c r="Z128" i="31" s="1"/>
  <c r="Z99" i="31"/>
  <c r="Z84" i="31"/>
  <c r="AB83" i="31"/>
  <c r="AB86" i="31" s="1"/>
  <c r="AB80" i="31"/>
  <c r="Z71" i="31"/>
  <c r="T69" i="31"/>
  <c r="AB64" i="31"/>
  <c r="AB63" i="31"/>
  <c r="Z60" i="31"/>
  <c r="X60" i="31"/>
  <c r="V60" i="31"/>
  <c r="R60" i="31"/>
  <c r="R66" i="31" s="1"/>
  <c r="P60" i="31"/>
  <c r="P66" i="31" s="1"/>
  <c r="AB58" i="31"/>
  <c r="X48" i="31"/>
  <c r="X47" i="31"/>
  <c r="AB41" i="31"/>
  <c r="P31" i="31"/>
  <c r="N31" i="31"/>
  <c r="L31" i="31"/>
  <c r="AB42" i="31" s="1"/>
  <c r="J31" i="31"/>
  <c r="H31" i="31"/>
  <c r="F31" i="31"/>
  <c r="P30" i="31"/>
  <c r="N30" i="31"/>
  <c r="L30" i="31"/>
  <c r="J30" i="31"/>
  <c r="H30" i="31"/>
  <c r="F30" i="31"/>
  <c r="AB29" i="31"/>
  <c r="Z73" i="30"/>
  <c r="AB196" i="31" l="1"/>
  <c r="AB144" i="31"/>
  <c r="Z344" i="31"/>
  <c r="AB35" i="31"/>
  <c r="Z250" i="31" s="1"/>
  <c r="Z343" i="31"/>
  <c r="AA298" i="31"/>
  <c r="AA300" i="31"/>
  <c r="AA302" i="31"/>
  <c r="X295" i="31"/>
  <c r="Y289" i="31" s="1"/>
  <c r="Y302" i="31"/>
  <c r="Y298" i="31"/>
  <c r="AB219" i="31"/>
  <c r="Y220" i="31"/>
  <c r="AB217" i="31"/>
  <c r="Y292" i="31"/>
  <c r="AB237" i="31"/>
  <c r="AB235" i="31"/>
  <c r="AB233" i="31"/>
  <c r="AB129" i="31"/>
  <c r="Z252" i="31"/>
  <c r="AB231" i="31"/>
  <c r="AB239" i="31"/>
  <c r="Z345" i="31"/>
  <c r="Z295" i="31"/>
  <c r="Y301" i="31"/>
  <c r="Y305" i="31"/>
  <c r="AB57" i="31"/>
  <c r="AB60" i="31" s="1"/>
  <c r="AB66" i="31" s="1"/>
  <c r="Z346" i="31" s="1"/>
  <c r="Z72" i="31"/>
  <c r="Z268" i="31"/>
  <c r="AA301" i="31"/>
  <c r="X343" i="31"/>
  <c r="Y299" i="31"/>
  <c r="Y303" i="31"/>
  <c r="Z348" i="31"/>
  <c r="Z86" i="31"/>
  <c r="Z129" i="31" s="1"/>
  <c r="T60" i="31"/>
  <c r="Y300" i="31"/>
  <c r="AA307" i="31" l="1"/>
  <c r="Y291" i="31"/>
  <c r="Y287" i="31"/>
  <c r="Y293" i="31"/>
  <c r="Y286" i="31"/>
  <c r="Y288" i="31"/>
  <c r="Y290" i="31"/>
  <c r="Y307" i="31"/>
  <c r="AA293" i="31"/>
  <c r="AA291" i="31"/>
  <c r="AA289" i="31"/>
  <c r="AA287" i="31"/>
  <c r="AA290" i="31"/>
  <c r="AA292" i="31"/>
  <c r="AA286" i="31"/>
  <c r="AA288" i="31"/>
  <c r="AB161" i="30"/>
  <c r="AB90" i="30"/>
  <c r="AB75" i="30"/>
  <c r="AB74" i="30"/>
  <c r="AA295" i="31" l="1"/>
  <c r="Y295" i="31"/>
  <c r="Z120" i="30"/>
  <c r="Z72" i="30"/>
  <c r="T57" i="30"/>
  <c r="Z273" i="30" l="1"/>
  <c r="Z217" i="30"/>
  <c r="Z219" i="30" s="1"/>
  <c r="Y217" i="30"/>
  <c r="Y219" i="30" s="1"/>
  <c r="AB209" i="30"/>
  <c r="AB201" i="30"/>
  <c r="AB204" i="30" s="1"/>
  <c r="AB193" i="30"/>
  <c r="AB185" i="30"/>
  <c r="AB177" i="30"/>
  <c r="AB180" i="30" s="1"/>
  <c r="AB160" i="30"/>
  <c r="AB148" i="30"/>
  <c r="AB157" i="30" s="1"/>
  <c r="AB137" i="30"/>
  <c r="AB144" i="30" s="1"/>
  <c r="AA341" i="30"/>
  <c r="Z341" i="30"/>
  <c r="Y341" i="30"/>
  <c r="X341" i="30"/>
  <c r="AA329" i="30"/>
  <c r="Z329" i="30"/>
  <c r="Y329" i="30"/>
  <c r="X329" i="30"/>
  <c r="AA319" i="30"/>
  <c r="Z319" i="30"/>
  <c r="Y319" i="30"/>
  <c r="X319" i="30"/>
  <c r="Z307" i="30"/>
  <c r="AA302" i="30" s="1"/>
  <c r="X307" i="30"/>
  <c r="Y304" i="30" s="1"/>
  <c r="Y299" i="30"/>
  <c r="Z293" i="30"/>
  <c r="X293" i="30"/>
  <c r="Z292" i="30"/>
  <c r="X292" i="30"/>
  <c r="Z291" i="30"/>
  <c r="X291" i="30"/>
  <c r="Z290" i="30"/>
  <c r="X290" i="30"/>
  <c r="Z289" i="30"/>
  <c r="X289" i="30"/>
  <c r="Z288" i="30"/>
  <c r="X288" i="30"/>
  <c r="Z287" i="30"/>
  <c r="X287" i="30"/>
  <c r="Z286" i="30"/>
  <c r="X286" i="30"/>
  <c r="Z272" i="30"/>
  <c r="Z270" i="30"/>
  <c r="Z269" i="30"/>
  <c r="Z268" i="30"/>
  <c r="Y268" i="30"/>
  <c r="Z267" i="30"/>
  <c r="Y267" i="30"/>
  <c r="Z248" i="30"/>
  <c r="AB226" i="30"/>
  <c r="AB218" i="30"/>
  <c r="Y216" i="30"/>
  <c r="AB212" i="30"/>
  <c r="AB210" i="30"/>
  <c r="AB203" i="30"/>
  <c r="AB195" i="30"/>
  <c r="AB194" i="30"/>
  <c r="AB196" i="30" s="1"/>
  <c r="AB188" i="30"/>
  <c r="AB187" i="30"/>
  <c r="AB179" i="30"/>
  <c r="AB172" i="30"/>
  <c r="AB170" i="30"/>
  <c r="AB171" i="30" s="1"/>
  <c r="AB169" i="30"/>
  <c r="AB147" i="30"/>
  <c r="AB143" i="30"/>
  <c r="AB136" i="30"/>
  <c r="B132" i="30"/>
  <c r="B243" i="30" s="1"/>
  <c r="B357" i="30" s="1"/>
  <c r="Z128" i="30"/>
  <c r="AB112" i="30"/>
  <c r="Z99" i="30"/>
  <c r="AB128" i="30"/>
  <c r="Z84" i="30"/>
  <c r="AB80" i="30"/>
  <c r="AB83" i="30"/>
  <c r="AB86" i="30" s="1"/>
  <c r="Z71" i="30"/>
  <c r="T69" i="30"/>
  <c r="AB163" i="30"/>
  <c r="AB63" i="30"/>
  <c r="Z60" i="30"/>
  <c r="X60" i="30"/>
  <c r="V60" i="30"/>
  <c r="R60" i="30"/>
  <c r="R66" i="30" s="1"/>
  <c r="P60" i="30"/>
  <c r="P66" i="30" s="1"/>
  <c r="AB58" i="30"/>
  <c r="AB57" i="30"/>
  <c r="AB60" i="30" s="1"/>
  <c r="Z262" i="30"/>
  <c r="X48" i="30"/>
  <c r="X47" i="30"/>
  <c r="AB41" i="30"/>
  <c r="P31" i="30"/>
  <c r="N31" i="30"/>
  <c r="L31" i="30"/>
  <c r="J31" i="30"/>
  <c r="H31" i="30"/>
  <c r="F31" i="30"/>
  <c r="P30" i="30"/>
  <c r="N30" i="30"/>
  <c r="L30" i="30"/>
  <c r="J30" i="30"/>
  <c r="H30" i="30"/>
  <c r="F30" i="30"/>
  <c r="AB29" i="30"/>
  <c r="Z252" i="29"/>
  <c r="Z252" i="28"/>
  <c r="Z252" i="27"/>
  <c r="Z252" i="26"/>
  <c r="Z252" i="25"/>
  <c r="Z252" i="24"/>
  <c r="Z252" i="23"/>
  <c r="Z252" i="22"/>
  <c r="Z252" i="21"/>
  <c r="Z252" i="20"/>
  <c r="AB35" i="29"/>
  <c r="AB30" i="30" l="1"/>
  <c r="AB35" i="30" s="1"/>
  <c r="Z250" i="30" s="1"/>
  <c r="AA299" i="30"/>
  <c r="AA301" i="30"/>
  <c r="AA303" i="30"/>
  <c r="AA298" i="30"/>
  <c r="AA304" i="30"/>
  <c r="Z295" i="30"/>
  <c r="AA289" i="30" s="1"/>
  <c r="AA300" i="30"/>
  <c r="AA305" i="30"/>
  <c r="Z343" i="30"/>
  <c r="Y302" i="30"/>
  <c r="Y298" i="30"/>
  <c r="Y301" i="30"/>
  <c r="Y305" i="30"/>
  <c r="Y300" i="30"/>
  <c r="X343" i="30"/>
  <c r="Y303" i="30"/>
  <c r="Y220" i="30"/>
  <c r="AB239" i="30"/>
  <c r="AB237" i="30"/>
  <c r="AB235" i="30"/>
  <c r="AB233" i="30"/>
  <c r="Z252" i="30"/>
  <c r="AB231" i="30"/>
  <c r="AB129" i="30"/>
  <c r="AB219" i="30"/>
  <c r="Z348" i="30"/>
  <c r="Z83" i="30"/>
  <c r="Z86" i="30" s="1"/>
  <c r="Z129" i="30" s="1"/>
  <c r="AB64" i="30"/>
  <c r="Z344" i="30" s="1"/>
  <c r="AB42" i="30"/>
  <c r="T60" i="30"/>
  <c r="AB217" i="30"/>
  <c r="X295" i="30"/>
  <c r="Z73" i="29"/>
  <c r="AB66" i="30" l="1"/>
  <c r="Z346" i="30" s="1"/>
  <c r="Z345" i="30"/>
  <c r="AA291" i="30"/>
  <c r="AA293" i="30"/>
  <c r="AA287" i="30"/>
  <c r="AA307" i="30"/>
  <c r="AA288" i="30"/>
  <c r="AA292" i="30"/>
  <c r="AA286" i="30"/>
  <c r="AA290" i="30"/>
  <c r="Y307" i="30"/>
  <c r="Y290" i="30"/>
  <c r="Y288" i="30"/>
  <c r="Y293" i="30"/>
  <c r="Y291" i="30"/>
  <c r="Y287" i="30"/>
  <c r="Y289" i="30"/>
  <c r="Y292" i="30"/>
  <c r="Y286" i="30"/>
  <c r="AB163" i="29"/>
  <c r="AB161" i="29"/>
  <c r="AB112" i="29"/>
  <c r="AB90" i="29"/>
  <c r="AB75" i="29"/>
  <c r="AB74" i="29"/>
  <c r="Z72" i="29"/>
  <c r="X64" i="29"/>
  <c r="AB64" i="29" s="1"/>
  <c r="T57" i="29"/>
  <c r="AA295" i="30" l="1"/>
  <c r="Y295" i="30"/>
  <c r="Z217" i="29"/>
  <c r="Z219" i="29" s="1"/>
  <c r="Y217" i="29"/>
  <c r="AB209" i="29"/>
  <c r="AB201" i="29"/>
  <c r="AB204" i="29" s="1"/>
  <c r="AB193" i="29"/>
  <c r="AB185" i="29"/>
  <c r="AB177" i="29"/>
  <c r="AB180" i="29" s="1"/>
  <c r="AB160" i="29"/>
  <c r="AB148" i="29"/>
  <c r="AB157" i="29" s="1"/>
  <c r="AB137" i="29"/>
  <c r="AA341" i="29"/>
  <c r="Z341" i="29"/>
  <c r="Y341" i="29"/>
  <c r="X341" i="29"/>
  <c r="AA329" i="29"/>
  <c r="Z329" i="29"/>
  <c r="Y329" i="29"/>
  <c r="X329" i="29"/>
  <c r="AA319" i="29"/>
  <c r="Z319" i="29"/>
  <c r="Y319" i="29"/>
  <c r="X319" i="29"/>
  <c r="Z307" i="29"/>
  <c r="AA300" i="29" s="1"/>
  <c r="X307" i="29"/>
  <c r="Y302" i="29" s="1"/>
  <c r="Z293" i="29"/>
  <c r="X293" i="29"/>
  <c r="Z292" i="29"/>
  <c r="X292" i="29"/>
  <c r="Z291" i="29"/>
  <c r="X291" i="29"/>
  <c r="Z290" i="29"/>
  <c r="X290" i="29"/>
  <c r="Z289" i="29"/>
  <c r="X289" i="29"/>
  <c r="Z288" i="29"/>
  <c r="X288" i="29"/>
  <c r="Z287" i="29"/>
  <c r="X287" i="29"/>
  <c r="Z286" i="29"/>
  <c r="X286" i="29"/>
  <c r="Z272" i="29"/>
  <c r="Z273" i="29" s="1"/>
  <c r="Z270" i="29"/>
  <c r="Z269" i="29"/>
  <c r="Z268" i="29"/>
  <c r="Y268" i="29"/>
  <c r="Z267" i="29"/>
  <c r="Y267" i="29"/>
  <c r="Z248" i="29"/>
  <c r="AB226" i="29"/>
  <c r="AB218" i="29"/>
  <c r="Y219" i="29"/>
  <c r="Y216" i="29"/>
  <c r="AB212" i="29"/>
  <c r="AB210" i="29"/>
  <c r="AB203" i="29"/>
  <c r="AB195" i="29"/>
  <c r="AB194" i="29"/>
  <c r="AB187" i="29"/>
  <c r="AB188" i="29" s="1"/>
  <c r="AB179" i="29"/>
  <c r="AB172" i="29"/>
  <c r="AB170" i="29"/>
  <c r="AB169" i="29"/>
  <c r="AB147" i="29"/>
  <c r="AB143" i="29"/>
  <c r="AB144" i="29" s="1"/>
  <c r="AB136" i="29"/>
  <c r="B132" i="29"/>
  <c r="B243" i="29" s="1"/>
  <c r="B357" i="29" s="1"/>
  <c r="Z128" i="29"/>
  <c r="Z99" i="29"/>
  <c r="AB128" i="29"/>
  <c r="Z84" i="29"/>
  <c r="AB80" i="29"/>
  <c r="AB83" i="29" s="1"/>
  <c r="AB86" i="29" s="1"/>
  <c r="T69" i="29"/>
  <c r="Z71" i="29"/>
  <c r="AB63" i="29"/>
  <c r="Z60" i="29"/>
  <c r="X60" i="29"/>
  <c r="V60" i="29"/>
  <c r="R60" i="29"/>
  <c r="R66" i="29" s="1"/>
  <c r="P60" i="29"/>
  <c r="P66" i="29" s="1"/>
  <c r="AB58" i="29"/>
  <c r="AB57" i="29"/>
  <c r="AB60" i="29" s="1"/>
  <c r="X48" i="29"/>
  <c r="X47" i="29"/>
  <c r="AB41" i="29"/>
  <c r="P31" i="29"/>
  <c r="N31" i="29"/>
  <c r="L31" i="29"/>
  <c r="J31" i="29"/>
  <c r="H31" i="29"/>
  <c r="F31" i="29"/>
  <c r="AB31" i="29" s="1"/>
  <c r="P30" i="29"/>
  <c r="N30" i="29"/>
  <c r="L30" i="29"/>
  <c r="J30" i="29"/>
  <c r="H30" i="29"/>
  <c r="F30" i="29"/>
  <c r="AB30" i="29" s="1"/>
  <c r="Z250" i="29" s="1"/>
  <c r="AB29" i="29"/>
  <c r="AB163" i="28"/>
  <c r="AB161" i="28"/>
  <c r="AB196" i="29" l="1"/>
  <c r="AB171" i="29"/>
  <c r="Z348" i="29"/>
  <c r="Z295" i="29"/>
  <c r="AA299" i="29"/>
  <c r="AA301" i="29"/>
  <c r="AA302" i="29"/>
  <c r="Z343" i="29"/>
  <c r="AA303" i="29"/>
  <c r="AA304" i="29"/>
  <c r="AA305" i="29"/>
  <c r="AA298" i="29"/>
  <c r="Y303" i="29"/>
  <c r="Y299" i="29"/>
  <c r="X343" i="29"/>
  <c r="Y300" i="29"/>
  <c r="Y304" i="29"/>
  <c r="Y305" i="29"/>
  <c r="Y301" i="29"/>
  <c r="Y298" i="29"/>
  <c r="Y307" i="29" s="1"/>
  <c r="AB219" i="29"/>
  <c r="Z83" i="29"/>
  <c r="Z86" i="29" s="1"/>
  <c r="Z129" i="29" s="1"/>
  <c r="AA290" i="29"/>
  <c r="AA288" i="29"/>
  <c r="AA293" i="29"/>
  <c r="AA291" i="29"/>
  <c r="AA289" i="29"/>
  <c r="AA287" i="29"/>
  <c r="AA292" i="29"/>
  <c r="AA286" i="29"/>
  <c r="Y220" i="29"/>
  <c r="AB239" i="29"/>
  <c r="AB237" i="29"/>
  <c r="AB129" i="29"/>
  <c r="AB235" i="29"/>
  <c r="AB233" i="29"/>
  <c r="AB231" i="29"/>
  <c r="Z344" i="29"/>
  <c r="AB42" i="29"/>
  <c r="T60" i="29"/>
  <c r="AB217" i="29"/>
  <c r="Z262" i="29"/>
  <c r="X295" i="29"/>
  <c r="Y286" i="29" s="1"/>
  <c r="X64" i="28"/>
  <c r="AB35" i="28"/>
  <c r="AB35" i="27"/>
  <c r="Z345" i="29" l="1"/>
  <c r="AA307" i="29"/>
  <c r="Y288" i="29"/>
  <c r="Y293" i="29"/>
  <c r="Y291" i="29"/>
  <c r="Y289" i="29"/>
  <c r="Y287" i="29"/>
  <c r="Y290" i="29"/>
  <c r="AA295" i="29"/>
  <c r="Y292" i="29"/>
  <c r="AB66" i="29"/>
  <c r="Z346" i="29" s="1"/>
  <c r="AB64" i="28"/>
  <c r="AB112" i="28"/>
  <c r="AB90" i="28"/>
  <c r="AB75" i="28"/>
  <c r="AB74" i="28"/>
  <c r="Z73" i="28"/>
  <c r="Z72" i="28"/>
  <c r="T57" i="28"/>
  <c r="Y295" i="29" l="1"/>
  <c r="AB137" i="28"/>
  <c r="Z217" i="28" l="1"/>
  <c r="Z219" i="28" s="1"/>
  <c r="Y217" i="28"/>
  <c r="Y219" i="28" s="1"/>
  <c r="AB209" i="28"/>
  <c r="AB201" i="28"/>
  <c r="AB204" i="28" s="1"/>
  <c r="AB193" i="28"/>
  <c r="AB185" i="28"/>
  <c r="AB177" i="28"/>
  <c r="AB180" i="28" s="1"/>
  <c r="AB160" i="28"/>
  <c r="AB148" i="28"/>
  <c r="AB157" i="28" s="1"/>
  <c r="AA341" i="28"/>
  <c r="Z341" i="28"/>
  <c r="Z268" i="28" s="1"/>
  <c r="Y341" i="28"/>
  <c r="X341" i="28"/>
  <c r="AA329" i="28"/>
  <c r="Z329" i="28"/>
  <c r="Y329" i="28"/>
  <c r="X329" i="28"/>
  <c r="AA319" i="28"/>
  <c r="Z319" i="28"/>
  <c r="Y319" i="28"/>
  <c r="X319" i="28"/>
  <c r="X343" i="28" s="1"/>
  <c r="Z307" i="28"/>
  <c r="AA304" i="28" s="1"/>
  <c r="X307" i="28"/>
  <c r="Y302" i="28" s="1"/>
  <c r="Y305" i="28"/>
  <c r="Y304" i="28"/>
  <c r="Y303" i="28"/>
  <c r="Y301" i="28"/>
  <c r="Y300" i="28"/>
  <c r="Y299" i="28"/>
  <c r="Y298" i="28"/>
  <c r="Z293" i="28"/>
  <c r="X293" i="28"/>
  <c r="Z292" i="28"/>
  <c r="X292" i="28"/>
  <c r="Z291" i="28"/>
  <c r="X291" i="28"/>
  <c r="Y291" i="28" s="1"/>
  <c r="Z290" i="28"/>
  <c r="X290" i="28"/>
  <c r="Z289" i="28"/>
  <c r="X289" i="28"/>
  <c r="Z288" i="28"/>
  <c r="X288" i="28"/>
  <c r="Z287" i="28"/>
  <c r="X287" i="28"/>
  <c r="Z286" i="28"/>
  <c r="Z295" i="28" s="1"/>
  <c r="X286" i="28"/>
  <c r="X295" i="28" s="1"/>
  <c r="Z272" i="28"/>
  <c r="Z273" i="28" s="1"/>
  <c r="Z270" i="28"/>
  <c r="Z269" i="28"/>
  <c r="Y268" i="28"/>
  <c r="Z267" i="28"/>
  <c r="Z248" i="28"/>
  <c r="AB226" i="28"/>
  <c r="AB218" i="28"/>
  <c r="Y216" i="28"/>
  <c r="AB212" i="28"/>
  <c r="AB210" i="28"/>
  <c r="AB203" i="28"/>
  <c r="AB195" i="28"/>
  <c r="AB194" i="28"/>
  <c r="AB188" i="28"/>
  <c r="AB187" i="28"/>
  <c r="AB179" i="28"/>
  <c r="AB172" i="28"/>
  <c r="AB170" i="28"/>
  <c r="AB169" i="28"/>
  <c r="AB147" i="28"/>
  <c r="AB143" i="28"/>
  <c r="AB144" i="28" s="1"/>
  <c r="AB136" i="28"/>
  <c r="B132" i="28"/>
  <c r="B243" i="28" s="1"/>
  <c r="B357" i="28" s="1"/>
  <c r="AB128" i="28"/>
  <c r="Z128" i="28"/>
  <c r="Z99" i="28"/>
  <c r="Z84" i="28"/>
  <c r="AB80" i="28"/>
  <c r="AB83" i="28"/>
  <c r="AB86" i="28" s="1"/>
  <c r="T69" i="28"/>
  <c r="R66" i="28"/>
  <c r="P66" i="28"/>
  <c r="AB63" i="28"/>
  <c r="Z60" i="28"/>
  <c r="X60" i="28"/>
  <c r="V60" i="28"/>
  <c r="T60" i="28"/>
  <c r="R60" i="28"/>
  <c r="P60" i="28"/>
  <c r="AB58" i="28"/>
  <c r="AB57" i="28"/>
  <c r="AB60" i="28" s="1"/>
  <c r="Z262" i="28"/>
  <c r="X48" i="28"/>
  <c r="X47" i="28"/>
  <c r="AB41" i="28"/>
  <c r="P31" i="28"/>
  <c r="N31" i="28"/>
  <c r="L31" i="28"/>
  <c r="J31" i="28"/>
  <c r="H31" i="28"/>
  <c r="F31" i="28"/>
  <c r="P30" i="28"/>
  <c r="N30" i="28"/>
  <c r="L30" i="28"/>
  <c r="J30" i="28"/>
  <c r="H30" i="28"/>
  <c r="F30" i="28"/>
  <c r="AB30" i="28" s="1"/>
  <c r="Z250" i="28" s="1"/>
  <c r="Z251" i="28" s="1"/>
  <c r="AB29" i="28"/>
  <c r="Z73" i="27"/>
  <c r="Z73" i="26"/>
  <c r="AB196" i="28" l="1"/>
  <c r="AB171" i="28"/>
  <c r="Z344" i="28"/>
  <c r="AB66" i="28"/>
  <c r="Z346" i="28" s="1"/>
  <c r="AA290" i="28"/>
  <c r="AA291" i="28"/>
  <c r="AA287" i="28"/>
  <c r="AA288" i="28"/>
  <c r="AA293" i="28"/>
  <c r="Y288" i="28"/>
  <c r="Y307" i="28"/>
  <c r="AB237" i="28"/>
  <c r="AB235" i="28"/>
  <c r="AB233" i="28"/>
  <c r="AB231" i="28"/>
  <c r="AB129" i="28"/>
  <c r="AB239" i="28"/>
  <c r="Y289" i="28"/>
  <c r="Y292" i="28"/>
  <c r="Y220" i="28"/>
  <c r="AA289" i="28"/>
  <c r="AA292" i="28"/>
  <c r="AB219" i="28"/>
  <c r="Y287" i="28"/>
  <c r="Y290" i="28"/>
  <c r="Y293" i="28"/>
  <c r="AA286" i="28"/>
  <c r="AA299" i="28"/>
  <c r="AA302" i="28"/>
  <c r="AA305" i="28"/>
  <c r="Z343" i="28"/>
  <c r="Z345" i="28" s="1"/>
  <c r="AB217" i="28"/>
  <c r="Y267" i="28"/>
  <c r="AB42" i="28"/>
  <c r="AA300" i="28"/>
  <c r="AA303" i="28"/>
  <c r="Z71" i="28"/>
  <c r="AB31" i="28"/>
  <c r="Z348" i="28" s="1"/>
  <c r="Y286" i="28"/>
  <c r="AA298" i="28"/>
  <c r="AA301" i="28"/>
  <c r="AB204" i="27"/>
  <c r="AB201" i="27"/>
  <c r="AB163" i="27"/>
  <c r="AB90" i="27"/>
  <c r="AB74" i="27"/>
  <c r="AB75" i="27"/>
  <c r="T57" i="27"/>
  <c r="AB57" i="27"/>
  <c r="AB60" i="27" s="1"/>
  <c r="Z217" i="27"/>
  <c r="Y217" i="27"/>
  <c r="AB209" i="27"/>
  <c r="AB193" i="27"/>
  <c r="AB185" i="27"/>
  <c r="AB177" i="27"/>
  <c r="AB160" i="27"/>
  <c r="AB148" i="27"/>
  <c r="AB157" i="27" s="1"/>
  <c r="AB137" i="27"/>
  <c r="AA341" i="27"/>
  <c r="Z341" i="27"/>
  <c r="Y341" i="27"/>
  <c r="X341" i="27"/>
  <c r="AA329" i="27"/>
  <c r="Z329" i="27"/>
  <c r="Y329" i="27"/>
  <c r="X329" i="27"/>
  <c r="AA319" i="27"/>
  <c r="Z319" i="27"/>
  <c r="Y319" i="27"/>
  <c r="X319" i="27"/>
  <c r="Z307" i="27"/>
  <c r="AA304" i="27" s="1"/>
  <c r="X307" i="27"/>
  <c r="Y305" i="27" s="1"/>
  <c r="AA301" i="27"/>
  <c r="AA300" i="27"/>
  <c r="AA298" i="27"/>
  <c r="Z293" i="27"/>
  <c r="X293" i="27"/>
  <c r="Z292" i="27"/>
  <c r="X292" i="27"/>
  <c r="Z291" i="27"/>
  <c r="X291" i="27"/>
  <c r="Z290" i="27"/>
  <c r="X290" i="27"/>
  <c r="Z289" i="27"/>
  <c r="X289" i="27"/>
  <c r="Z288" i="27"/>
  <c r="X288" i="27"/>
  <c r="Z287" i="27"/>
  <c r="X287" i="27"/>
  <c r="Z286" i="27"/>
  <c r="X286" i="27"/>
  <c r="Z272" i="27"/>
  <c r="Z273" i="27" s="1"/>
  <c r="Z270" i="27"/>
  <c r="Z269" i="27"/>
  <c r="Z268" i="27"/>
  <c r="Y268" i="27"/>
  <c r="Z267" i="27"/>
  <c r="Y267" i="27"/>
  <c r="Z248" i="27"/>
  <c r="AB226" i="27"/>
  <c r="AB218" i="27"/>
  <c r="Z219" i="27"/>
  <c r="Y219" i="27"/>
  <c r="Y216" i="27"/>
  <c r="AB212" i="27"/>
  <c r="AB210" i="27"/>
  <c r="AB203" i="27"/>
  <c r="AB195" i="27"/>
  <c r="AB194" i="27"/>
  <c r="AB187" i="27"/>
  <c r="AB188" i="27" s="1"/>
  <c r="AB179" i="27"/>
  <c r="AB180" i="27"/>
  <c r="AB172" i="27"/>
  <c r="AB170" i="27"/>
  <c r="AB169" i="27"/>
  <c r="AB171" i="27" s="1"/>
  <c r="AB147" i="27"/>
  <c r="AB143" i="27"/>
  <c r="AB136" i="27"/>
  <c r="B132" i="27"/>
  <c r="B243" i="27" s="1"/>
  <c r="B357" i="27" s="1"/>
  <c r="Z128" i="27"/>
  <c r="AB112" i="27"/>
  <c r="AB128" i="27" s="1"/>
  <c r="Z99" i="27"/>
  <c r="Z84" i="27"/>
  <c r="AB80" i="27"/>
  <c r="T69" i="27"/>
  <c r="X64" i="27"/>
  <c r="Z71" i="27" s="1"/>
  <c r="AB63" i="27"/>
  <c r="Z60" i="27"/>
  <c r="X60" i="27"/>
  <c r="V60" i="27"/>
  <c r="R60" i="27"/>
  <c r="R66" i="27" s="1"/>
  <c r="P60" i="27"/>
  <c r="P66" i="27" s="1"/>
  <c r="AB58" i="27"/>
  <c r="X48" i="27"/>
  <c r="X47" i="27"/>
  <c r="AB41" i="27"/>
  <c r="P31" i="27"/>
  <c r="N31" i="27"/>
  <c r="L31" i="27"/>
  <c r="J31" i="27"/>
  <c r="H31" i="27"/>
  <c r="F31" i="27"/>
  <c r="P30" i="27"/>
  <c r="N30" i="27"/>
  <c r="L30" i="27"/>
  <c r="J30" i="27"/>
  <c r="H30" i="27"/>
  <c r="F30" i="27"/>
  <c r="AB30" i="27" s="1"/>
  <c r="Z250" i="27" s="1"/>
  <c r="Z251" i="27" s="1"/>
  <c r="AB29" i="27"/>
  <c r="AB112" i="26"/>
  <c r="AB90" i="26"/>
  <c r="AB75" i="26"/>
  <c r="AB74" i="26"/>
  <c r="Z83" i="28" l="1"/>
  <c r="Z86" i="28" s="1"/>
  <c r="Z129" i="28" s="1"/>
  <c r="AA307" i="28"/>
  <c r="Y295" i="28"/>
  <c r="AA295" i="28"/>
  <c r="AB196" i="27"/>
  <c r="AB83" i="27"/>
  <c r="AB86" i="27" s="1"/>
  <c r="AB237" i="27" s="1"/>
  <c r="AB31" i="27"/>
  <c r="Z348" i="27"/>
  <c r="Y298" i="27"/>
  <c r="Y302" i="27"/>
  <c r="Z343" i="27"/>
  <c r="AA305" i="27"/>
  <c r="AA302" i="27"/>
  <c r="Z295" i="27"/>
  <c r="AA291" i="27" s="1"/>
  <c r="AA299" i="27"/>
  <c r="AA303" i="27"/>
  <c r="AA307" i="27" s="1"/>
  <c r="AB144" i="27"/>
  <c r="AA293" i="27"/>
  <c r="AA290" i="27"/>
  <c r="AA288" i="27"/>
  <c r="Y220" i="27"/>
  <c r="AB219" i="27"/>
  <c r="Z72" i="27"/>
  <c r="Z83" i="27" s="1"/>
  <c r="Z86" i="27" s="1"/>
  <c r="Z129" i="27" s="1"/>
  <c r="AB64" i="27"/>
  <c r="Z344" i="27" s="1"/>
  <c r="Z345" i="27" s="1"/>
  <c r="AB161" i="27"/>
  <c r="X343" i="27"/>
  <c r="AB42" i="27"/>
  <c r="T60" i="27"/>
  <c r="AB217" i="27"/>
  <c r="Y299" i="27"/>
  <c r="Y303" i="27"/>
  <c r="Z262" i="27"/>
  <c r="X295" i="27"/>
  <c r="Y287" i="27" s="1"/>
  <c r="Y300" i="27"/>
  <c r="Y304" i="27"/>
  <c r="Y301" i="27"/>
  <c r="T57" i="26"/>
  <c r="AB31" i="26"/>
  <c r="AB30" i="26"/>
  <c r="AB239" i="27" l="1"/>
  <c r="AB129" i="27"/>
  <c r="AB233" i="27"/>
  <c r="AB235" i="27"/>
  <c r="AB231" i="27"/>
  <c r="Y307" i="27"/>
  <c r="AA287" i="27"/>
  <c r="AA292" i="27"/>
  <c r="AA289" i="27"/>
  <c r="AA286" i="27"/>
  <c r="AA295" i="27"/>
  <c r="Y293" i="27"/>
  <c r="Y290" i="27"/>
  <c r="Y288" i="27"/>
  <c r="Y289" i="27"/>
  <c r="Y291" i="27"/>
  <c r="Y286" i="27"/>
  <c r="AB66" i="27"/>
  <c r="Z346" i="27" s="1"/>
  <c r="Y292" i="27"/>
  <c r="Z273" i="26"/>
  <c r="Z217" i="26"/>
  <c r="AB217" i="26" s="1"/>
  <c r="Y217" i="26"/>
  <c r="AB209" i="26"/>
  <c r="AB201" i="26"/>
  <c r="AB193" i="26"/>
  <c r="AB185" i="26"/>
  <c r="AB177" i="26"/>
  <c r="AB180" i="26" s="1"/>
  <c r="AB160" i="26"/>
  <c r="AB148" i="26"/>
  <c r="AB157" i="26" s="1"/>
  <c r="AB137" i="26"/>
  <c r="AA341" i="26"/>
  <c r="Z341" i="26"/>
  <c r="Y341" i="26"/>
  <c r="X341" i="26"/>
  <c r="Y268" i="26" s="1"/>
  <c r="AA329" i="26"/>
  <c r="Z329" i="26"/>
  <c r="Y329" i="26"/>
  <c r="X329" i="26"/>
  <c r="AA319" i="26"/>
  <c r="Z319" i="26"/>
  <c r="Y319" i="26"/>
  <c r="X319" i="26"/>
  <c r="Z307" i="26"/>
  <c r="AA304" i="26" s="1"/>
  <c r="X307" i="26"/>
  <c r="Y305" i="26" s="1"/>
  <c r="AA305" i="26"/>
  <c r="AA302" i="26"/>
  <c r="AA299" i="26"/>
  <c r="Z293" i="26"/>
  <c r="X293" i="26"/>
  <c r="Z292" i="26"/>
  <c r="X292" i="26"/>
  <c r="Z291" i="26"/>
  <c r="X291" i="26"/>
  <c r="Z290" i="26"/>
  <c r="X290" i="26"/>
  <c r="Z289" i="26"/>
  <c r="X289" i="26"/>
  <c r="Z288" i="26"/>
  <c r="X288" i="26"/>
  <c r="Z287" i="26"/>
  <c r="X287" i="26"/>
  <c r="Z286" i="26"/>
  <c r="Z295" i="26" s="1"/>
  <c r="X286" i="26"/>
  <c r="Z272" i="26"/>
  <c r="Z270" i="26"/>
  <c r="Z269" i="26"/>
  <c r="Z268" i="26"/>
  <c r="Z267" i="26"/>
  <c r="Y267" i="26"/>
  <c r="Z262" i="26"/>
  <c r="Z248" i="26"/>
  <c r="AB226" i="26"/>
  <c r="AB218" i="26"/>
  <c r="Y216" i="26"/>
  <c r="AB210" i="26"/>
  <c r="AB212" i="26" s="1"/>
  <c r="AB203" i="26"/>
  <c r="AB195" i="26"/>
  <c r="AB194" i="26"/>
  <c r="AB187" i="26"/>
  <c r="AB188" i="26" s="1"/>
  <c r="AB179" i="26"/>
  <c r="AB172" i="26"/>
  <c r="AB170" i="26"/>
  <c r="AB169" i="26"/>
  <c r="AB171" i="26" s="1"/>
  <c r="AB147" i="26"/>
  <c r="AB143" i="26"/>
  <c r="AB144" i="26" s="1"/>
  <c r="AB136" i="26"/>
  <c r="B132" i="26"/>
  <c r="B243" i="26" s="1"/>
  <c r="B357" i="26" s="1"/>
  <c r="Z128" i="26"/>
  <c r="Z99" i="26"/>
  <c r="AB128" i="26"/>
  <c r="Z84" i="26"/>
  <c r="AB83" i="26"/>
  <c r="AB86" i="26" s="1"/>
  <c r="AB80" i="26"/>
  <c r="T69" i="26"/>
  <c r="R66" i="26"/>
  <c r="X64" i="26"/>
  <c r="Z71" i="26" s="1"/>
  <c r="AB63" i="26"/>
  <c r="Z60" i="26"/>
  <c r="X60" i="26"/>
  <c r="V60" i="26"/>
  <c r="R60" i="26"/>
  <c r="P60" i="26"/>
  <c r="P66" i="26" s="1"/>
  <c r="AB58" i="26"/>
  <c r="T60" i="26"/>
  <c r="X48" i="26"/>
  <c r="X47" i="26"/>
  <c r="AB41" i="26"/>
  <c r="P31" i="26"/>
  <c r="N31" i="26"/>
  <c r="L31" i="26"/>
  <c r="J31" i="26"/>
  <c r="H31" i="26"/>
  <c r="F31" i="26"/>
  <c r="AB42" i="26" s="1"/>
  <c r="P30" i="26"/>
  <c r="N30" i="26"/>
  <c r="L30" i="26"/>
  <c r="J30" i="26"/>
  <c r="H30" i="26"/>
  <c r="F30" i="26"/>
  <c r="AB29" i="26"/>
  <c r="AB195" i="25"/>
  <c r="AB194" i="25"/>
  <c r="Y295" i="27" l="1"/>
  <c r="AB204" i="26"/>
  <c r="AB35" i="26"/>
  <c r="Z250" i="26" s="1"/>
  <c r="Z251" i="26" s="1"/>
  <c r="AA301" i="26"/>
  <c r="AA298" i="26"/>
  <c r="AA303" i="26"/>
  <c r="Y300" i="26"/>
  <c r="X295" i="26"/>
  <c r="Y287" i="26" s="1"/>
  <c r="Z343" i="26"/>
  <c r="AA300" i="26"/>
  <c r="AA307" i="26" s="1"/>
  <c r="Y304" i="26"/>
  <c r="Y298" i="26"/>
  <c r="Y289" i="26"/>
  <c r="Y291" i="26"/>
  <c r="Y302" i="26"/>
  <c r="Z219" i="26"/>
  <c r="AB196" i="26"/>
  <c r="Y288" i="26"/>
  <c r="Y290" i="26"/>
  <c r="Z72" i="26"/>
  <c r="Z83" i="26" s="1"/>
  <c r="Z86" i="26" s="1"/>
  <c r="Z129" i="26" s="1"/>
  <c r="AA292" i="26"/>
  <c r="AA290" i="26"/>
  <c r="AA287" i="26"/>
  <c r="AA293" i="26"/>
  <c r="AA291" i="26"/>
  <c r="AA289" i="26"/>
  <c r="AA288" i="26"/>
  <c r="AA286" i="26"/>
  <c r="AB235" i="26"/>
  <c r="Y219" i="26"/>
  <c r="AB237" i="26"/>
  <c r="AB161" i="26"/>
  <c r="AB163" i="26" s="1"/>
  <c r="AB231" i="26"/>
  <c r="AB239" i="26"/>
  <c r="Y286" i="26"/>
  <c r="Z348" i="26"/>
  <c r="AB129" i="26"/>
  <c r="X343" i="26"/>
  <c r="AB64" i="26"/>
  <c r="Z344" i="26" s="1"/>
  <c r="AB57" i="26"/>
  <c r="AB60" i="26" s="1"/>
  <c r="AB233" i="26"/>
  <c r="Y299" i="26"/>
  <c r="Y301" i="26"/>
  <c r="Y303" i="26"/>
  <c r="AB112" i="25"/>
  <c r="AB91" i="25"/>
  <c r="AB90" i="25"/>
  <c r="AB74" i="25"/>
  <c r="AB219" i="26" l="1"/>
  <c r="Z345" i="26"/>
  <c r="Y293" i="26"/>
  <c r="Y307" i="26"/>
  <c r="Y292" i="26"/>
  <c r="Y295" i="26" s="1"/>
  <c r="Y220" i="26"/>
  <c r="AB66" i="26"/>
  <c r="Z346" i="26" s="1"/>
  <c r="AA295" i="26"/>
  <c r="T57" i="25"/>
  <c r="Z73" i="25" s="1"/>
  <c r="Z217" i="25" l="1"/>
  <c r="Y217" i="25"/>
  <c r="Y219" i="25" s="1"/>
  <c r="AB209" i="25"/>
  <c r="AB201" i="25"/>
  <c r="AB193" i="25"/>
  <c r="AB185" i="25"/>
  <c r="AB177" i="25"/>
  <c r="AB160" i="25"/>
  <c r="AB148" i="25"/>
  <c r="AB137" i="25"/>
  <c r="AA341" i="25"/>
  <c r="Z341" i="25"/>
  <c r="Z268" i="25" s="1"/>
  <c r="Y341" i="25"/>
  <c r="X341" i="25"/>
  <c r="Y268" i="25" s="1"/>
  <c r="AA329" i="25"/>
  <c r="Z329" i="25"/>
  <c r="Y329" i="25"/>
  <c r="X329" i="25"/>
  <c r="AA319" i="25"/>
  <c r="Z319" i="25"/>
  <c r="Z267" i="25" s="1"/>
  <c r="Y319" i="25"/>
  <c r="X319" i="25"/>
  <c r="Y267" i="25" s="1"/>
  <c r="Z307" i="25"/>
  <c r="AA304" i="25" s="1"/>
  <c r="X307" i="25"/>
  <c r="Y305" i="25" s="1"/>
  <c r="AA301" i="25"/>
  <c r="Z293" i="25"/>
  <c r="X293" i="25"/>
  <c r="Z292" i="25"/>
  <c r="X292" i="25"/>
  <c r="Z291" i="25"/>
  <c r="X291" i="25"/>
  <c r="Z290" i="25"/>
  <c r="X290" i="25"/>
  <c r="Z289" i="25"/>
  <c r="X289" i="25"/>
  <c r="Z288" i="25"/>
  <c r="X288" i="25"/>
  <c r="Z287" i="25"/>
  <c r="X287" i="25"/>
  <c r="Z286" i="25"/>
  <c r="X286" i="25"/>
  <c r="Z272" i="25"/>
  <c r="Z273" i="25" s="1"/>
  <c r="Z270" i="25"/>
  <c r="Z269" i="25"/>
  <c r="Z262" i="25"/>
  <c r="Z248" i="25"/>
  <c r="AB226" i="25"/>
  <c r="AB218" i="25"/>
  <c r="Z219" i="25"/>
  <c r="Y216" i="25"/>
  <c r="AB212" i="25"/>
  <c r="AB210" i="25"/>
  <c r="AB203" i="25"/>
  <c r="AB187" i="25"/>
  <c r="AB188" i="25" s="1"/>
  <c r="AB179" i="25"/>
  <c r="AB172" i="25"/>
  <c r="AB170" i="25"/>
  <c r="AB169" i="25"/>
  <c r="AB157" i="25"/>
  <c r="AB147" i="25"/>
  <c r="AB143" i="25"/>
  <c r="AB136" i="25"/>
  <c r="B132" i="25"/>
  <c r="B243" i="25" s="1"/>
  <c r="B357" i="25" s="1"/>
  <c r="Z128" i="25"/>
  <c r="Z99" i="25"/>
  <c r="AB128" i="25"/>
  <c r="Z84" i="25"/>
  <c r="AB80" i="25"/>
  <c r="AB83" i="25" s="1"/>
  <c r="AB86" i="25" s="1"/>
  <c r="T69" i="25"/>
  <c r="X64" i="25"/>
  <c r="AB161" i="25" s="1"/>
  <c r="AB63" i="25"/>
  <c r="Z60" i="25"/>
  <c r="X60" i="25"/>
  <c r="V60" i="25"/>
  <c r="T60" i="25"/>
  <c r="R60" i="25"/>
  <c r="R66" i="25" s="1"/>
  <c r="P60" i="25"/>
  <c r="P66" i="25" s="1"/>
  <c r="AB58" i="25"/>
  <c r="AB57" i="25"/>
  <c r="X48" i="25"/>
  <c r="X47" i="25"/>
  <c r="AB41" i="25"/>
  <c r="P31" i="25"/>
  <c r="N31" i="25"/>
  <c r="L31" i="25"/>
  <c r="J31" i="25"/>
  <c r="H31" i="25"/>
  <c r="F31" i="25"/>
  <c r="P30" i="25"/>
  <c r="N30" i="25"/>
  <c r="L30" i="25"/>
  <c r="J30" i="25"/>
  <c r="H30" i="25"/>
  <c r="F30" i="25"/>
  <c r="AB29" i="25"/>
  <c r="AB195" i="24"/>
  <c r="Y298" i="25" l="1"/>
  <c r="AB30" i="25"/>
  <c r="AB35" i="25" s="1"/>
  <c r="Z250" i="25" s="1"/>
  <c r="Z251" i="25" s="1"/>
  <c r="AA299" i="25"/>
  <c r="Y303" i="25"/>
  <c r="Y304" i="25"/>
  <c r="Y300" i="25"/>
  <c r="AB180" i="25"/>
  <c r="AB31" i="25"/>
  <c r="Z348" i="25" s="1"/>
  <c r="Y301" i="25"/>
  <c r="X343" i="25"/>
  <c r="AB60" i="25"/>
  <c r="Y302" i="25"/>
  <c r="Z343" i="25"/>
  <c r="Z295" i="25"/>
  <c r="AA287" i="25" s="1"/>
  <c r="Y299" i="25"/>
  <c r="AB144" i="25"/>
  <c r="AB171" i="25"/>
  <c r="Z71" i="25"/>
  <c r="Z72" i="25" s="1"/>
  <c r="Z83" i="25" s="1"/>
  <c r="Z86" i="25" s="1"/>
  <c r="Z129" i="25" s="1"/>
  <c r="AB217" i="25"/>
  <c r="Y220" i="25"/>
  <c r="AB204" i="25"/>
  <c r="AB196" i="25"/>
  <c r="AB163" i="25"/>
  <c r="AA288" i="25"/>
  <c r="AB219" i="25"/>
  <c r="AB239" i="25"/>
  <c r="AB231" i="25"/>
  <c r="AB237" i="25"/>
  <c r="AB235" i="25"/>
  <c r="AB129" i="25"/>
  <c r="AB233" i="25"/>
  <c r="AB42" i="25"/>
  <c r="AA286" i="25"/>
  <c r="AA303" i="25"/>
  <c r="AA305" i="25"/>
  <c r="X295" i="25"/>
  <c r="Y293" i="25" s="1"/>
  <c r="AB64" i="25"/>
  <c r="Z344" i="25" s="1"/>
  <c r="Z345" i="25" s="1"/>
  <c r="AA298" i="25"/>
  <c r="AA300" i="25"/>
  <c r="AA302" i="25"/>
  <c r="Z73" i="24"/>
  <c r="Z71" i="24"/>
  <c r="AB64" i="24"/>
  <c r="Y307" i="25" l="1"/>
  <c r="AA293" i="25"/>
  <c r="AA295" i="25" s="1"/>
  <c r="AA291" i="25"/>
  <c r="AA289" i="25"/>
  <c r="AA292" i="25"/>
  <c r="AA290" i="25"/>
  <c r="Y286" i="25"/>
  <c r="Y291" i="25"/>
  <c r="Y289" i="25"/>
  <c r="Y292" i="25"/>
  <c r="Y290" i="25"/>
  <c r="AA307" i="25"/>
  <c r="Y287" i="25"/>
  <c r="Y288" i="25"/>
  <c r="AB66" i="25"/>
  <c r="Z346" i="25" s="1"/>
  <c r="AB35" i="24"/>
  <c r="Y295" i="25" l="1"/>
  <c r="AB112" i="24"/>
  <c r="AB90" i="24"/>
  <c r="AB75" i="24"/>
  <c r="AB74" i="24"/>
  <c r="T57" i="24"/>
  <c r="Z217" i="24" l="1"/>
  <c r="Y217" i="24"/>
  <c r="Y219" i="24" s="1"/>
  <c r="AB209" i="24"/>
  <c r="AB201" i="24"/>
  <c r="AB193" i="24"/>
  <c r="AB185" i="24"/>
  <c r="AB177" i="24"/>
  <c r="AB160" i="24"/>
  <c r="AB148" i="24"/>
  <c r="AB137" i="24"/>
  <c r="AA341" i="24"/>
  <c r="Z341" i="24"/>
  <c r="Y341" i="24"/>
  <c r="X341" i="24"/>
  <c r="Y268" i="24" s="1"/>
  <c r="AA329" i="24"/>
  <c r="Z329" i="24"/>
  <c r="Y329" i="24"/>
  <c r="X329" i="24"/>
  <c r="AA319" i="24"/>
  <c r="Z319" i="24"/>
  <c r="Y319" i="24"/>
  <c r="X319" i="24"/>
  <c r="Y267" i="24" s="1"/>
  <c r="Z307" i="24"/>
  <c r="AA305" i="24" s="1"/>
  <c r="X307" i="24"/>
  <c r="Y302" i="24" s="1"/>
  <c r="Y304" i="24"/>
  <c r="Y303" i="24"/>
  <c r="AA300" i="24"/>
  <c r="Y300" i="24"/>
  <c r="Y299" i="24"/>
  <c r="AA298" i="24"/>
  <c r="Y298" i="24"/>
  <c r="Z293" i="24"/>
  <c r="X293" i="24"/>
  <c r="Z292" i="24"/>
  <c r="X292" i="24"/>
  <c r="Z291" i="24"/>
  <c r="X291" i="24"/>
  <c r="Z290" i="24"/>
  <c r="X290" i="24"/>
  <c r="Z289" i="24"/>
  <c r="X289" i="24"/>
  <c r="Z288" i="24"/>
  <c r="X288" i="24"/>
  <c r="Z287" i="24"/>
  <c r="X287" i="24"/>
  <c r="Z286" i="24"/>
  <c r="X286" i="24"/>
  <c r="Z272" i="24"/>
  <c r="Z273" i="24" s="1"/>
  <c r="Z270" i="24"/>
  <c r="Z269" i="24"/>
  <c r="Z268" i="24"/>
  <c r="Z267" i="24"/>
  <c r="Z248" i="24"/>
  <c r="AB226" i="24"/>
  <c r="AB218" i="24"/>
  <c r="Z219" i="24"/>
  <c r="Y216" i="24"/>
  <c r="AB210" i="24"/>
  <c r="AB212" i="24" s="1"/>
  <c r="AB203" i="24"/>
  <c r="AB204" i="24" s="1"/>
  <c r="AB194" i="24"/>
  <c r="AB187" i="24"/>
  <c r="AB188" i="24" s="1"/>
  <c r="AB179" i="24"/>
  <c r="AB172" i="24"/>
  <c r="AB170" i="24"/>
  <c r="AB169" i="24"/>
  <c r="AB157" i="24"/>
  <c r="AB147" i="24"/>
  <c r="AB143" i="24"/>
  <c r="AB136" i="24"/>
  <c r="B132" i="24"/>
  <c r="B243" i="24" s="1"/>
  <c r="B357" i="24" s="1"/>
  <c r="Z128" i="24"/>
  <c r="Z99" i="24"/>
  <c r="AB128" i="24"/>
  <c r="Z84" i="24"/>
  <c r="AB80" i="24"/>
  <c r="T69" i="24"/>
  <c r="X64" i="24"/>
  <c r="AB161" i="24" s="1"/>
  <c r="AB63" i="24"/>
  <c r="Z60" i="24"/>
  <c r="X60" i="24"/>
  <c r="V60" i="24"/>
  <c r="R60" i="24"/>
  <c r="R66" i="24" s="1"/>
  <c r="P60" i="24"/>
  <c r="P66" i="24" s="1"/>
  <c r="AB58" i="24"/>
  <c r="Z262" i="24"/>
  <c r="X48" i="24"/>
  <c r="X47" i="24"/>
  <c r="AB41" i="24"/>
  <c r="P31" i="24"/>
  <c r="N31" i="24"/>
  <c r="L31" i="24"/>
  <c r="J31" i="24"/>
  <c r="H31" i="24"/>
  <c r="F31" i="24"/>
  <c r="P30" i="24"/>
  <c r="N30" i="24"/>
  <c r="L30" i="24"/>
  <c r="J30" i="24"/>
  <c r="H30" i="24"/>
  <c r="F30" i="24"/>
  <c r="AB29" i="24"/>
  <c r="X358" i="23"/>
  <c r="AB180" i="24" l="1"/>
  <c r="AB171" i="24"/>
  <c r="X295" i="24"/>
  <c r="Y301" i="24"/>
  <c r="AB219" i="24"/>
  <c r="Y305" i="24"/>
  <c r="Y307" i="24" s="1"/>
  <c r="AB83" i="24"/>
  <c r="AB86" i="24" s="1"/>
  <c r="AB237" i="24" s="1"/>
  <c r="AB144" i="24"/>
  <c r="AB31" i="24"/>
  <c r="Z348" i="24" s="1"/>
  <c r="AB196" i="24"/>
  <c r="AB30" i="24"/>
  <c r="Z250" i="24" s="1"/>
  <c r="Z251" i="24" s="1"/>
  <c r="AA304" i="24"/>
  <c r="AA299" i="24"/>
  <c r="AA302" i="24"/>
  <c r="Z343" i="24"/>
  <c r="X343" i="24"/>
  <c r="Y293" i="24"/>
  <c r="Y292" i="24"/>
  <c r="Y291" i="24"/>
  <c r="Y290" i="24"/>
  <c r="Y289" i="24"/>
  <c r="Y288" i="24"/>
  <c r="Y287" i="24"/>
  <c r="Y286" i="24"/>
  <c r="AB163" i="24"/>
  <c r="Y220" i="24"/>
  <c r="AB42" i="24"/>
  <c r="AB57" i="24"/>
  <c r="AB60" i="24" s="1"/>
  <c r="T60" i="24"/>
  <c r="AB217" i="24"/>
  <c r="Z295" i="24"/>
  <c r="AA292" i="24" s="1"/>
  <c r="AA301" i="24"/>
  <c r="AA303" i="24"/>
  <c r="Z344" i="24"/>
  <c r="AB201" i="22"/>
  <c r="AB129" i="24" l="1"/>
  <c r="AB233" i="24"/>
  <c r="AB231" i="24"/>
  <c r="AB235" i="24"/>
  <c r="AB239" i="24"/>
  <c r="Z345" i="24"/>
  <c r="AB66" i="24"/>
  <c r="Z346" i="24" s="1"/>
  <c r="AA287" i="24"/>
  <c r="AA290" i="24"/>
  <c r="AA307" i="24"/>
  <c r="AA289" i="24"/>
  <c r="Y295" i="24"/>
  <c r="AA288" i="24"/>
  <c r="Z72" i="24"/>
  <c r="Z83" i="24" s="1"/>
  <c r="Z86" i="24" s="1"/>
  <c r="Z129" i="24" s="1"/>
  <c r="AA293" i="24"/>
  <c r="AA286" i="24"/>
  <c r="AA291" i="24"/>
  <c r="AB35" i="23"/>
  <c r="AA295" i="24" l="1"/>
  <c r="AB160" i="23"/>
  <c r="AB112" i="23"/>
  <c r="AB90" i="23"/>
  <c r="AB74" i="23"/>
  <c r="Z73" i="23"/>
  <c r="T57" i="23"/>
  <c r="Z273" i="23"/>
  <c r="Z217" i="23"/>
  <c r="Z219" i="23" s="1"/>
  <c r="Y217" i="23"/>
  <c r="Y219" i="23" s="1"/>
  <c r="AB209" i="23"/>
  <c r="AB193" i="23"/>
  <c r="AB196" i="23" s="1"/>
  <c r="AB185" i="23"/>
  <c r="AB177" i="23"/>
  <c r="AB148" i="23"/>
  <c r="AB157" i="23" s="1"/>
  <c r="AB137" i="23"/>
  <c r="AB144" i="23" s="1"/>
  <c r="Z353" i="23"/>
  <c r="X353" i="23"/>
  <c r="AA341" i="23"/>
  <c r="Z341" i="23"/>
  <c r="Y341" i="23"/>
  <c r="X341" i="23"/>
  <c r="AA329" i="23"/>
  <c r="Z329" i="23"/>
  <c r="Y329" i="23"/>
  <c r="X329" i="23"/>
  <c r="AA319" i="23"/>
  <c r="Z319" i="23"/>
  <c r="Y319" i="23"/>
  <c r="X319" i="23"/>
  <c r="Z307" i="23"/>
  <c r="AA303" i="23" s="1"/>
  <c r="X307" i="23"/>
  <c r="Y305" i="23" s="1"/>
  <c r="Y304" i="23"/>
  <c r="Y302" i="23"/>
  <c r="Y298" i="23"/>
  <c r="Z293" i="23"/>
  <c r="X293" i="23"/>
  <c r="Z292" i="23"/>
  <c r="X292" i="23"/>
  <c r="Z291" i="23"/>
  <c r="X291" i="23"/>
  <c r="Z290" i="23"/>
  <c r="X290" i="23"/>
  <c r="Z289" i="23"/>
  <c r="X289" i="23"/>
  <c r="Z288" i="23"/>
  <c r="X288" i="23"/>
  <c r="Z287" i="23"/>
  <c r="X287" i="23"/>
  <c r="Z286" i="23"/>
  <c r="X286" i="23"/>
  <c r="X295" i="23" s="1"/>
  <c r="Z272" i="23"/>
  <c r="Z270" i="23"/>
  <c r="Z269" i="23"/>
  <c r="Z268" i="23"/>
  <c r="Y268" i="23"/>
  <c r="Z267" i="23"/>
  <c r="Y267" i="23"/>
  <c r="Z248" i="23"/>
  <c r="AB226" i="23"/>
  <c r="AB218" i="23"/>
  <c r="Y216" i="23"/>
  <c r="AB210" i="23"/>
  <c r="AB212" i="23" s="1"/>
  <c r="AB203" i="23"/>
  <c r="AB195" i="23"/>
  <c r="AB194" i="23"/>
  <c r="AB188" i="23"/>
  <c r="AB187" i="23"/>
  <c r="AB180" i="23"/>
  <c r="AB179" i="23"/>
  <c r="AB178" i="23"/>
  <c r="AB172" i="23"/>
  <c r="AB170" i="23"/>
  <c r="AB169" i="23"/>
  <c r="AB147" i="23"/>
  <c r="AB143" i="23"/>
  <c r="AB136" i="23"/>
  <c r="B132" i="23"/>
  <c r="B243" i="23" s="1"/>
  <c r="B374" i="23" s="1"/>
  <c r="Z128" i="23"/>
  <c r="Z99" i="23"/>
  <c r="AB128" i="23"/>
  <c r="Z84" i="23"/>
  <c r="AB80" i="23"/>
  <c r="AB83" i="23"/>
  <c r="AB86" i="23" s="1"/>
  <c r="T69" i="23"/>
  <c r="P66" i="23"/>
  <c r="X64" i="23"/>
  <c r="AB161" i="23" s="1"/>
  <c r="AB63" i="23"/>
  <c r="Z60" i="23"/>
  <c r="X60" i="23"/>
  <c r="V60" i="23"/>
  <c r="T60" i="23"/>
  <c r="R60" i="23"/>
  <c r="R66" i="23" s="1"/>
  <c r="P60" i="23"/>
  <c r="AB58" i="23"/>
  <c r="AB57" i="23"/>
  <c r="AB60" i="23" s="1"/>
  <c r="Z262" i="23"/>
  <c r="X48" i="23"/>
  <c r="X47" i="23"/>
  <c r="AB41" i="23"/>
  <c r="P31" i="23"/>
  <c r="N31" i="23"/>
  <c r="L31" i="23"/>
  <c r="J31" i="23"/>
  <c r="H31" i="23"/>
  <c r="F31" i="23"/>
  <c r="P30" i="23"/>
  <c r="N30" i="23"/>
  <c r="L30" i="23"/>
  <c r="J30" i="23"/>
  <c r="H30" i="23"/>
  <c r="F30" i="23"/>
  <c r="AB30" i="23" s="1"/>
  <c r="Z250" i="23" s="1"/>
  <c r="Z251" i="23" s="1"/>
  <c r="AB29" i="23"/>
  <c r="Y220" i="22"/>
  <c r="AB219" i="22"/>
  <c r="Z219" i="22"/>
  <c r="Y219" i="22"/>
  <c r="AB171" i="23" l="1"/>
  <c r="Z71" i="23"/>
  <c r="AB42" i="23"/>
  <c r="AA298" i="23"/>
  <c r="AA304" i="23"/>
  <c r="AA301" i="23"/>
  <c r="AA299" i="23"/>
  <c r="AA302" i="23"/>
  <c r="AA305" i="23"/>
  <c r="AA300" i="23"/>
  <c r="Z358" i="23"/>
  <c r="AA354" i="23" s="1"/>
  <c r="Y300" i="23"/>
  <c r="AB219" i="23"/>
  <c r="AB163" i="23"/>
  <c r="AA286" i="23"/>
  <c r="AB237" i="23"/>
  <c r="AB231" i="23"/>
  <c r="AB235" i="23"/>
  <c r="AB233" i="23"/>
  <c r="AB129" i="23"/>
  <c r="AB239" i="23"/>
  <c r="Y291" i="23"/>
  <c r="Y289" i="23"/>
  <c r="Y287" i="23"/>
  <c r="Y293" i="23"/>
  <c r="Y292" i="23"/>
  <c r="Y290" i="23"/>
  <c r="Y288" i="23"/>
  <c r="Y286" i="23"/>
  <c r="Y295" i="23" s="1"/>
  <c r="Z363" i="23"/>
  <c r="Y220" i="23"/>
  <c r="AA289" i="23"/>
  <c r="AB31" i="23"/>
  <c r="Z72" i="23"/>
  <c r="AB217" i="23"/>
  <c r="Z295" i="23"/>
  <c r="AA292" i="23" s="1"/>
  <c r="Y299" i="23"/>
  <c r="Y301" i="23"/>
  <c r="Y303" i="23"/>
  <c r="AA353" i="23"/>
  <c r="AB64" i="23"/>
  <c r="Z359" i="23" s="1"/>
  <c r="Y354" i="23"/>
  <c r="AB188" i="21"/>
  <c r="Z73" i="21"/>
  <c r="Z73" i="22"/>
  <c r="Z83" i="23" l="1"/>
  <c r="Z86" i="23" s="1"/>
  <c r="Z129" i="23" s="1"/>
  <c r="AA293" i="23"/>
  <c r="Z360" i="23"/>
  <c r="AA291" i="23"/>
  <c r="AA290" i="23"/>
  <c r="AA307" i="23"/>
  <c r="AA288" i="23"/>
  <c r="AB66" i="23"/>
  <c r="Z361" i="23" s="1"/>
  <c r="Y307" i="23"/>
  <c r="Y353" i="23"/>
  <c r="AA287" i="23"/>
  <c r="AB35" i="22"/>
  <c r="AA295" i="23" l="1"/>
  <c r="AB112" i="22"/>
  <c r="AB90" i="22"/>
  <c r="AB75" i="22"/>
  <c r="AB74" i="22"/>
  <c r="T57" i="22"/>
  <c r="Z273" i="22" l="1"/>
  <c r="Z217" i="22"/>
  <c r="Y217" i="22"/>
  <c r="AB209" i="22"/>
  <c r="AB193" i="22"/>
  <c r="AB196" i="22" s="1"/>
  <c r="AB185" i="22"/>
  <c r="AB177" i="22"/>
  <c r="AB160" i="22"/>
  <c r="AB148" i="22"/>
  <c r="AB157" i="22" s="1"/>
  <c r="AB137" i="22"/>
  <c r="AA356" i="22"/>
  <c r="Z353" i="22"/>
  <c r="AA355" i="22" s="1"/>
  <c r="X353" i="22"/>
  <c r="Y356" i="22" s="1"/>
  <c r="AA351" i="22"/>
  <c r="Y350" i="22"/>
  <c r="Y349" i="22"/>
  <c r="Y348" i="22"/>
  <c r="AA347" i="22"/>
  <c r="Y347" i="22"/>
  <c r="AA346" i="22"/>
  <c r="Y346" i="22"/>
  <c r="AA345" i="22"/>
  <c r="Y345" i="22"/>
  <c r="AA344" i="22"/>
  <c r="Y344" i="22"/>
  <c r="AA341" i="22"/>
  <c r="Z341" i="22"/>
  <c r="Y341" i="22"/>
  <c r="X341" i="22"/>
  <c r="AA329" i="22"/>
  <c r="Z329" i="22"/>
  <c r="Y329" i="22"/>
  <c r="X329" i="22"/>
  <c r="AA319" i="22"/>
  <c r="Z319" i="22"/>
  <c r="Y319" i="22"/>
  <c r="X319" i="22"/>
  <c r="Z307" i="22"/>
  <c r="AA301" i="22" s="1"/>
  <c r="X307" i="22"/>
  <c r="Y305" i="22"/>
  <c r="Y304" i="22"/>
  <c r="Y303" i="22"/>
  <c r="Y302" i="22"/>
  <c r="Y301" i="22"/>
  <c r="Y300" i="22"/>
  <c r="Y299" i="22"/>
  <c r="Y298" i="22"/>
  <c r="Y307" i="22" s="1"/>
  <c r="Z293" i="22"/>
  <c r="X293" i="22"/>
  <c r="Z292" i="22"/>
  <c r="X292" i="22"/>
  <c r="Z291" i="22"/>
  <c r="X291" i="22"/>
  <c r="Z290" i="22"/>
  <c r="X290" i="22"/>
  <c r="Z289" i="22"/>
  <c r="X289" i="22"/>
  <c r="Z288" i="22"/>
  <c r="X288" i="22"/>
  <c r="Z287" i="22"/>
  <c r="X287" i="22"/>
  <c r="Z286" i="22"/>
  <c r="Z295" i="22" s="1"/>
  <c r="X286" i="22"/>
  <c r="X295" i="22" s="1"/>
  <c r="Z272" i="22"/>
  <c r="Z270" i="22"/>
  <c r="Z269" i="22"/>
  <c r="Z268" i="22"/>
  <c r="Y268" i="22"/>
  <c r="Z267" i="22"/>
  <c r="Y267" i="22"/>
  <c r="Z248" i="22"/>
  <c r="AB226" i="22"/>
  <c r="AB218" i="22"/>
  <c r="Y216" i="22"/>
  <c r="AB210" i="22"/>
  <c r="AB212" i="22" s="1"/>
  <c r="AB203" i="22"/>
  <c r="AB195" i="22"/>
  <c r="AB194" i="22"/>
  <c r="AB187" i="22"/>
  <c r="AB188" i="22" s="1"/>
  <c r="AB180" i="22"/>
  <c r="AB179" i="22"/>
  <c r="AB178" i="22"/>
  <c r="AB172" i="22"/>
  <c r="AB170" i="22"/>
  <c r="AB171" i="22" s="1"/>
  <c r="AB169" i="22"/>
  <c r="AB147" i="22"/>
  <c r="AB143" i="22"/>
  <c r="AB144" i="22"/>
  <c r="AB136" i="22"/>
  <c r="B132" i="22"/>
  <c r="B243" i="22" s="1"/>
  <c r="B374" i="22" s="1"/>
  <c r="Z128" i="22"/>
  <c r="Z99" i="22"/>
  <c r="AB128" i="22"/>
  <c r="Z84" i="22"/>
  <c r="AB80" i="22"/>
  <c r="AB83" i="22"/>
  <c r="AB86" i="22" s="1"/>
  <c r="T69" i="22"/>
  <c r="P66" i="22"/>
  <c r="X64" i="22"/>
  <c r="AB161" i="22" s="1"/>
  <c r="AB163" i="22" s="1"/>
  <c r="AB63" i="22"/>
  <c r="Z60" i="22"/>
  <c r="X60" i="22"/>
  <c r="V60" i="22"/>
  <c r="R60" i="22"/>
  <c r="R66" i="22" s="1"/>
  <c r="P60" i="22"/>
  <c r="AB58" i="22"/>
  <c r="T60" i="22"/>
  <c r="X48" i="22"/>
  <c r="X47" i="22"/>
  <c r="AB41" i="22"/>
  <c r="P31" i="22"/>
  <c r="N31" i="22"/>
  <c r="L31" i="22"/>
  <c r="J31" i="22"/>
  <c r="H31" i="22"/>
  <c r="F31" i="22"/>
  <c r="AB42" i="22" s="1"/>
  <c r="P30" i="22"/>
  <c r="N30" i="22"/>
  <c r="L30" i="22"/>
  <c r="J30" i="22"/>
  <c r="H30" i="22"/>
  <c r="F30" i="22"/>
  <c r="AB29" i="22"/>
  <c r="Z71" i="22" l="1"/>
  <c r="Z72" i="22" s="1"/>
  <c r="AB64" i="22"/>
  <c r="Z359" i="22"/>
  <c r="Z360" i="22" s="1"/>
  <c r="AB30" i="22"/>
  <c r="Z250" i="22" s="1"/>
  <c r="Z251" i="22" s="1"/>
  <c r="AA349" i="22"/>
  <c r="AA348" i="22"/>
  <c r="AA353" i="22" s="1"/>
  <c r="AA350" i="22"/>
  <c r="Y351" i="22"/>
  <c r="Y353" i="22" s="1"/>
  <c r="Y355" i="22"/>
  <c r="Z358" i="22"/>
  <c r="AA354" i="22" s="1"/>
  <c r="AA300" i="22"/>
  <c r="AA299" i="22"/>
  <c r="AA303" i="22"/>
  <c r="AA305" i="22"/>
  <c r="AA298" i="22"/>
  <c r="AA302" i="22"/>
  <c r="AA304" i="22"/>
  <c r="X358" i="22"/>
  <c r="Y293" i="22"/>
  <c r="Y292" i="22"/>
  <c r="Y291" i="22"/>
  <c r="Y290" i="22"/>
  <c r="Y289" i="22"/>
  <c r="Y288" i="22"/>
  <c r="Y287" i="22"/>
  <c r="Y286" i="22"/>
  <c r="AB237" i="22"/>
  <c r="AB235" i="22"/>
  <c r="AB233" i="22"/>
  <c r="AB129" i="22"/>
  <c r="AB239" i="22"/>
  <c r="AB231" i="22"/>
  <c r="AA293" i="22"/>
  <c r="AA292" i="22"/>
  <c r="AA291" i="22"/>
  <c r="AA290" i="22"/>
  <c r="AA289" i="22"/>
  <c r="AA288" i="22"/>
  <c r="AA287" i="22"/>
  <c r="AA286" i="22"/>
  <c r="AB31" i="22"/>
  <c r="Z363" i="22" s="1"/>
  <c r="Z83" i="22"/>
  <c r="Z86" i="22" s="1"/>
  <c r="Z129" i="22" s="1"/>
  <c r="AB217" i="22"/>
  <c r="Z262" i="22"/>
  <c r="AB57" i="22"/>
  <c r="AB60" i="22" s="1"/>
  <c r="Y354" i="22"/>
  <c r="AB128" i="21"/>
  <c r="AB109" i="21"/>
  <c r="AB66" i="22" l="1"/>
  <c r="Z361" i="22" s="1"/>
  <c r="AA307" i="22"/>
  <c r="AA295" i="22"/>
  <c r="Y295" i="22"/>
  <c r="AB143" i="21"/>
  <c r="AB112" i="21"/>
  <c r="AB90" i="21"/>
  <c r="AB75" i="21"/>
  <c r="AB74" i="21"/>
  <c r="T57" i="21"/>
  <c r="X47" i="21"/>
  <c r="P30" i="21" l="1"/>
  <c r="N30" i="21"/>
  <c r="L30" i="21"/>
  <c r="J30" i="21"/>
  <c r="H30" i="21"/>
  <c r="AB29" i="21"/>
  <c r="F30" i="21"/>
  <c r="F31" i="21"/>
  <c r="AB30" i="21" l="1"/>
  <c r="AB35" i="21" s="1"/>
  <c r="AB57" i="21"/>
  <c r="Z273" i="20" l="1"/>
  <c r="Z262" i="21"/>
  <c r="Z262" i="20"/>
  <c r="AB148" i="21" l="1"/>
  <c r="AB137" i="21"/>
  <c r="AB41" i="21"/>
  <c r="AB209" i="21" l="1"/>
  <c r="AB201" i="21"/>
  <c r="AB193" i="21"/>
  <c r="AB185" i="21"/>
  <c r="AB177" i="21"/>
  <c r="AB160" i="21"/>
  <c r="Z217" i="21"/>
  <c r="Z219" i="21" s="1"/>
  <c r="Y217" i="21"/>
  <c r="Z353" i="21"/>
  <c r="AA355" i="21" s="1"/>
  <c r="X353" i="21"/>
  <c r="Y356" i="21" s="1"/>
  <c r="Y351" i="21"/>
  <c r="AA345" i="21"/>
  <c r="Y345" i="21"/>
  <c r="AA341" i="21"/>
  <c r="Z341" i="21"/>
  <c r="Y341" i="21"/>
  <c r="X341" i="21"/>
  <c r="Y268" i="21" s="1"/>
  <c r="AA329" i="21"/>
  <c r="Z329" i="21"/>
  <c r="Y329" i="21"/>
  <c r="X329" i="21"/>
  <c r="AA319" i="21"/>
  <c r="Z319" i="21"/>
  <c r="Z267" i="21" s="1"/>
  <c r="Y319" i="21"/>
  <c r="X319" i="21"/>
  <c r="Y267" i="21" s="1"/>
  <c r="Z307" i="21"/>
  <c r="AA304" i="21" s="1"/>
  <c r="X307" i="21"/>
  <c r="Y301" i="21" s="1"/>
  <c r="Y305" i="21"/>
  <c r="Y304" i="21"/>
  <c r="Y303" i="21"/>
  <c r="Y302" i="21"/>
  <c r="Y300" i="21"/>
  <c r="Y299" i="21"/>
  <c r="Y298" i="21"/>
  <c r="Z293" i="21"/>
  <c r="X293" i="21"/>
  <c r="Z292" i="21"/>
  <c r="X292" i="21"/>
  <c r="Z291" i="21"/>
  <c r="X291" i="21"/>
  <c r="Z290" i="21"/>
  <c r="X290" i="21"/>
  <c r="Z289" i="21"/>
  <c r="X289" i="21"/>
  <c r="Z288" i="21"/>
  <c r="X288" i="21"/>
  <c r="Z287" i="21"/>
  <c r="X287" i="21"/>
  <c r="Z286" i="21"/>
  <c r="X286" i="21"/>
  <c r="Z272" i="21"/>
  <c r="Z273" i="21" s="1"/>
  <c r="Z270" i="21"/>
  <c r="Z269" i="21"/>
  <c r="Z268" i="21"/>
  <c r="AB226" i="21"/>
  <c r="Y219" i="21"/>
  <c r="AB218" i="21"/>
  <c r="Y216" i="21"/>
  <c r="AB210" i="21"/>
  <c r="AB212" i="21" s="1"/>
  <c r="AB203" i="21"/>
  <c r="AB204" i="21" s="1"/>
  <c r="AB195" i="21"/>
  <c r="AB194" i="21"/>
  <c r="AB187" i="21"/>
  <c r="AB179" i="21"/>
  <c r="AB178" i="21"/>
  <c r="AB172" i="21"/>
  <c r="AB170" i="21"/>
  <c r="AB169" i="21"/>
  <c r="AB171" i="21" s="1"/>
  <c r="AB157" i="21"/>
  <c r="AB147" i="21"/>
  <c r="AB144" i="21"/>
  <c r="AB136" i="21"/>
  <c r="B132" i="21"/>
  <c r="B243" i="21" s="1"/>
  <c r="B374" i="21" s="1"/>
  <c r="Z128" i="21"/>
  <c r="Z99" i="21"/>
  <c r="Z84" i="21"/>
  <c r="AB83" i="21"/>
  <c r="AB86" i="21" s="1"/>
  <c r="AB231" i="21" s="1"/>
  <c r="AB80" i="21"/>
  <c r="T69" i="21"/>
  <c r="X64" i="21"/>
  <c r="Z71" i="21" s="1"/>
  <c r="AB63" i="21"/>
  <c r="Z60" i="21"/>
  <c r="X60" i="21"/>
  <c r="V60" i="21"/>
  <c r="T60" i="21"/>
  <c r="R60" i="21"/>
  <c r="R66" i="21" s="1"/>
  <c r="P60" i="21"/>
  <c r="P66" i="21" s="1"/>
  <c r="AB58" i="21"/>
  <c r="AB60" i="21" s="1"/>
  <c r="X48" i="21"/>
  <c r="P31" i="21"/>
  <c r="N31" i="21"/>
  <c r="L31" i="21"/>
  <c r="J31" i="21"/>
  <c r="H31" i="21"/>
  <c r="Y347" i="21" l="1"/>
  <c r="AB31" i="21"/>
  <c r="Z363" i="21"/>
  <c r="AB42" i="21"/>
  <c r="Y349" i="21"/>
  <c r="Y307" i="21"/>
  <c r="AA346" i="21"/>
  <c r="X295" i="21"/>
  <c r="AA348" i="21"/>
  <c r="AA344" i="21"/>
  <c r="AA350" i="21"/>
  <c r="AA356" i="21"/>
  <c r="AA347" i="21"/>
  <c r="Y350" i="21"/>
  <c r="Y344" i="21"/>
  <c r="Y346" i="21"/>
  <c r="Y348" i="21"/>
  <c r="AA298" i="21"/>
  <c r="AA300" i="21"/>
  <c r="AA302" i="21"/>
  <c r="AA299" i="21"/>
  <c r="AA301" i="21"/>
  <c r="AA303" i="21"/>
  <c r="AA305" i="21"/>
  <c r="Z358" i="21"/>
  <c r="AA354" i="21" s="1"/>
  <c r="X358" i="21"/>
  <c r="AB196" i="21"/>
  <c r="AB180" i="21"/>
  <c r="AB217" i="21"/>
  <c r="AB219" i="21"/>
  <c r="Y220" i="21"/>
  <c r="Z250" i="21"/>
  <c r="Z251" i="21" s="1"/>
  <c r="Z248" i="21"/>
  <c r="AB239" i="21"/>
  <c r="AB237" i="21"/>
  <c r="AB233" i="21"/>
  <c r="AB235" i="21"/>
  <c r="AB129" i="21"/>
  <c r="Z72" i="21"/>
  <c r="Z83" i="21" s="1"/>
  <c r="Y292" i="21"/>
  <c r="Y289" i="21"/>
  <c r="Y293" i="21"/>
  <c r="Y290" i="21"/>
  <c r="Y287" i="21"/>
  <c r="Y291" i="21"/>
  <c r="Y288" i="21"/>
  <c r="Y286" i="21"/>
  <c r="AB64" i="21"/>
  <c r="Z359" i="21" s="1"/>
  <c r="AB161" i="21"/>
  <c r="AB163" i="21" s="1"/>
  <c r="Z295" i="21"/>
  <c r="AA291" i="21" s="1"/>
  <c r="Y355" i="21"/>
  <c r="AA349" i="21"/>
  <c r="AA351" i="21"/>
  <c r="Y354" i="21"/>
  <c r="AB41" i="20"/>
  <c r="Z86" i="21" l="1"/>
  <c r="Z129" i="21" s="1"/>
  <c r="AA353" i="21"/>
  <c r="Y353" i="21"/>
  <c r="AA290" i="21"/>
  <c r="AA289" i="21"/>
  <c r="AA292" i="21"/>
  <c r="Z360" i="21"/>
  <c r="AA307" i="21"/>
  <c r="AA286" i="21"/>
  <c r="AA287" i="21"/>
  <c r="AA288" i="21"/>
  <c r="AB66" i="21"/>
  <c r="Z361" i="21" s="1"/>
  <c r="Y295" i="21"/>
  <c r="AA293" i="21"/>
  <c r="AB29" i="20"/>
  <c r="AB35" i="20" s="1"/>
  <c r="P31" i="20"/>
  <c r="AA295" i="21" l="1"/>
  <c r="AB90" i="20"/>
  <c r="AB128" i="20" s="1"/>
  <c r="AB74" i="20"/>
  <c r="T57" i="20" l="1"/>
  <c r="Z73" i="20" s="1"/>
  <c r="AB210" i="20" l="1"/>
  <c r="AB212" i="20" s="1"/>
  <c r="X48" i="20" l="1"/>
  <c r="X64" i="20" l="1"/>
  <c r="F31" i="20" l="1"/>
  <c r="Y216" i="20" l="1"/>
  <c r="AB203" i="20"/>
  <c r="AB204" i="20" s="1"/>
  <c r="AB194" i="20"/>
  <c r="AB187" i="20"/>
  <c r="AB188" i="20" s="1"/>
  <c r="AB179" i="20"/>
  <c r="AB178" i="20"/>
  <c r="AB170" i="20"/>
  <c r="AB169" i="20"/>
  <c r="AB148" i="20"/>
  <c r="AB137" i="20"/>
  <c r="AB144" i="20" s="1"/>
  <c r="AB180" i="20" l="1"/>
  <c r="AB147" i="20" l="1"/>
  <c r="AB136" i="20"/>
  <c r="AB30" i="20"/>
  <c r="Z329" i="20" l="1"/>
  <c r="X329" i="20"/>
  <c r="AA329" i="20" l="1"/>
  <c r="Y329" i="20"/>
  <c r="AB64" i="20" l="1"/>
  <c r="Z353" i="20" l="1"/>
  <c r="X353" i="20"/>
  <c r="Y356" i="20" l="1"/>
  <c r="Y355" i="20"/>
  <c r="AA348" i="20"/>
  <c r="AA356" i="20"/>
  <c r="AA355" i="20"/>
  <c r="Y351" i="20"/>
  <c r="AA351" i="20"/>
  <c r="AA346" i="20"/>
  <c r="AA350" i="20"/>
  <c r="AA344" i="20"/>
  <c r="Y346" i="20"/>
  <c r="Y344" i="20"/>
  <c r="Y348" i="20"/>
  <c r="Y349" i="20"/>
  <c r="Y350" i="20"/>
  <c r="Y345" i="20"/>
  <c r="Y347" i="20"/>
  <c r="AA345" i="20"/>
  <c r="AA347" i="20"/>
  <c r="AA349" i="20"/>
  <c r="AA353" i="20" l="1"/>
  <c r="Y353" i="20"/>
  <c r="AB157" i="20" l="1"/>
  <c r="AA341" i="20"/>
  <c r="Z341" i="20"/>
  <c r="Z268" i="20" s="1"/>
  <c r="Y341" i="20"/>
  <c r="X341" i="20"/>
  <c r="Y268" i="20" s="1"/>
  <c r="AA319" i="20"/>
  <c r="Z319" i="20"/>
  <c r="Z267" i="20" s="1"/>
  <c r="Y319" i="20"/>
  <c r="X319" i="20"/>
  <c r="Y267" i="20" s="1"/>
  <c r="Z307" i="20"/>
  <c r="AA305" i="20" s="1"/>
  <c r="X307" i="20"/>
  <c r="Z293" i="20"/>
  <c r="X293" i="20"/>
  <c r="Z292" i="20"/>
  <c r="X292" i="20"/>
  <c r="Z291" i="20"/>
  <c r="X291" i="20"/>
  <c r="Z290" i="20"/>
  <c r="X290" i="20"/>
  <c r="Z289" i="20"/>
  <c r="X289" i="20"/>
  <c r="Z288" i="20"/>
  <c r="X288" i="20"/>
  <c r="Z287" i="20"/>
  <c r="X287" i="20"/>
  <c r="Z286" i="20"/>
  <c r="X286" i="20"/>
  <c r="Z272" i="20"/>
  <c r="Z270" i="20"/>
  <c r="Z269" i="20"/>
  <c r="AB226" i="20"/>
  <c r="AB218" i="20"/>
  <c r="AB195" i="20"/>
  <c r="AB172" i="20"/>
  <c r="AB161" i="20"/>
  <c r="B132" i="20"/>
  <c r="B243" i="20" s="1"/>
  <c r="B374" i="20" s="1"/>
  <c r="Z128" i="20"/>
  <c r="Z99" i="20"/>
  <c r="Z84" i="20"/>
  <c r="AB80" i="20"/>
  <c r="AB83" i="20" s="1"/>
  <c r="AB86" i="20" s="1"/>
  <c r="Z71" i="20"/>
  <c r="Z72" i="20" s="1"/>
  <c r="T69" i="20"/>
  <c r="AB63" i="20"/>
  <c r="Z359" i="20" s="1"/>
  <c r="Z60" i="20"/>
  <c r="X60" i="20"/>
  <c r="V60" i="20"/>
  <c r="R60" i="20"/>
  <c r="R66" i="20" s="1"/>
  <c r="P60" i="20"/>
  <c r="P66" i="20" s="1"/>
  <c r="AB58" i="20"/>
  <c r="N31" i="20"/>
  <c r="L31" i="20"/>
  <c r="J31" i="20"/>
  <c r="H31" i="20"/>
  <c r="AB31" i="20" l="1"/>
  <c r="AB42" i="20"/>
  <c r="AB239" i="20"/>
  <c r="AB129" i="20"/>
  <c r="AB231" i="20"/>
  <c r="Z363" i="20"/>
  <c r="AB235" i="20"/>
  <c r="AB233" i="20"/>
  <c r="AB237" i="20"/>
  <c r="Y305" i="20"/>
  <c r="X358" i="20"/>
  <c r="Y354" i="20" s="1"/>
  <c r="Y298" i="20"/>
  <c r="AA299" i="20"/>
  <c r="Y302" i="20"/>
  <c r="AA302" i="20"/>
  <c r="Z247" i="20"/>
  <c r="Z248" i="20" s="1"/>
  <c r="AA303" i="20"/>
  <c r="AA300" i="20"/>
  <c r="Z83" i="20"/>
  <c r="Z86" i="20" s="1"/>
  <c r="Z129" i="20" s="1"/>
  <c r="AA301" i="20"/>
  <c r="AA304" i="20"/>
  <c r="Z358" i="20"/>
  <c r="AA354" i="20" s="1"/>
  <c r="AA298" i="20"/>
  <c r="Z295" i="20"/>
  <c r="Y300" i="20"/>
  <c r="X295" i="20"/>
  <c r="Y291" i="20" s="1"/>
  <c r="Y304" i="20"/>
  <c r="AB196" i="20"/>
  <c r="AB163" i="20"/>
  <c r="AB57" i="20"/>
  <c r="AB60" i="20" s="1"/>
  <c r="AB66" i="20" s="1"/>
  <c r="Z361" i="20" s="1"/>
  <c r="T60" i="20"/>
  <c r="Y299" i="20"/>
  <c r="Y301" i="20"/>
  <c r="Y303" i="20"/>
  <c r="Z360" i="20" l="1"/>
  <c r="AA290" i="20"/>
  <c r="AA287" i="20"/>
  <c r="AA286" i="20"/>
  <c r="Y286" i="20"/>
  <c r="AA288" i="20"/>
  <c r="AA307" i="20"/>
  <c r="Y293" i="20"/>
  <c r="Z250" i="20"/>
  <c r="Z251" i="20" s="1"/>
  <c r="AA291" i="20"/>
  <c r="AA292" i="20"/>
  <c r="AA289" i="20"/>
  <c r="AA293" i="20"/>
  <c r="Y290" i="20"/>
  <c r="Y289" i="20"/>
  <c r="Y288" i="20"/>
  <c r="Y287" i="20"/>
  <c r="Y292" i="20"/>
  <c r="Y307" i="20"/>
  <c r="AA295" i="20" l="1"/>
  <c r="Y295" i="20"/>
  <c r="AB171" i="20" l="1"/>
  <c r="Y219" i="20" l="1"/>
  <c r="Z219" i="20"/>
  <c r="Y220" i="20" l="1"/>
  <c r="AB217" i="20"/>
  <c r="AB219" i="20"/>
  <c r="AB204" i="22"/>
  <c r="AB201" i="23"/>
  <c r="AB204" i="23" s="1"/>
</calcChain>
</file>

<file path=xl/sharedStrings.xml><?xml version="1.0" encoding="utf-8"?>
<sst xmlns="http://schemas.openxmlformats.org/spreadsheetml/2006/main" count="6993" uniqueCount="382">
  <si>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</si>
  <si>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</si>
  <si>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</si>
  <si>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</si>
  <si>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</si>
  <si>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</si>
  <si>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</si>
  <si>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</si>
  <si>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</si>
  <si>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</si>
  <si>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</si>
  <si>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</si>
  <si>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</si>
  <si>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</si>
  <si>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</si>
  <si>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</si>
  <si>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</si>
  <si>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</si>
  <si>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</si>
  <si>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</si>
  <si>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</si>
  <si>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</si>
  <si>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</si>
  <si>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</si>
  <si>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</si>
  <si>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</si>
  <si>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</si>
  <si>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</si>
  <si>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</si>
  <si>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</si>
  <si>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</si>
  <si>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</si>
  <si>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</si>
  <si>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</si>
  <si>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</si>
  <si>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</si>
  <si>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</si>
  <si>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</si>
  <si>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</si>
  <si>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</si>
  <si>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</si>
  <si>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</si>
  <si>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</si>
  <si>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</si>
  <si>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</si>
  <si>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</si>
  <si>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</si>
  <si>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</si>
  <si>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</si>
  <si>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</si>
  <si>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</si>
  <si>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</si>
  <si>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</si>
  <si>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</si>
  <si>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</si>
  <si>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</si>
  <si>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</si>
  <si>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</si>
  <si>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</si>
  <si>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</si>
  <si>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</si>
  <si>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</si>
  <si>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</si>
  <si>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</si>
  <si>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</si>
  <si>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</si>
  <si>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</si>
  <si>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</si>
  <si>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</si>
  <si>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</si>
  <si>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</si>
  <si>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</si>
  <si>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</si>
  <si>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</si>
  <si>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</si>
  <si>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</si>
  <si>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</si>
  <si>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</si>
  <si>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</si>
  <si>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</si>
  <si>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</si>
  <si>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</si>
  <si>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</si>
  <si>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</si>
  <si>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</si>
  <si>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</si>
  <si>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</si>
  <si>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</si>
  <si>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</si>
  <si>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</si>
  <si>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</si>
  <si>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</si>
  <si>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</si>
  <si>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</si>
  <si>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</si>
  <si>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</si>
  <si>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</si>
  <si>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</si>
  <si>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</si>
  <si>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</si>
  <si>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</si>
  <si>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</si>
  <si>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</si>
  <si>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</si>
  <si>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</si>
  <si>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</si>
  <si>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</si>
  <si>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</si>
  <si>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</si>
  <si>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</si>
  <si>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</si>
  <si>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</si>
  <si>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</si>
  <si>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</si>
  <si>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</si>
  <si>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</si>
  <si>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</si>
  <si>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</si>
  <si>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</si>
  <si>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</si>
  <si>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</si>
  <si>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</si>
  <si>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</si>
  <si>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</si>
  <si>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</si>
  <si>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</si>
  <si>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</si>
  <si>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</si>
  <si>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</si>
  <si>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</si>
  <si>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</si>
  <si>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</si>
  <si>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</si>
  <si>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</si>
  <si>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</si>
  <si>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</si>
  <si>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</si>
  <si>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</si>
  <si>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</si>
  <si>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</si>
  <si>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</si>
  <si>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</si>
  <si>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</si>
  <si>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</si>
  <si>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</si>
  <si>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</si>
  <si>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</si>
  <si>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</si>
  <si>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</si>
  <si>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</si>
  <si>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</si>
  <si>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</si>
  <si>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</si>
  <si>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</si>
  <si>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</si>
  <si>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Fitch Rating at Closing</t>
  </si>
  <si>
    <t>Current Fitch Rating</t>
  </si>
  <si>
    <t>Optional Redemption (Call)  Dates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</si>
  <si>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</si>
  <si>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</si>
  <si>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</si>
  <si>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</si>
  <si>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</si>
  <si>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</si>
  <si>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</si>
  <si>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</si>
  <si>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</si>
  <si>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</si>
  <si>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Class D Notes</t>
  </si>
  <si>
    <t>Mandatory Further Advance Pre Funding Reserve</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</si>
  <si>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</si>
  <si>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</si>
  <si>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</si>
  <si>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</si>
  <si>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</si>
  <si>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</si>
  <si>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</si>
  <si>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</si>
  <si>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Class S Notes</t>
  </si>
  <si>
    <t>Class S VFN Notes</t>
  </si>
  <si>
    <t>RC1a Residential Certificates</t>
  </si>
  <si>
    <t>RC1b Residential Certificates</t>
  </si>
  <si>
    <t>RC2a Residential Certificates</t>
  </si>
  <si>
    <t>RC2b Residential Certificates</t>
  </si>
  <si>
    <t>Class A, B, C, D, Z, S and SVFN Interest Calculated on</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</si>
  <si>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</si>
  <si>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</si>
  <si>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</si>
  <si>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</si>
  <si>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</si>
  <si>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</si>
  <si>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</si>
  <si>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</si>
  <si>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</si>
  <si>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</si>
  <si>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</si>
  <si>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</si>
  <si>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</si>
  <si>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</si>
  <si>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</si>
  <si>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</si>
  <si>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</si>
  <si>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</si>
  <si>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</si>
  <si>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</si>
  <si>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</si>
  <si>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</si>
  <si>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</si>
  <si>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</si>
  <si>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</si>
  <si>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</si>
  <si>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</si>
  <si>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</si>
  <si>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</si>
  <si>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Principal Receipts to Revenue to fund Senior Expenses Deficit</t>
  </si>
  <si>
    <t>AAA</t>
  </si>
  <si>
    <t>AA</t>
  </si>
  <si>
    <t>Aaa</t>
  </si>
  <si>
    <t>Aa1</t>
  </si>
  <si>
    <t>Class A and B Liquidity Reserve Fund Release Amount / Excess Amount</t>
  </si>
  <si>
    <t>General Reserve Fund Release Amount / Excess Amount</t>
  </si>
  <si>
    <t>Residual Certificates Payments (prior to but excluding the Step Up Date)</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</si>
  <si>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</si>
  <si>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</si>
  <si>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</si>
  <si>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</si>
  <si>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</si>
  <si>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</si>
  <si>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</si>
  <si>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</si>
  <si>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</si>
  <si>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</si>
  <si>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</si>
  <si>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</si>
  <si>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</si>
  <si>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</si>
  <si>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</si>
  <si>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</si>
  <si>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</si>
  <si>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</si>
  <si>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</si>
  <si>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</si>
  <si>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</si>
  <si>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</si>
  <si>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</si>
  <si>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</si>
  <si>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</si>
  <si>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</si>
  <si>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</si>
  <si>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400bp</t>
  </si>
  <si>
    <t>Amounts due to Administrators and Paragon Corporate Services Provider</t>
  </si>
  <si>
    <t>Amounts credited to the Conversion Margin Reserve Fund during the period</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</si>
  <si>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</si>
  <si>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</si>
  <si>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</si>
  <si>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</si>
  <si>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</si>
  <si>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</si>
  <si>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</si>
  <si>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</si>
  <si>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</si>
  <si>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Over (+) / Under (-) Hedging</t>
  </si>
  <si>
    <t>Hedging Corridor</t>
  </si>
  <si>
    <t>PDL replenishment (-) from Revenue income / Recovery (+) to Revenue income</t>
  </si>
  <si>
    <t>A</t>
  </si>
  <si>
    <t>Aa3</t>
  </si>
  <si>
    <t>BBB</t>
  </si>
  <si>
    <t>Available Redemption Funds</t>
  </si>
  <si>
    <t>Trustee Fee/Costs and Expenses claimed by the Substitute Administrator &amp; Maples Corporate Services Provider</t>
  </si>
  <si>
    <t>Mortgage MRF Discretionary Amount (prior to the Step Up Date)</t>
  </si>
  <si>
    <t>Conversion MRF Discretionary Amount (prior to the Step Up Date)</t>
  </si>
  <si>
    <t>Legal Entity Identifier (LEI)</t>
  </si>
  <si>
    <t>Weighted Average Swap Rate</t>
  </si>
  <si>
    <t>MFAPFRL and Available Redemption Funds</t>
  </si>
  <si>
    <t>Mandatory Further Advance Pre Funding Reserve at last quarter end</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</si>
  <si>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</si>
  <si>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</si>
  <si>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</si>
  <si>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</si>
  <si>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</si>
  <si>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</si>
  <si>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</si>
  <si>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</si>
  <si>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</si>
  <si>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</si>
  <si>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</si>
  <si>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</si>
  <si>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 by Number of Accounts/Balance</t>
  </si>
  <si>
    <t>Rented</t>
  </si>
  <si>
    <t>Vacant - to be let</t>
  </si>
  <si>
    <t>Vacant - to be sold</t>
  </si>
  <si>
    <t>Property Rented/For Sale</t>
  </si>
  <si>
    <t>Receiver of Rent Cases by Current Status, as at the PDD</t>
  </si>
  <si>
    <t xml:space="preserve">Strategic review </t>
  </si>
  <si>
    <t>Class A Notes</t>
  </si>
  <si>
    <t>165bp</t>
  </si>
  <si>
    <t>Class A Note repayment</t>
  </si>
  <si>
    <t>Baa1</t>
  </si>
  <si>
    <t xml:space="preserve">Total Current Balance of Fixed Rate Assets </t>
  </si>
  <si>
    <t>Retention Requirement under Article 6 of Regulation (EU) 2017/2402 (the "Securitisation Regulation") held by Paragon Bank PLC</t>
  </si>
  <si>
    <t>Payment Holiday Extensions</t>
  </si>
  <si>
    <t>Mortgage Margin Reserve Fund Required Amount at Closing</t>
  </si>
  <si>
    <t>Conversion Margin Reserve Fund Discretionary Fund</t>
  </si>
  <si>
    <t>Conversion Margin Reserve Fund Amount at Closing</t>
  </si>
  <si>
    <t>WA PH Remaining Term (months)</t>
  </si>
  <si>
    <t>Original Payment Holiday Borrowers</t>
  </si>
  <si>
    <t>Extended Payment Holiday Borrowers</t>
  </si>
  <si>
    <t>Paragon Mortgages (No.28) PLC</t>
  </si>
  <si>
    <t>This performance report is issued by Paragon Mortgages (2010) Limited for and on behalf of Paragon Mortgages (No.28) PLC</t>
  </si>
  <si>
    <t>PM28 PLC</t>
  </si>
  <si>
    <t>PM28 INVESTOR REPORT QUARTER ENDING NOVEMBER 2020</t>
  </si>
  <si>
    <t>21380095C1VGYR3IGS08</t>
  </si>
  <si>
    <t>XS2243463879</t>
  </si>
  <si>
    <t>XS2243463952</t>
  </si>
  <si>
    <t>XS2243464091</t>
  </si>
  <si>
    <t>XS2243464174</t>
  </si>
  <si>
    <t>XS2243464257</t>
  </si>
  <si>
    <t>XS2243464331</t>
  </si>
  <si>
    <t>XS2243464414</t>
  </si>
  <si>
    <t>XS2243464505</t>
  </si>
  <si>
    <t>XS2243464687</t>
  </si>
  <si>
    <t>XS2243464844</t>
  </si>
  <si>
    <t>95bp</t>
  </si>
  <si>
    <t>135bp</t>
  </si>
  <si>
    <t>195bp</t>
  </si>
  <si>
    <t>295bp</t>
  </si>
  <si>
    <t>142.5bp</t>
  </si>
  <si>
    <t>202.5bp</t>
  </si>
  <si>
    <t>247.5bp</t>
  </si>
  <si>
    <t>292.5bp</t>
  </si>
  <si>
    <t xml:space="preserve">including taking into account the interests of our customers, market consultations and the expectations of our regulators (the PRA and FCA). This statement is not relevant to PM28 as SONIA is the PM28 Note Reference Rate (and not LIBOR) and all of the PM28 mortgage assets are fixed rate that revert   </t>
  </si>
  <si>
    <t xml:space="preserve">to the Standard Variable Rate. All converted mortgages revert to the Standard Variable Rate. There are no LIBOR linked mortgage assets in PM28. </t>
  </si>
  <si>
    <t>** For transparency, a table has been included where customers have elected to take a payment holiday, caused by COVID19. Rows 334 - 347 Delinquency Summary (For COVID19 Payment Holiday Cases) are included in the Overall Delinquency Summary in rows 276 - 286.</t>
  </si>
  <si>
    <t xml:space="preserve">Discretionary Payment Holiday Reserve Fund </t>
  </si>
  <si>
    <t>Discretionary Payment Holiday Reserve Fund at Closing</t>
  </si>
  <si>
    <t xml:space="preserve">Last quarter Discretionary Payment Holiday Reserve Fund balance </t>
  </si>
  <si>
    <t>Amounts credited to the Discretionary Payment Holiday Reserve Fund from Revenue during the period</t>
  </si>
  <si>
    <t>Closing Discretionary Payment Holiday Reserve Fund balance</t>
  </si>
  <si>
    <t>Amounts credited to Revenue from the Discretionary Payment Holiday Reserve Fund during the period</t>
  </si>
  <si>
    <t>Payment holidays were extended in June 2020 and November 2020 for Buy to Let landlords who may be experiencing, or continue to experience, difficulties in meeting their buy to let mortgage payments caused by the impact of the COVID19 virus.</t>
  </si>
  <si>
    <t>Accrued Arrears and Interest not Sold to the Issuer</t>
  </si>
  <si>
    <t>PM28 INVESTOR REPORT QUARTER ENDING FEBRUARY 2021</t>
  </si>
  <si>
    <t>Class S VFN Note Interest and Deferred Interest</t>
  </si>
  <si>
    <t>The 31st January 2021 was the deadline for customers to apply for a payment holiday with their lenders. The same principles as outlined above for the "original" payment holiday customers also applies to the "extended" payment holiday customers.</t>
  </si>
  <si>
    <t>PM28 INVESTOR REPORT QUARTER ENDING MAY 2021</t>
  </si>
  <si>
    <t>PM28 INVESTOR REPORT QUARTER ENDING AUGUST 2021</t>
  </si>
  <si>
    <t>All payment holidays expired on 31st July 2021.</t>
  </si>
  <si>
    <t xml:space="preserve">The same principles as outlined above for the "original" payment holiday customers also applies to the "extended" payment holiday customers. </t>
  </si>
  <si>
    <t>libor-mortgages-transition-july-19 (paragonbankinggroup.co.uk)</t>
  </si>
  <si>
    <t>LIBOR transition on the Libor Linked Assets</t>
  </si>
  <si>
    <t>Discretionary Payment Holiday Reserve Fund  (prior to the Step Up Date)</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</si>
  <si>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</si>
  <si>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 xml:space="preserve">For information purpsoes, the Paragon Mortgages (2010) Limited originated mortgages transitioned to a term SONIA basis on 1st July 2021. Please see the below link for further details. </t>
  </si>
  <si>
    <t>PM(2010)/ PB Mandatory Further Advance Pre Funding Reserve diverted to Principal</t>
  </si>
  <si>
    <t xml:space="preserve">Funding of the PM(2010)/ PB Mandatory Further Advances </t>
  </si>
  <si>
    <t>PM(2010)/PB Mandatory Further Advance Pre Funding Reserve diverted to Principal</t>
  </si>
  <si>
    <t xml:space="preserve">Funding of the PM(2010)/PB Mandatory Further Advances </t>
  </si>
  <si>
    <t>PM (2010) Mandatory Further Advances</t>
  </si>
  <si>
    <t>PM (2010) Discretionary Further Advances</t>
  </si>
  <si>
    <t>PM28 INVESTOR REPORT QUARTER ENDING NOVEMBER 2021</t>
  </si>
  <si>
    <t>AA+</t>
  </si>
  <si>
    <t>A+</t>
  </si>
  <si>
    <t>PM28 INVESTOR REPORT QUARTER ENDING FEBRUARY 2022</t>
  </si>
  <si>
    <t>PM28 INVESTOR REPORT QUARTER ENDING MAY 2022</t>
  </si>
  <si>
    <t>PM28 INVESTOR REPORT QUARTER ENDING AUGUST 2022</t>
  </si>
  <si>
    <t>BBB+</t>
  </si>
  <si>
    <t>PM28 INVESTOR REPORT QUARTER ENDING NOVEMBER 2022</t>
  </si>
  <si>
    <t>Mortgage Margin Reserve Fund Release Amount and any excess</t>
  </si>
  <si>
    <t>PM28 INVESTOR REPORT QUARTER ENDING FEBRUARY 2023</t>
  </si>
  <si>
    <t>Current Spread *</t>
  </si>
  <si>
    <t xml:space="preserve">* The negative spread has been capped at zero. The swap receipts in respect of the fixed rate assets and the respective release from the conversion margin reserve fund to the Revenue Ledger are not included in the weighted average interest charging rate. This is the reason for </t>
  </si>
  <si>
    <t xml:space="preserve">reporting on the revenue as a % of the assets in the next row, which is reflected in the excess spread from the PM28 revenue priority of payments on the Interest  Payment Date. </t>
  </si>
  <si>
    <t>PM28 INVESTOR REPORT QUARTER ENDING MAY 2023</t>
  </si>
  <si>
    <t>PM28 INVESTOR REPORT QUARTER ENDING AUGUST 2023</t>
  </si>
  <si>
    <t>Aa2</t>
  </si>
  <si>
    <t>A1</t>
  </si>
  <si>
    <t>Offer Issued/Offer Accepted/Contracts Issued/Contracts Exchanged</t>
  </si>
  <si>
    <t>PM28 INVESTOR REPORT QUARTER ENDING NOVEMBER 2023</t>
  </si>
  <si>
    <t>PM28 INVESTOR REPORT QUARTER ENDING FEBRUARY 2024</t>
  </si>
  <si>
    <t>Total Hedge Amount*</t>
  </si>
  <si>
    <t>Current Spread **</t>
  </si>
  <si>
    <t>* Total Hedge Amount split: Lloyds = 100.00%,  Santander =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</si>
</sst>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 numFmtId="172" formatCode="0.000%"/>
  </numFmts>
  <fonts count="32"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b/>
      <sz val="12"/>
      <color rgb="FFFF0000"/>
      <name val="Calibri"/>
      <family val="2"/>
      <scheme val="minor"/>
    </font>
    <font>
      <u/>
      <sz val="12"/>
      <color indexed="12"/>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3">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55"/>
      </top>
      <bottom/>
      <diagonal/>
    </border>
    <border>
      <left/>
      <right style="medium">
        <color indexed="8"/>
      </right>
      <top/>
      <bottom style="thin">
        <color indexed="55"/>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
      <left/>
      <right/>
      <top style="thin">
        <color indexed="55"/>
      </top>
      <bottom style="medium">
        <color indexed="8"/>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307">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0" fontId="13" fillId="2" borderId="0" xfId="0" applyNumberFormat="1" applyFont="1" applyFill="1" applyAlignment="1">
      <alignment horizontal="center" wrapText="1"/>
    </xf>
    <xf numFmtId="165" fontId="3"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9" fontId="15" fillId="3" borderId="18" xfId="0" applyNumberFormat="1" applyFont="1" applyFill="1" applyBorder="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9" fontId="12" fillId="2" borderId="20" xfId="0" applyNumberFormat="1" applyFont="1" applyFill="1" applyBorder="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9" fontId="12" fillId="2" borderId="10" xfId="0" applyNumberFormat="1" applyFont="1" applyFill="1" applyBorder="1"/>
    <xf numFmtId="0" fontId="12" fillId="2" borderId="0" xfId="0" applyFont="1" applyFill="1"/>
    <xf numFmtId="0" fontId="13" fillId="2" borderId="0" xfId="0" applyFont="1" applyFill="1"/>
    <xf numFmtId="0" fontId="25" fillId="2" borderId="0" xfId="0" applyFont="1" applyFill="1"/>
    <xf numFmtId="0" fontId="10" fillId="4" borderId="0" xfId="1" applyFont="1" applyFill="1" applyAlignment="1" applyProtection="1"/>
    <xf numFmtId="0" fontId="10" fillId="4" borderId="10" xfId="1" applyFont="1" applyFill="1" applyBorder="1" applyAlignment="1" applyProtection="1"/>
    <xf numFmtId="3" fontId="16" fillId="3" borderId="0" xfId="0" applyNumberFormat="1" applyFont="1" applyFill="1" applyAlignment="1">
      <alignment horizontal="center"/>
    </xf>
    <xf numFmtId="0" fontId="16" fillId="3" borderId="0" xfId="0" applyFont="1" applyFill="1" applyAlignment="1">
      <alignment horizontal="center"/>
    </xf>
    <xf numFmtId="3" fontId="12" fillId="2" borderId="0" xfId="0" applyNumberFormat="1" applyFont="1" applyFill="1"/>
    <xf numFmtId="10" fontId="12" fillId="2" borderId="0" xfId="0" applyNumberFormat="1" applyFont="1" applyFill="1"/>
    <xf numFmtId="3" fontId="12" fillId="2" borderId="10" xfId="0" applyNumberFormat="1" applyFont="1" applyFill="1" applyBorder="1"/>
    <xf numFmtId="10" fontId="12" fillId="2" borderId="21" xfId="0" applyNumberFormat="1" applyFont="1" applyFill="1" applyBorder="1"/>
    <xf numFmtId="10" fontId="12" fillId="2" borderId="10" xfId="0" applyNumberFormat="1" applyFont="1" applyFill="1" applyBorder="1"/>
    <xf numFmtId="9" fontId="12" fillId="2" borderId="20" xfId="0" applyNumberFormat="1" applyFont="1" applyFill="1" applyBorder="1" applyAlignment="1"/>
    <xf numFmtId="0" fontId="3" fillId="0" borderId="0" xfId="0" applyFont="1"/>
    <xf numFmtId="0" fontId="29" fillId="0" borderId="0" xfId="0" applyNumberFormat="1" applyFont="1" applyAlignment="1"/>
    <xf numFmtId="0" fontId="12" fillId="2" borderId="22" xfId="0" applyFont="1" applyFill="1" applyBorder="1"/>
    <xf numFmtId="0" fontId="12" fillId="2" borderId="23" xfId="0" applyFont="1" applyFill="1" applyBorder="1"/>
    <xf numFmtId="0" fontId="3" fillId="2" borderId="23" xfId="0"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0" fillId="0" borderId="0" xfId="0" applyFont="1"/>
    <xf numFmtId="0" fontId="30" fillId="2" borderId="0" xfId="0" applyNumberFormat="1" applyFont="1" applyFill="1" applyAlignment="1"/>
    <xf numFmtId="1" fontId="12" fillId="2" borderId="10" xfId="0" applyNumberFormat="1" applyFont="1" applyFill="1" applyBorder="1" applyAlignment="1"/>
    <xf numFmtId="0" fontId="12" fillId="2" borderId="20" xfId="0" applyNumberFormat="1" applyFont="1" applyFill="1" applyBorder="1" applyAlignment="1"/>
    <xf numFmtId="0" fontId="16" fillId="3" borderId="18" xfId="0" applyFont="1" applyFill="1" applyBorder="1"/>
    <xf numFmtId="0" fontId="12" fillId="2" borderId="25" xfId="0" applyNumberFormat="1" applyFont="1" applyFill="1" applyBorder="1" applyAlignment="1"/>
    <xf numFmtId="0" fontId="15" fillId="3" borderId="24" xfId="0" applyNumberFormat="1" applyFont="1" applyFill="1" applyBorder="1" applyAlignment="1"/>
    <xf numFmtId="10" fontId="13" fillId="2" borderId="18" xfId="0" applyNumberFormat="1" applyFont="1" applyFill="1" applyBorder="1"/>
    <xf numFmtId="10" fontId="13" fillId="2" borderId="18" xfId="0" applyNumberFormat="1" applyFont="1" applyFill="1" applyBorder="1" applyAlignment="1" applyProtection="1">
      <alignment horizontal="right"/>
      <protection locked="0"/>
    </xf>
    <xf numFmtId="0" fontId="12" fillId="2" borderId="18" xfId="0" applyNumberFormat="1" applyFont="1" applyFill="1" applyBorder="1" applyAlignment="1"/>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3" fontId="12" fillId="2" borderId="26" xfId="0" applyNumberFormat="1" applyFont="1" applyFill="1" applyBorder="1"/>
    <xf numFmtId="10" fontId="12" fillId="2" borderId="27" xfId="0" applyNumberFormat="1" applyFont="1" applyFill="1" applyBorder="1"/>
    <xf numFmtId="3" fontId="12" fillId="2" borderId="27" xfId="0" applyNumberFormat="1" applyFont="1" applyFill="1" applyBorder="1" applyAlignment="1" applyProtection="1">
      <alignment horizontal="right"/>
      <protection locked="0"/>
    </xf>
    <xf numFmtId="4" fontId="12" fillId="2" borderId="28" xfId="0" applyNumberFormat="1" applyFont="1" applyFill="1" applyBorder="1" applyAlignment="1"/>
    <xf numFmtId="3" fontId="12" fillId="2" borderId="29" xfId="0" applyNumberFormat="1" applyFont="1" applyFill="1" applyBorder="1"/>
    <xf numFmtId="10" fontId="12" fillId="2" borderId="30" xfId="0" applyNumberFormat="1" applyFont="1" applyFill="1" applyBorder="1"/>
    <xf numFmtId="3" fontId="12" fillId="2" borderId="30" xfId="0" applyNumberFormat="1" applyFont="1" applyFill="1" applyBorder="1" applyAlignment="1" applyProtection="1">
      <alignment horizontal="right"/>
      <protection locked="0"/>
    </xf>
    <xf numFmtId="4" fontId="12" fillId="2" borderId="31" xfId="0" applyNumberFormat="1" applyFont="1" applyFill="1" applyBorder="1" applyAlignment="1"/>
    <xf numFmtId="167" fontId="3" fillId="2" borderId="10" xfId="0" applyNumberFormat="1" applyFont="1" applyFill="1" applyBorder="1" applyAlignment="1">
      <alignment horizontal="center"/>
    </xf>
    <xf numFmtId="0" fontId="3" fillId="2" borderId="10" xfId="0" applyNumberFormat="1" applyFont="1" applyFill="1" applyBorder="1" applyAlignment="1">
      <alignment horizontal="center"/>
    </xf>
    <xf numFmtId="17" fontId="3" fillId="2" borderId="10" xfId="0" applyNumberFormat="1" applyFont="1" applyFill="1" applyBorder="1" applyAlignment="1">
      <alignment horizontal="center"/>
    </xf>
    <xf numFmtId="169" fontId="3" fillId="2" borderId="10" xfId="0" applyNumberFormat="1" applyFont="1" applyFill="1" applyBorder="1" applyAlignment="1">
      <alignment horizontal="center"/>
    </xf>
    <xf numFmtId="171" fontId="3" fillId="2" borderId="10" xfId="0" applyNumberFormat="1" applyFont="1" applyFill="1" applyBorder="1" applyAlignment="1">
      <alignment horizontal="center"/>
    </xf>
    <xf numFmtId="164" fontId="3" fillId="2" borderId="10" xfId="0" applyNumberFormat="1" applyFont="1" applyFill="1" applyBorder="1" applyAlignment="1">
      <alignment horizontal="center"/>
    </xf>
    <xf numFmtId="10" fontId="11" fillId="2" borderId="0" xfId="0" applyNumberFormat="1" applyFont="1" applyFill="1" applyAlignment="1">
      <alignment horizontal="center"/>
    </xf>
    <xf numFmtId="10" fontId="3" fillId="2" borderId="10" xfId="0" applyNumberFormat="1" applyFont="1" applyFill="1" applyBorder="1" applyAlignment="1">
      <alignment horizontal="center"/>
    </xf>
    <xf numFmtId="4" fontId="3" fillId="2" borderId="10" xfId="0" applyNumberFormat="1" applyFont="1" applyFill="1" applyBorder="1" applyAlignment="1">
      <alignment horizontal="center"/>
    </xf>
    <xf numFmtId="0" fontId="3" fillId="2" borderId="7" xfId="0" applyNumberFormat="1" applyFont="1" applyFill="1" applyBorder="1" applyAlignment="1"/>
    <xf numFmtId="0" fontId="3" fillId="2" borderId="32" xfId="0" applyNumberFormat="1" applyFont="1" applyFill="1" applyBorder="1" applyAlignment="1"/>
    <xf numFmtId="172" fontId="12" fillId="2" borderId="10" xfId="0" applyNumberFormat="1" applyFont="1" applyFill="1" applyBorder="1" applyAlignment="1" applyProtection="1">
      <alignment horizontal="right"/>
      <protection locked="0"/>
    </xf>
    <xf numFmtId="0" fontId="31" fillId="0" borderId="0" xfId="1" applyFont="1" applyAlignment="1" applyProtection="1">
      <alignment vertical="center"/>
    </xf>
    <xf numFmtId="0" fontId="29" fillId="0" borderId="1" xfId="0" applyNumberFormat="1" applyFont="1" applyBorder="1"/>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008080"/>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8E7D1300-972B-4CFE-A583-D85DBAF3D7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690149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EB9FD11-BC2B-48E7-83E7-46414F5CD68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57E43D94-F014-428F-96BD-0A83D78CD5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8AC74AC-3015-4CFC-835D-B4357517DE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316753</xdr:colOff>
      <xdr:row>52</xdr:row>
      <xdr:rowOff>142768</xdr:rowOff>
    </xdr:to>
    <xdr:pic>
      <xdr:nvPicPr>
        <xdr:cNvPr id="6" name="Picture 5">
          <a:extLst>
            <a:ext uri="{FF2B5EF4-FFF2-40B4-BE49-F238E27FC236}">
              <a16:creationId xmlns:a16="http://schemas.microsoft.com/office/drawing/2014/main" id="{BC7DFA64-A54E-4A67-8200-3BBDD6364596}"/>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199918</xdr:rowOff>
    </xdr:to>
    <xdr:pic>
      <xdr:nvPicPr>
        <xdr:cNvPr id="7" name="Picture 6">
          <a:extLst>
            <a:ext uri="{FF2B5EF4-FFF2-40B4-BE49-F238E27FC236}">
              <a16:creationId xmlns:a16="http://schemas.microsoft.com/office/drawing/2014/main" id="{12FE25D5-C8A5-464B-A40C-7C8ED43E8535}"/>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241</xdr:row>
      <xdr:rowOff>152400</xdr:rowOff>
    </xdr:from>
    <xdr:to>
      <xdr:col>0</xdr:col>
      <xdr:colOff>316753</xdr:colOff>
      <xdr:row>242</xdr:row>
      <xdr:rowOff>180867</xdr:rowOff>
    </xdr:to>
    <xdr:pic>
      <xdr:nvPicPr>
        <xdr:cNvPr id="8" name="Picture 7">
          <a:extLst>
            <a:ext uri="{FF2B5EF4-FFF2-40B4-BE49-F238E27FC236}">
              <a16:creationId xmlns:a16="http://schemas.microsoft.com/office/drawing/2014/main" id="{28166A8E-FD91-4A65-AA72-A5F483FF61DD}"/>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371</xdr:row>
      <xdr:rowOff>127000</xdr:rowOff>
    </xdr:from>
    <xdr:to>
      <xdr:col>0</xdr:col>
      <xdr:colOff>316753</xdr:colOff>
      <xdr:row>372</xdr:row>
      <xdr:rowOff>114647</xdr:rowOff>
    </xdr:to>
    <xdr:pic>
      <xdr:nvPicPr>
        <xdr:cNvPr id="9" name="Picture 8">
          <a:extLst>
            <a:ext uri="{FF2B5EF4-FFF2-40B4-BE49-F238E27FC236}">
              <a16:creationId xmlns:a16="http://schemas.microsoft.com/office/drawing/2014/main" id="{3E7C8145-79D5-410C-AD03-FEA09AFF9D14}"/>
            </a:ext>
          </a:extLst>
        </xdr:cNvPr>
        <xdr:cNvPicPr>
          <a:picLocks noChangeAspect="1"/>
        </xdr:cNvPicPr>
      </xdr:nvPicPr>
      <xdr:blipFill>
        <a:blip xmlns:r="http://schemas.openxmlformats.org/officeDocument/2006/relationships" r:embed="rId3"/>
        <a:stretch>
          <a:fillRect/>
        </a:stretch>
      </xdr:blipFill>
      <xdr:spPr>
        <a:xfrm>
          <a:off x="142875" y="69018150"/>
          <a:ext cx="170703" cy="231668"/>
        </a:xfrm>
        <a:prstGeom prst="rect">
          <a:avLst/>
        </a:prstGeom>
      </xdr:spPr>
    </xdr:pic>
    <xdr:clientData/>
  </xdr:twoCellAnchor>
  <xdr:twoCellAnchor editAs="oneCell">
    <xdr:from>
      <xdr:col>28</xdr:col>
      <xdr:colOff>0</xdr:colOff>
      <xdr:row>371</xdr:row>
      <xdr:rowOff>0</xdr:rowOff>
    </xdr:from>
    <xdr:to>
      <xdr:col>28</xdr:col>
      <xdr:colOff>829128</xdr:colOff>
      <xdr:row>372</xdr:row>
      <xdr:rowOff>48612</xdr:rowOff>
    </xdr:to>
    <xdr:pic>
      <xdr:nvPicPr>
        <xdr:cNvPr id="10" name="Picture 9">
          <a:extLst>
            <a:ext uri="{FF2B5EF4-FFF2-40B4-BE49-F238E27FC236}">
              <a16:creationId xmlns:a16="http://schemas.microsoft.com/office/drawing/2014/main" id="{EDE39628-55C7-4D69-98BE-FF76A491817C}"/>
            </a:ext>
          </a:extLst>
        </xdr:cNvPr>
        <xdr:cNvPicPr>
          <a:picLocks noChangeAspect="1"/>
        </xdr:cNvPicPr>
      </xdr:nvPicPr>
      <xdr:blipFill>
        <a:blip xmlns:r="http://schemas.openxmlformats.org/officeDocument/2006/relationships" r:embed="rId4"/>
        <a:stretch>
          <a:fillRect/>
        </a:stretch>
      </xdr:blipFill>
      <xdr:spPr>
        <a:xfrm>
          <a:off x="27184350" y="68894325"/>
          <a:ext cx="825953" cy="286283"/>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178332</xdr:rowOff>
    </xdr:to>
    <xdr:pic>
      <xdr:nvPicPr>
        <xdr:cNvPr id="11" name="Picture 10">
          <a:extLst>
            <a:ext uri="{FF2B5EF4-FFF2-40B4-BE49-F238E27FC236}">
              <a16:creationId xmlns:a16="http://schemas.microsoft.com/office/drawing/2014/main" id="{FC9F808B-5C76-44FD-BFAA-5C971B0672C1}"/>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159283</xdr:rowOff>
    </xdr:to>
    <xdr:pic>
      <xdr:nvPicPr>
        <xdr:cNvPr id="12" name="Picture 11">
          <a:extLst>
            <a:ext uri="{FF2B5EF4-FFF2-40B4-BE49-F238E27FC236}">
              <a16:creationId xmlns:a16="http://schemas.microsoft.com/office/drawing/2014/main" id="{E913A5E2-B4CC-4AAA-B4EF-0703143B62C0}"/>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51</xdr:row>
      <xdr:rowOff>0</xdr:rowOff>
    </xdr:from>
    <xdr:to>
      <xdr:col>28</xdr:col>
      <xdr:colOff>829128</xdr:colOff>
      <xdr:row>52</xdr:row>
      <xdr:rowOff>83083</xdr:rowOff>
    </xdr:to>
    <xdr:pic>
      <xdr:nvPicPr>
        <xdr:cNvPr id="13" name="Picture 12">
          <a:extLst>
            <a:ext uri="{FF2B5EF4-FFF2-40B4-BE49-F238E27FC236}">
              <a16:creationId xmlns:a16="http://schemas.microsoft.com/office/drawing/2014/main" id="{FEAD4692-EE15-4715-9B3E-F750EACEA2AA}"/>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2AC85B37-36E3-402E-86F1-1BD1FBC1AD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FC15AAD-08DA-4CD0-9987-A436909EC48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7004E39A-E9EC-4E4D-A8A8-71C314BC0A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A7F2E33-7D0B-4BD6-950A-99EEB4C68DD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325008</xdr:colOff>
      <xdr:row>52</xdr:row>
      <xdr:rowOff>136418</xdr:rowOff>
    </xdr:to>
    <xdr:pic>
      <xdr:nvPicPr>
        <xdr:cNvPr id="6" name="Picture 5">
          <a:extLst>
            <a:ext uri="{FF2B5EF4-FFF2-40B4-BE49-F238E27FC236}">
              <a16:creationId xmlns:a16="http://schemas.microsoft.com/office/drawing/2014/main" id="{E5B249DA-5804-4A41-B05B-A982A6EB7062}"/>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31A5901E-161B-4854-9B1A-5F527F9FED3D}"/>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0</xdr:col>
      <xdr:colOff>325008</xdr:colOff>
      <xdr:row>242</xdr:row>
      <xdr:rowOff>174517</xdr:rowOff>
    </xdr:to>
    <xdr:pic>
      <xdr:nvPicPr>
        <xdr:cNvPr id="8" name="Picture 7">
          <a:extLst>
            <a:ext uri="{FF2B5EF4-FFF2-40B4-BE49-F238E27FC236}">
              <a16:creationId xmlns:a16="http://schemas.microsoft.com/office/drawing/2014/main" id="{E63E080C-DC2F-4BD2-AC4D-B548BD53C390}"/>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0</xdr:col>
      <xdr:colOff>325008</xdr:colOff>
      <xdr:row>355</xdr:row>
      <xdr:rowOff>114647</xdr:rowOff>
    </xdr:to>
    <xdr:pic>
      <xdr:nvPicPr>
        <xdr:cNvPr id="9" name="Picture 8">
          <a:extLst>
            <a:ext uri="{FF2B5EF4-FFF2-40B4-BE49-F238E27FC236}">
              <a16:creationId xmlns:a16="http://schemas.microsoft.com/office/drawing/2014/main" id="{6B600F7C-305A-43E7-9B5A-20D752657FC6}"/>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818333</xdr:colOff>
      <xdr:row>355</xdr:row>
      <xdr:rowOff>54962</xdr:rowOff>
    </xdr:to>
    <xdr:pic>
      <xdr:nvPicPr>
        <xdr:cNvPr id="10" name="Picture 9">
          <a:extLst>
            <a:ext uri="{FF2B5EF4-FFF2-40B4-BE49-F238E27FC236}">
              <a16:creationId xmlns:a16="http://schemas.microsoft.com/office/drawing/2014/main" id="{4A79B2FE-2323-45D1-AF2F-0BFDF51BD2E5}"/>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170077</xdr:rowOff>
    </xdr:to>
    <xdr:pic>
      <xdr:nvPicPr>
        <xdr:cNvPr id="11" name="Picture 10">
          <a:extLst>
            <a:ext uri="{FF2B5EF4-FFF2-40B4-BE49-F238E27FC236}">
              <a16:creationId xmlns:a16="http://schemas.microsoft.com/office/drawing/2014/main" id="{343E5A33-43A2-4593-B35C-2B09E3F502F4}"/>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20C6F9BD-8C20-445E-ADC1-203626B199C0}"/>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C7307A45-50E6-46ED-8DE6-4E42BBC37C85}"/>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043CD434-1033-4EBC-A44E-F7CF475840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B779F7E3-D285-44AD-93B1-3C0437B21A8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2D8501D3-5BE3-44F0-A696-DEE2D2703A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C7C54D7E-6C6C-4839-9A0A-E597477F11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0D912D13-2D43-4260-AC70-FE31999C2FF1}"/>
            </a:ext>
          </a:extLst>
        </xdr:cNvPr>
        <xdr:cNvPicPr>
          <a:picLocks noChangeAspect="1"/>
        </xdr:cNvPicPr>
      </xdr:nvPicPr>
      <xdr:blipFill>
        <a:blip xmlns:r="http://schemas.openxmlformats.org/officeDocument/2006/relationships" r:embed="rId3"/>
        <a:stretch>
          <a:fillRect/>
        </a:stretch>
      </xdr:blipFill>
      <xdr:spPr>
        <a:xfrm>
          <a:off x="135890" y="10810875"/>
          <a:ext cx="185308" cy="21833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47AFF3AA-8A68-4D3E-9A9B-9E5299DA319B}"/>
            </a:ext>
          </a:extLst>
        </xdr:cNvPr>
        <xdr:cNvPicPr>
          <a:picLocks noChangeAspect="1"/>
        </xdr:cNvPicPr>
      </xdr:nvPicPr>
      <xdr:blipFill>
        <a:blip xmlns:r="http://schemas.openxmlformats.org/officeDocument/2006/relationships" r:embed="rId3"/>
        <a:stretch>
          <a:fillRect/>
        </a:stretch>
      </xdr:blipFill>
      <xdr:spPr>
        <a:xfrm>
          <a:off x="168910" y="27301190"/>
          <a:ext cx="164988" cy="23293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5F058919-5267-40CA-9BD3-02666C461384}"/>
            </a:ext>
          </a:extLst>
        </xdr:cNvPr>
        <xdr:cNvPicPr>
          <a:picLocks noChangeAspect="1"/>
        </xdr:cNvPicPr>
      </xdr:nvPicPr>
      <xdr:blipFill>
        <a:blip xmlns:r="http://schemas.openxmlformats.org/officeDocument/2006/relationships" r:embed="rId3"/>
        <a:stretch>
          <a:fillRect/>
        </a:stretch>
      </xdr:blipFill>
      <xdr:spPr>
        <a:xfrm>
          <a:off x="135890" y="49596675"/>
          <a:ext cx="185308" cy="21833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DA2238F0-AE02-4E4C-9D9B-A424BC0175E2}"/>
            </a:ext>
          </a:extLst>
        </xdr:cNvPr>
        <xdr:cNvPicPr>
          <a:picLocks noChangeAspect="1"/>
        </xdr:cNvPicPr>
      </xdr:nvPicPr>
      <xdr:blipFill>
        <a:blip xmlns:r="http://schemas.openxmlformats.org/officeDocument/2006/relationships" r:embed="rId3"/>
        <a:stretch>
          <a:fillRect/>
        </a:stretch>
      </xdr:blipFill>
      <xdr:spPr>
        <a:xfrm>
          <a:off x="135890" y="72273160"/>
          <a:ext cx="18530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F147E781-28A2-4C17-963A-647B81BEB97D}"/>
            </a:ext>
          </a:extLst>
        </xdr:cNvPr>
        <xdr:cNvPicPr>
          <a:picLocks noChangeAspect="1"/>
        </xdr:cNvPicPr>
      </xdr:nvPicPr>
      <xdr:blipFill>
        <a:blip xmlns:r="http://schemas.openxmlformats.org/officeDocument/2006/relationships" r:embed="rId4"/>
        <a:stretch>
          <a:fillRect/>
        </a:stretch>
      </xdr:blipFill>
      <xdr:spPr>
        <a:xfrm>
          <a:off x="27517725" y="72142350"/>
          <a:ext cx="822143" cy="28737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CEFF47BF-7FD8-4A66-822E-97C7706B3CF1}"/>
            </a:ext>
          </a:extLst>
        </xdr:cNvPr>
        <xdr:cNvPicPr>
          <a:picLocks noChangeAspect="1"/>
        </xdr:cNvPicPr>
      </xdr:nvPicPr>
      <xdr:blipFill>
        <a:blip xmlns:r="http://schemas.openxmlformats.org/officeDocument/2006/relationships" r:embed="rId4"/>
        <a:stretch>
          <a:fillRect/>
        </a:stretch>
      </xdr:blipFill>
      <xdr:spPr>
        <a:xfrm>
          <a:off x="27577415" y="49536985"/>
          <a:ext cx="836748" cy="28120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6EB937A4-6EE9-4DC5-924D-B6DF0D44B705}"/>
            </a:ext>
          </a:extLst>
        </xdr:cNvPr>
        <xdr:cNvPicPr>
          <a:picLocks noChangeAspect="1"/>
        </xdr:cNvPicPr>
      </xdr:nvPicPr>
      <xdr:blipFill>
        <a:blip xmlns:r="http://schemas.openxmlformats.org/officeDocument/2006/relationships" r:embed="rId4"/>
        <a:stretch>
          <a:fillRect/>
        </a:stretch>
      </xdr:blipFill>
      <xdr:spPr>
        <a:xfrm>
          <a:off x="27539315" y="27203400"/>
          <a:ext cx="836748" cy="29580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5BD1667C-BB0E-44F2-A94C-A8DF875FBE88}"/>
            </a:ext>
          </a:extLst>
        </xdr:cNvPr>
        <xdr:cNvPicPr>
          <a:picLocks noChangeAspect="1"/>
        </xdr:cNvPicPr>
      </xdr:nvPicPr>
      <xdr:blipFill>
        <a:blip xmlns:r="http://schemas.openxmlformats.org/officeDocument/2006/relationships" r:embed="rId4"/>
        <a:stretch>
          <a:fillRect/>
        </a:stretch>
      </xdr:blipFill>
      <xdr:spPr>
        <a:xfrm>
          <a:off x="27517725" y="10696575"/>
          <a:ext cx="822143" cy="2958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51E9233C-4B9D-461A-AF16-D77992F9D2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AF905DB-6225-4550-A788-BDF5AB50C97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BEEB09B4-9FC8-4E91-BB77-FCDB216E5E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C590187-AA39-4882-A317-4070EB93F6D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813E78ED-57F5-4967-9BC9-F5AED652F3EF}"/>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8C95625B-BD1D-4FFF-8591-DBC8D09D10C0}"/>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9250D7F4-9BFB-4D2B-B59C-E9D1761FD813}"/>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2544B4A8-19A3-4A65-8852-661F28891AEB}"/>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B3ED35A4-3FEC-4B82-94C9-B7BA8F69465F}"/>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10CD22D3-4224-40E0-A13A-571456CB6CB4}"/>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5407DBC9-D709-48B3-98B4-7123E35EBC39}"/>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C0E0C91D-3C17-4EAF-AFE0-2C525BEE315B}"/>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BF69196A-5B92-47E8-8FA5-DD86D503535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E3A70836-14EF-49B5-9002-B34B4B13560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A7FD2569-8858-489E-8A06-B00100199B7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8F30E101-2F0D-4FAC-8266-33B70AA52A0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C03F2EB2-D13E-4F5C-9F59-7FEBD1B219AF}"/>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C432F403-37EF-4B16-91BC-3877DDDABCE6}"/>
            </a:ext>
          </a:extLst>
        </xdr:cNvPr>
        <xdr:cNvPicPr>
          <a:picLocks noChangeAspect="1"/>
        </xdr:cNvPicPr>
      </xdr:nvPicPr>
      <xdr:blipFill>
        <a:blip xmlns:r="http://schemas.openxmlformats.org/officeDocument/2006/relationships" r:embed="rId3"/>
        <a:stretch>
          <a:fillRect/>
        </a:stretch>
      </xdr:blipFill>
      <xdr:spPr>
        <a:xfrm>
          <a:off x="168910" y="27301190"/>
          <a:ext cx="164988" cy="23674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85F5FA0E-2264-42C7-98EA-84153B56CE19}"/>
            </a:ext>
          </a:extLst>
        </xdr:cNvPr>
        <xdr:cNvPicPr>
          <a:picLocks noChangeAspect="1"/>
        </xdr:cNvPicPr>
      </xdr:nvPicPr>
      <xdr:blipFill>
        <a:blip xmlns:r="http://schemas.openxmlformats.org/officeDocument/2006/relationships" r:embed="rId3"/>
        <a:stretch>
          <a:fillRect/>
        </a:stretch>
      </xdr:blipFill>
      <xdr:spPr>
        <a:xfrm>
          <a:off x="135890" y="49596675"/>
          <a:ext cx="189118" cy="22214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6E6EA268-95EE-4C4F-AE0C-48CF433ED766}"/>
            </a:ext>
          </a:extLst>
        </xdr:cNvPr>
        <xdr:cNvPicPr>
          <a:picLocks noChangeAspect="1"/>
        </xdr:cNvPicPr>
      </xdr:nvPicPr>
      <xdr:blipFill>
        <a:blip xmlns:r="http://schemas.openxmlformats.org/officeDocument/2006/relationships" r:embed="rId3"/>
        <a:stretch>
          <a:fillRect/>
        </a:stretch>
      </xdr:blipFill>
      <xdr:spPr>
        <a:xfrm>
          <a:off x="135890" y="72273160"/>
          <a:ext cx="18911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51D768EC-3582-46F7-A75C-93BED6748F4D}"/>
            </a:ext>
          </a:extLst>
        </xdr:cNvPr>
        <xdr:cNvPicPr>
          <a:picLocks noChangeAspect="1"/>
        </xdr:cNvPicPr>
      </xdr:nvPicPr>
      <xdr:blipFill>
        <a:blip xmlns:r="http://schemas.openxmlformats.org/officeDocument/2006/relationships" r:embed="rId4"/>
        <a:stretch>
          <a:fillRect/>
        </a:stretch>
      </xdr:blipFill>
      <xdr:spPr>
        <a:xfrm>
          <a:off x="27517725" y="72142350"/>
          <a:ext cx="818333" cy="28356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1F351248-9B8E-4F9A-8276-E040EB66FB16}"/>
            </a:ext>
          </a:extLst>
        </xdr:cNvPr>
        <xdr:cNvPicPr>
          <a:picLocks noChangeAspect="1"/>
        </xdr:cNvPicPr>
      </xdr:nvPicPr>
      <xdr:blipFill>
        <a:blip xmlns:r="http://schemas.openxmlformats.org/officeDocument/2006/relationships" r:embed="rId4"/>
        <a:stretch>
          <a:fillRect/>
        </a:stretch>
      </xdr:blipFill>
      <xdr:spPr>
        <a:xfrm>
          <a:off x="27577415" y="49536985"/>
          <a:ext cx="832938" cy="27739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45CC9674-E48A-404C-9172-38A8CD042CC5}"/>
            </a:ext>
          </a:extLst>
        </xdr:cNvPr>
        <xdr:cNvPicPr>
          <a:picLocks noChangeAspect="1"/>
        </xdr:cNvPicPr>
      </xdr:nvPicPr>
      <xdr:blipFill>
        <a:blip xmlns:r="http://schemas.openxmlformats.org/officeDocument/2006/relationships" r:embed="rId4"/>
        <a:stretch>
          <a:fillRect/>
        </a:stretch>
      </xdr:blipFill>
      <xdr:spPr>
        <a:xfrm>
          <a:off x="27539315" y="27203400"/>
          <a:ext cx="832938" cy="29199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B79C1096-68B1-4E2C-8D70-E7A24A77D8E3}"/>
            </a:ext>
          </a:extLst>
        </xdr:cNvPr>
        <xdr:cNvPicPr>
          <a:picLocks noChangeAspect="1"/>
        </xdr:cNvPicPr>
      </xdr:nvPicPr>
      <xdr:blipFill>
        <a:blip xmlns:r="http://schemas.openxmlformats.org/officeDocument/2006/relationships" r:embed="rId4"/>
        <a:stretch>
          <a:fillRect/>
        </a:stretch>
      </xdr:blipFill>
      <xdr:spPr>
        <a:xfrm>
          <a:off x="27517725" y="10696575"/>
          <a:ext cx="818333" cy="29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E4218650-0FC0-4670-9410-5164615753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7234237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9CB8F4E0-D67E-4EDF-9713-E34D8BBC8E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496443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E5FA84CE-22D4-4276-A15D-DFAA0299F7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273272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91B87F63-789B-4BD3-9EA7-4D5E869651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560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135148</xdr:rowOff>
    </xdr:to>
    <xdr:pic>
      <xdr:nvPicPr>
        <xdr:cNvPr id="6" name="Picture 5">
          <a:extLst>
            <a:ext uri="{FF2B5EF4-FFF2-40B4-BE49-F238E27FC236}">
              <a16:creationId xmlns:a16="http://schemas.microsoft.com/office/drawing/2014/main" id="{39DF866A-4B71-48FE-9B2C-51028AB815C9}"/>
            </a:ext>
          </a:extLst>
        </xdr:cNvPr>
        <xdr:cNvPicPr>
          <a:picLocks noChangeAspect="1"/>
        </xdr:cNvPicPr>
      </xdr:nvPicPr>
      <xdr:blipFill>
        <a:blip xmlns:r="http://schemas.openxmlformats.org/officeDocument/2006/relationships" r:embed="rId3"/>
        <a:stretch>
          <a:fillRect/>
        </a:stretch>
      </xdr:blipFill>
      <xdr:spPr>
        <a:xfrm>
          <a:off x="139700" y="10829925"/>
          <a:ext cx="181498" cy="21833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215793</xdr:rowOff>
    </xdr:to>
    <xdr:pic>
      <xdr:nvPicPr>
        <xdr:cNvPr id="7" name="Picture 6">
          <a:extLst>
            <a:ext uri="{FF2B5EF4-FFF2-40B4-BE49-F238E27FC236}">
              <a16:creationId xmlns:a16="http://schemas.microsoft.com/office/drawing/2014/main" id="{9BD7307D-8C36-490D-86F7-28B0F7572907}"/>
            </a:ext>
          </a:extLst>
        </xdr:cNvPr>
        <xdr:cNvPicPr>
          <a:picLocks noChangeAspect="1"/>
        </xdr:cNvPicPr>
      </xdr:nvPicPr>
      <xdr:blipFill>
        <a:blip xmlns:r="http://schemas.openxmlformats.org/officeDocument/2006/relationships" r:embed="rId3"/>
        <a:stretch>
          <a:fillRect/>
        </a:stretch>
      </xdr:blipFill>
      <xdr:spPr>
        <a:xfrm>
          <a:off x="165100" y="27343100"/>
          <a:ext cx="178323" cy="229128"/>
        </a:xfrm>
        <a:prstGeom prst="rect">
          <a:avLst/>
        </a:prstGeom>
      </xdr:spPr>
    </xdr:pic>
    <xdr:clientData/>
  </xdr:twoCellAnchor>
  <xdr:twoCellAnchor editAs="oneCell">
    <xdr:from>
      <xdr:col>0</xdr:col>
      <xdr:colOff>139700</xdr:colOff>
      <xdr:row>241</xdr:row>
      <xdr:rowOff>152400</xdr:rowOff>
    </xdr:from>
    <xdr:to>
      <xdr:col>1</xdr:col>
      <xdr:colOff>2247</xdr:colOff>
      <xdr:row>242</xdr:row>
      <xdr:rowOff>173247</xdr:rowOff>
    </xdr:to>
    <xdr:pic>
      <xdr:nvPicPr>
        <xdr:cNvPr id="8" name="Picture 7">
          <a:extLst>
            <a:ext uri="{FF2B5EF4-FFF2-40B4-BE49-F238E27FC236}">
              <a16:creationId xmlns:a16="http://schemas.microsoft.com/office/drawing/2014/main" id="{88C58595-A032-43B2-A5AC-B7409CD78E99}"/>
            </a:ext>
          </a:extLst>
        </xdr:cNvPr>
        <xdr:cNvPicPr>
          <a:picLocks noChangeAspect="1"/>
        </xdr:cNvPicPr>
      </xdr:nvPicPr>
      <xdr:blipFill>
        <a:blip xmlns:r="http://schemas.openxmlformats.org/officeDocument/2006/relationships" r:embed="rId3"/>
        <a:stretch>
          <a:fillRect/>
        </a:stretch>
      </xdr:blipFill>
      <xdr:spPr>
        <a:xfrm>
          <a:off x="139700" y="49644300"/>
          <a:ext cx="181498" cy="218332"/>
        </a:xfrm>
        <a:prstGeom prst="rect">
          <a:avLst/>
        </a:prstGeom>
      </xdr:spPr>
    </xdr:pic>
    <xdr:clientData/>
  </xdr:twoCellAnchor>
  <xdr:twoCellAnchor editAs="oneCell">
    <xdr:from>
      <xdr:col>0</xdr:col>
      <xdr:colOff>139700</xdr:colOff>
      <xdr:row>354</xdr:row>
      <xdr:rowOff>127000</xdr:rowOff>
    </xdr:from>
    <xdr:to>
      <xdr:col>1</xdr:col>
      <xdr:colOff>2247</xdr:colOff>
      <xdr:row>355</xdr:row>
      <xdr:rowOff>114647</xdr:rowOff>
    </xdr:to>
    <xdr:pic>
      <xdr:nvPicPr>
        <xdr:cNvPr id="9" name="Picture 8">
          <a:extLst>
            <a:ext uri="{FF2B5EF4-FFF2-40B4-BE49-F238E27FC236}">
              <a16:creationId xmlns:a16="http://schemas.microsoft.com/office/drawing/2014/main" id="{60E02229-E6D8-498D-AC3F-A796583DC66A}"/>
            </a:ext>
          </a:extLst>
        </xdr:cNvPr>
        <xdr:cNvPicPr>
          <a:picLocks noChangeAspect="1"/>
        </xdr:cNvPicPr>
      </xdr:nvPicPr>
      <xdr:blipFill>
        <a:blip xmlns:r="http://schemas.openxmlformats.org/officeDocument/2006/relationships" r:embed="rId3"/>
        <a:stretch>
          <a:fillRect/>
        </a:stretch>
      </xdr:blipFill>
      <xdr:spPr>
        <a:xfrm>
          <a:off x="139700" y="72345550"/>
          <a:ext cx="181498" cy="225772"/>
        </a:xfrm>
        <a:prstGeom prst="rect">
          <a:avLst/>
        </a:prstGeom>
      </xdr:spPr>
    </xdr:pic>
    <xdr:clientData/>
  </xdr:twoCellAnchor>
  <xdr:twoCellAnchor editAs="oneCell">
    <xdr:from>
      <xdr:col>28</xdr:col>
      <xdr:colOff>0</xdr:colOff>
      <xdr:row>354</xdr:row>
      <xdr:rowOff>0</xdr:rowOff>
    </xdr:from>
    <xdr:to>
      <xdr:col>28</xdr:col>
      <xdr:colOff>824683</xdr:colOff>
      <xdr:row>355</xdr:row>
      <xdr:rowOff>61312</xdr:rowOff>
    </xdr:to>
    <xdr:pic>
      <xdr:nvPicPr>
        <xdr:cNvPr id="10" name="Picture 9">
          <a:extLst>
            <a:ext uri="{FF2B5EF4-FFF2-40B4-BE49-F238E27FC236}">
              <a16:creationId xmlns:a16="http://schemas.microsoft.com/office/drawing/2014/main" id="{7022F9E0-5BFA-4BC7-B238-780819E3BAC6}"/>
            </a:ext>
          </a:extLst>
        </xdr:cNvPr>
        <xdr:cNvPicPr>
          <a:picLocks noChangeAspect="1"/>
        </xdr:cNvPicPr>
      </xdr:nvPicPr>
      <xdr:blipFill>
        <a:blip xmlns:r="http://schemas.openxmlformats.org/officeDocument/2006/relationships" r:embed="rId4"/>
        <a:stretch>
          <a:fillRect/>
        </a:stretch>
      </xdr:blipFill>
      <xdr:spPr>
        <a:xfrm>
          <a:off x="28136850" y="72218550"/>
          <a:ext cx="822143" cy="296897"/>
        </a:xfrm>
        <a:prstGeom prst="rect">
          <a:avLst/>
        </a:prstGeom>
      </xdr:spPr>
    </xdr:pic>
    <xdr:clientData/>
  </xdr:twoCellAnchor>
  <xdr:twoCellAnchor editAs="oneCell">
    <xdr:from>
      <xdr:col>28</xdr:col>
      <xdr:colOff>63500</xdr:colOff>
      <xdr:row>241</xdr:row>
      <xdr:rowOff>88900</xdr:rowOff>
    </xdr:from>
    <xdr:to>
      <xdr:col>28</xdr:col>
      <xdr:colOff>898978</xdr:colOff>
      <xdr:row>242</xdr:row>
      <xdr:rowOff>176427</xdr:rowOff>
    </xdr:to>
    <xdr:pic>
      <xdr:nvPicPr>
        <xdr:cNvPr id="11" name="Picture 10">
          <a:extLst>
            <a:ext uri="{FF2B5EF4-FFF2-40B4-BE49-F238E27FC236}">
              <a16:creationId xmlns:a16="http://schemas.microsoft.com/office/drawing/2014/main" id="{EEA256CD-96CD-4EF7-BAB2-BC70C5AA4E97}"/>
            </a:ext>
          </a:extLst>
        </xdr:cNvPr>
        <xdr:cNvPicPr>
          <a:picLocks noChangeAspect="1"/>
        </xdr:cNvPicPr>
      </xdr:nvPicPr>
      <xdr:blipFill>
        <a:blip xmlns:r="http://schemas.openxmlformats.org/officeDocument/2006/relationships" r:embed="rId4"/>
        <a:stretch>
          <a:fillRect/>
        </a:stretch>
      </xdr:blipFill>
      <xdr:spPr>
        <a:xfrm>
          <a:off x="28200350" y="49580800"/>
          <a:ext cx="832938" cy="285012"/>
        </a:xfrm>
        <a:prstGeom prst="rect">
          <a:avLst/>
        </a:prstGeom>
      </xdr:spPr>
    </xdr:pic>
    <xdr:clientData/>
  </xdr:twoCellAnchor>
  <xdr:twoCellAnchor editAs="oneCell">
    <xdr:from>
      <xdr:col>28</xdr:col>
      <xdr:colOff>25400</xdr:colOff>
      <xdr:row>130</xdr:row>
      <xdr:rowOff>76200</xdr:rowOff>
    </xdr:from>
    <xdr:to>
      <xdr:col>28</xdr:col>
      <xdr:colOff>860878</xdr:colOff>
      <xdr:row>131</xdr:row>
      <xdr:rowOff>174523</xdr:rowOff>
    </xdr:to>
    <xdr:pic>
      <xdr:nvPicPr>
        <xdr:cNvPr id="12" name="Picture 11">
          <a:extLst>
            <a:ext uri="{FF2B5EF4-FFF2-40B4-BE49-F238E27FC236}">
              <a16:creationId xmlns:a16="http://schemas.microsoft.com/office/drawing/2014/main" id="{FCDE6D53-B9AE-454D-9257-AF2795E72C27}"/>
            </a:ext>
          </a:extLst>
        </xdr:cNvPr>
        <xdr:cNvPicPr>
          <a:picLocks noChangeAspect="1"/>
        </xdr:cNvPicPr>
      </xdr:nvPicPr>
      <xdr:blipFill>
        <a:blip xmlns:r="http://schemas.openxmlformats.org/officeDocument/2006/relationships" r:embed="rId4"/>
        <a:stretch>
          <a:fillRect/>
        </a:stretch>
      </xdr:blipFill>
      <xdr:spPr>
        <a:xfrm>
          <a:off x="28162250" y="27241500"/>
          <a:ext cx="832938" cy="295808"/>
        </a:xfrm>
        <a:prstGeom prst="rect">
          <a:avLst/>
        </a:prstGeom>
      </xdr:spPr>
    </xdr:pic>
    <xdr:clientData/>
  </xdr:twoCellAnchor>
  <xdr:twoCellAnchor editAs="oneCell">
    <xdr:from>
      <xdr:col>28</xdr:col>
      <xdr:colOff>0</xdr:colOff>
      <xdr:row>51</xdr:row>
      <xdr:rowOff>0</xdr:rowOff>
    </xdr:from>
    <xdr:to>
      <xdr:col>28</xdr:col>
      <xdr:colOff>824683</xdr:colOff>
      <xdr:row>52</xdr:row>
      <xdr:rowOff>98323</xdr:rowOff>
    </xdr:to>
    <xdr:pic>
      <xdr:nvPicPr>
        <xdr:cNvPr id="13" name="Picture 12">
          <a:extLst>
            <a:ext uri="{FF2B5EF4-FFF2-40B4-BE49-F238E27FC236}">
              <a16:creationId xmlns:a16="http://schemas.microsoft.com/office/drawing/2014/main" id="{E6E9967E-660A-43A8-80D1-5DACA6F60F19}"/>
            </a:ext>
          </a:extLst>
        </xdr:cNvPr>
        <xdr:cNvPicPr>
          <a:picLocks noChangeAspect="1"/>
        </xdr:cNvPicPr>
      </xdr:nvPicPr>
      <xdr:blipFill>
        <a:blip xmlns:r="http://schemas.openxmlformats.org/officeDocument/2006/relationships" r:embed="rId4"/>
        <a:stretch>
          <a:fillRect/>
        </a:stretch>
      </xdr:blipFill>
      <xdr:spPr>
        <a:xfrm>
          <a:off x="28136850" y="10715625"/>
          <a:ext cx="822143" cy="295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3D8E17CE-CD42-4012-88F3-131B9FCCBC9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E6811B6-F386-4D24-A097-64059927A7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2B0BE14F-F688-45B3-ACFE-1B79B011AF7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869F3E3-A378-4758-8BAA-B85F356AFA5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C0F1DFAC-9338-45D0-861A-67A7537850D0}"/>
            </a:ext>
          </a:extLst>
        </xdr:cNvPr>
        <xdr:cNvPicPr>
          <a:picLocks noChangeAspect="1"/>
        </xdr:cNvPicPr>
      </xdr:nvPicPr>
      <xdr:blipFill>
        <a:blip xmlns:r="http://schemas.openxmlformats.org/officeDocument/2006/relationships" r:embed="rId3"/>
        <a:stretch>
          <a:fillRect/>
        </a:stretch>
      </xdr:blipFill>
      <xdr:spPr>
        <a:xfrm>
          <a:off x="142875" y="10810875"/>
          <a:ext cx="170703" cy="23166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203093</xdr:rowOff>
    </xdr:to>
    <xdr:pic>
      <xdr:nvPicPr>
        <xdr:cNvPr id="7" name="Picture 6">
          <a:extLst>
            <a:ext uri="{FF2B5EF4-FFF2-40B4-BE49-F238E27FC236}">
              <a16:creationId xmlns:a16="http://schemas.microsoft.com/office/drawing/2014/main" id="{5E9FCD9E-071F-47FB-B44A-299AD0B11D7F}"/>
            </a:ext>
          </a:extLst>
        </xdr:cNvPr>
        <xdr:cNvPicPr>
          <a:picLocks noChangeAspect="1"/>
        </xdr:cNvPicPr>
      </xdr:nvPicPr>
      <xdr:blipFill>
        <a:blip xmlns:r="http://schemas.openxmlformats.org/officeDocument/2006/relationships" r:embed="rId3"/>
        <a:stretch>
          <a:fillRect/>
        </a:stretch>
      </xdr:blipFill>
      <xdr:spPr>
        <a:xfrm>
          <a:off x="161925" y="27317700"/>
          <a:ext cx="171973" cy="222143"/>
        </a:xfrm>
        <a:prstGeom prst="rect">
          <a:avLst/>
        </a:prstGeom>
      </xdr:spPr>
    </xdr:pic>
    <xdr:clientData/>
  </xdr:twoCellAnchor>
  <xdr:twoCellAnchor editAs="oneCell">
    <xdr:from>
      <xdr:col>0</xdr:col>
      <xdr:colOff>139700</xdr:colOff>
      <xdr:row>241</xdr:row>
      <xdr:rowOff>152400</xdr:rowOff>
    </xdr:from>
    <xdr:to>
      <xdr:col>0</xdr:col>
      <xdr:colOff>313578</xdr:colOff>
      <xdr:row>242</xdr:row>
      <xdr:rowOff>184042</xdr:rowOff>
    </xdr:to>
    <xdr:pic>
      <xdr:nvPicPr>
        <xdr:cNvPr id="8" name="Picture 7">
          <a:extLst>
            <a:ext uri="{FF2B5EF4-FFF2-40B4-BE49-F238E27FC236}">
              <a16:creationId xmlns:a16="http://schemas.microsoft.com/office/drawing/2014/main" id="{9811EE00-E740-433F-B312-4005EC144A14}"/>
            </a:ext>
          </a:extLst>
        </xdr:cNvPr>
        <xdr:cNvPicPr>
          <a:picLocks noChangeAspect="1"/>
        </xdr:cNvPicPr>
      </xdr:nvPicPr>
      <xdr:blipFill>
        <a:blip xmlns:r="http://schemas.openxmlformats.org/officeDocument/2006/relationships" r:embed="rId3"/>
        <a:stretch>
          <a:fillRect/>
        </a:stretch>
      </xdr:blipFill>
      <xdr:spPr>
        <a:xfrm>
          <a:off x="142875" y="49530000"/>
          <a:ext cx="170703" cy="231667"/>
        </a:xfrm>
        <a:prstGeom prst="rect">
          <a:avLst/>
        </a:prstGeom>
      </xdr:spPr>
    </xdr:pic>
    <xdr:clientData/>
  </xdr:twoCellAnchor>
  <xdr:twoCellAnchor editAs="oneCell">
    <xdr:from>
      <xdr:col>0</xdr:col>
      <xdr:colOff>139700</xdr:colOff>
      <xdr:row>371</xdr:row>
      <xdr:rowOff>127000</xdr:rowOff>
    </xdr:from>
    <xdr:to>
      <xdr:col>0</xdr:col>
      <xdr:colOff>313578</xdr:colOff>
      <xdr:row>372</xdr:row>
      <xdr:rowOff>114647</xdr:rowOff>
    </xdr:to>
    <xdr:pic>
      <xdr:nvPicPr>
        <xdr:cNvPr id="9" name="Picture 8">
          <a:extLst>
            <a:ext uri="{FF2B5EF4-FFF2-40B4-BE49-F238E27FC236}">
              <a16:creationId xmlns:a16="http://schemas.microsoft.com/office/drawing/2014/main" id="{FEFBB37A-5458-4CA8-B15E-40656DD9728B}"/>
            </a:ext>
          </a:extLst>
        </xdr:cNvPr>
        <xdr:cNvPicPr>
          <a:picLocks noChangeAspect="1"/>
        </xdr:cNvPicPr>
      </xdr:nvPicPr>
      <xdr:blipFill>
        <a:blip xmlns:r="http://schemas.openxmlformats.org/officeDocument/2006/relationships" r:embed="rId3"/>
        <a:stretch>
          <a:fillRect/>
        </a:stretch>
      </xdr:blipFill>
      <xdr:spPr>
        <a:xfrm>
          <a:off x="142875" y="75618975"/>
          <a:ext cx="170703" cy="228947"/>
        </a:xfrm>
        <a:prstGeom prst="rect">
          <a:avLst/>
        </a:prstGeom>
      </xdr:spPr>
    </xdr:pic>
    <xdr:clientData/>
  </xdr:twoCellAnchor>
  <xdr:twoCellAnchor editAs="oneCell">
    <xdr:from>
      <xdr:col>28</xdr:col>
      <xdr:colOff>0</xdr:colOff>
      <xdr:row>371</xdr:row>
      <xdr:rowOff>0</xdr:rowOff>
    </xdr:from>
    <xdr:to>
      <xdr:col>28</xdr:col>
      <xdr:colOff>825953</xdr:colOff>
      <xdr:row>372</xdr:row>
      <xdr:rowOff>45437</xdr:rowOff>
    </xdr:to>
    <xdr:pic>
      <xdr:nvPicPr>
        <xdr:cNvPr id="10" name="Picture 9">
          <a:extLst>
            <a:ext uri="{FF2B5EF4-FFF2-40B4-BE49-F238E27FC236}">
              <a16:creationId xmlns:a16="http://schemas.microsoft.com/office/drawing/2014/main" id="{2E6CEC84-87D9-434B-A4CF-E80E15036E94}"/>
            </a:ext>
          </a:extLst>
        </xdr:cNvPr>
        <xdr:cNvPicPr>
          <a:picLocks noChangeAspect="1"/>
        </xdr:cNvPicPr>
      </xdr:nvPicPr>
      <xdr:blipFill>
        <a:blip xmlns:r="http://schemas.openxmlformats.org/officeDocument/2006/relationships" r:embed="rId4"/>
        <a:stretch>
          <a:fillRect/>
        </a:stretch>
      </xdr:blipFill>
      <xdr:spPr>
        <a:xfrm>
          <a:off x="27184350" y="75495150"/>
          <a:ext cx="825953" cy="283562"/>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181507</xdr:rowOff>
    </xdr:to>
    <xdr:pic>
      <xdr:nvPicPr>
        <xdr:cNvPr id="11" name="Picture 10">
          <a:extLst>
            <a:ext uri="{FF2B5EF4-FFF2-40B4-BE49-F238E27FC236}">
              <a16:creationId xmlns:a16="http://schemas.microsoft.com/office/drawing/2014/main" id="{C0323725-09D7-401B-B06B-207F692B5028}"/>
            </a:ext>
          </a:extLst>
        </xdr:cNvPr>
        <xdr:cNvPicPr>
          <a:picLocks noChangeAspect="1"/>
        </xdr:cNvPicPr>
      </xdr:nvPicPr>
      <xdr:blipFill>
        <a:blip xmlns:r="http://schemas.openxmlformats.org/officeDocument/2006/relationships" r:embed="rId4"/>
        <a:stretch>
          <a:fillRect/>
        </a:stretch>
      </xdr:blipFill>
      <xdr:spPr>
        <a:xfrm>
          <a:off x="27251025" y="49463325"/>
          <a:ext cx="825953" cy="29580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162458</xdr:rowOff>
    </xdr:to>
    <xdr:pic>
      <xdr:nvPicPr>
        <xdr:cNvPr id="12" name="Picture 11">
          <a:extLst>
            <a:ext uri="{FF2B5EF4-FFF2-40B4-BE49-F238E27FC236}">
              <a16:creationId xmlns:a16="http://schemas.microsoft.com/office/drawing/2014/main" id="{65F654AB-1753-4108-8044-9995DDFD5531}"/>
            </a:ext>
          </a:extLst>
        </xdr:cNvPr>
        <xdr:cNvPicPr>
          <a:picLocks noChangeAspect="1"/>
        </xdr:cNvPicPr>
      </xdr:nvPicPr>
      <xdr:blipFill>
        <a:blip xmlns:r="http://schemas.openxmlformats.org/officeDocument/2006/relationships" r:embed="rId4"/>
        <a:stretch>
          <a:fillRect/>
        </a:stretch>
      </xdr:blipFill>
      <xdr:spPr>
        <a:xfrm>
          <a:off x="27212925" y="27212925"/>
          <a:ext cx="825953" cy="286283"/>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C17BEF1C-61B9-4F83-84FA-A726864C28A9}"/>
            </a:ext>
          </a:extLst>
        </xdr:cNvPr>
        <xdr:cNvPicPr>
          <a:picLocks noChangeAspect="1"/>
        </xdr:cNvPicPr>
      </xdr:nvPicPr>
      <xdr:blipFill>
        <a:blip xmlns:r="http://schemas.openxmlformats.org/officeDocument/2006/relationships" r:embed="rId4"/>
        <a:stretch>
          <a:fillRect/>
        </a:stretch>
      </xdr:blipFill>
      <xdr:spPr>
        <a:xfrm>
          <a:off x="27184350" y="10696575"/>
          <a:ext cx="825953" cy="286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282E4620-3702-40E8-8A73-3FE994F167A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BE7B1CE-B298-4804-B82F-D0D3B712F49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CAB819F0-DDA2-4A14-B8FC-D07DC26BB3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C44A057A-27F5-491F-BEC8-E7382A2D0C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639F8F2B-3098-43C8-B922-E5FBC5B94813}"/>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203093</xdr:rowOff>
    </xdr:to>
    <xdr:pic>
      <xdr:nvPicPr>
        <xdr:cNvPr id="7" name="Picture 6">
          <a:extLst>
            <a:ext uri="{FF2B5EF4-FFF2-40B4-BE49-F238E27FC236}">
              <a16:creationId xmlns:a16="http://schemas.microsoft.com/office/drawing/2014/main" id="{755FD172-5637-4B27-9CEC-7972FDC65965}"/>
            </a:ext>
          </a:extLst>
        </xdr:cNvPr>
        <xdr:cNvPicPr>
          <a:picLocks noChangeAspect="1"/>
        </xdr:cNvPicPr>
      </xdr:nvPicPr>
      <xdr:blipFill>
        <a:blip xmlns:r="http://schemas.openxmlformats.org/officeDocument/2006/relationships" r:embed="rId3"/>
        <a:stretch>
          <a:fillRect/>
        </a:stretch>
      </xdr:blipFill>
      <xdr:spPr>
        <a:xfrm>
          <a:off x="161925" y="27317700"/>
          <a:ext cx="171973" cy="218968"/>
        </a:xfrm>
        <a:prstGeom prst="rect">
          <a:avLst/>
        </a:prstGeom>
      </xdr:spPr>
    </xdr:pic>
    <xdr:clientData/>
  </xdr:twoCellAnchor>
  <xdr:twoCellAnchor editAs="oneCell">
    <xdr:from>
      <xdr:col>0</xdr:col>
      <xdr:colOff>139700</xdr:colOff>
      <xdr:row>241</xdr:row>
      <xdr:rowOff>152400</xdr:rowOff>
    </xdr:from>
    <xdr:to>
      <xdr:col>0</xdr:col>
      <xdr:colOff>313578</xdr:colOff>
      <xdr:row>242</xdr:row>
      <xdr:rowOff>184042</xdr:rowOff>
    </xdr:to>
    <xdr:pic>
      <xdr:nvPicPr>
        <xdr:cNvPr id="8" name="Picture 7">
          <a:extLst>
            <a:ext uri="{FF2B5EF4-FFF2-40B4-BE49-F238E27FC236}">
              <a16:creationId xmlns:a16="http://schemas.microsoft.com/office/drawing/2014/main" id="{CF67D725-4C9D-46F1-8D83-FF8A97BAA0D8}"/>
            </a:ext>
          </a:extLst>
        </xdr:cNvPr>
        <xdr:cNvPicPr>
          <a:picLocks noChangeAspect="1"/>
        </xdr:cNvPicPr>
      </xdr:nvPicPr>
      <xdr:blipFill>
        <a:blip xmlns:r="http://schemas.openxmlformats.org/officeDocument/2006/relationships" r:embed="rId3"/>
        <a:stretch>
          <a:fillRect/>
        </a:stretch>
      </xdr:blipFill>
      <xdr:spPr>
        <a:xfrm>
          <a:off x="142875" y="49530000"/>
          <a:ext cx="173878" cy="228492"/>
        </a:xfrm>
        <a:prstGeom prst="rect">
          <a:avLst/>
        </a:prstGeom>
      </xdr:spPr>
    </xdr:pic>
    <xdr:clientData/>
  </xdr:twoCellAnchor>
  <xdr:twoCellAnchor editAs="oneCell">
    <xdr:from>
      <xdr:col>0</xdr:col>
      <xdr:colOff>139700</xdr:colOff>
      <xdr:row>371</xdr:row>
      <xdr:rowOff>127000</xdr:rowOff>
    </xdr:from>
    <xdr:to>
      <xdr:col>0</xdr:col>
      <xdr:colOff>313578</xdr:colOff>
      <xdr:row>372</xdr:row>
      <xdr:rowOff>114647</xdr:rowOff>
    </xdr:to>
    <xdr:pic>
      <xdr:nvPicPr>
        <xdr:cNvPr id="9" name="Picture 8">
          <a:extLst>
            <a:ext uri="{FF2B5EF4-FFF2-40B4-BE49-F238E27FC236}">
              <a16:creationId xmlns:a16="http://schemas.microsoft.com/office/drawing/2014/main" id="{EB917956-E2C3-4B15-B517-E3AAE6A6E98B}"/>
            </a:ext>
          </a:extLst>
        </xdr:cNvPr>
        <xdr:cNvPicPr>
          <a:picLocks noChangeAspect="1"/>
        </xdr:cNvPicPr>
      </xdr:nvPicPr>
      <xdr:blipFill>
        <a:blip xmlns:r="http://schemas.openxmlformats.org/officeDocument/2006/relationships" r:embed="rId3"/>
        <a:stretch>
          <a:fillRect/>
        </a:stretch>
      </xdr:blipFill>
      <xdr:spPr>
        <a:xfrm>
          <a:off x="142875" y="75618975"/>
          <a:ext cx="173878" cy="228947"/>
        </a:xfrm>
        <a:prstGeom prst="rect">
          <a:avLst/>
        </a:prstGeom>
      </xdr:spPr>
    </xdr:pic>
    <xdr:clientData/>
  </xdr:twoCellAnchor>
  <xdr:twoCellAnchor editAs="oneCell">
    <xdr:from>
      <xdr:col>28</xdr:col>
      <xdr:colOff>0</xdr:colOff>
      <xdr:row>371</xdr:row>
      <xdr:rowOff>0</xdr:rowOff>
    </xdr:from>
    <xdr:to>
      <xdr:col>28</xdr:col>
      <xdr:colOff>825953</xdr:colOff>
      <xdr:row>372</xdr:row>
      <xdr:rowOff>45437</xdr:rowOff>
    </xdr:to>
    <xdr:pic>
      <xdr:nvPicPr>
        <xdr:cNvPr id="10" name="Picture 9">
          <a:extLst>
            <a:ext uri="{FF2B5EF4-FFF2-40B4-BE49-F238E27FC236}">
              <a16:creationId xmlns:a16="http://schemas.microsoft.com/office/drawing/2014/main" id="{98C47165-0239-4668-8D36-6208A67FD990}"/>
            </a:ext>
          </a:extLst>
        </xdr:cNvPr>
        <xdr:cNvPicPr>
          <a:picLocks noChangeAspect="1"/>
        </xdr:cNvPicPr>
      </xdr:nvPicPr>
      <xdr:blipFill>
        <a:blip xmlns:r="http://schemas.openxmlformats.org/officeDocument/2006/relationships" r:embed="rId4"/>
        <a:stretch>
          <a:fillRect/>
        </a:stretch>
      </xdr:blipFill>
      <xdr:spPr>
        <a:xfrm>
          <a:off x="27184350" y="75495150"/>
          <a:ext cx="829128" cy="28673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181507</xdr:rowOff>
    </xdr:to>
    <xdr:pic>
      <xdr:nvPicPr>
        <xdr:cNvPr id="11" name="Picture 10">
          <a:extLst>
            <a:ext uri="{FF2B5EF4-FFF2-40B4-BE49-F238E27FC236}">
              <a16:creationId xmlns:a16="http://schemas.microsoft.com/office/drawing/2014/main" id="{34C553E0-7E6D-4511-B8B3-814BF703786B}"/>
            </a:ext>
          </a:extLst>
        </xdr:cNvPr>
        <xdr:cNvPicPr>
          <a:picLocks noChangeAspect="1"/>
        </xdr:cNvPicPr>
      </xdr:nvPicPr>
      <xdr:blipFill>
        <a:blip xmlns:r="http://schemas.openxmlformats.org/officeDocument/2006/relationships" r:embed="rId4"/>
        <a:stretch>
          <a:fillRect/>
        </a:stretch>
      </xdr:blipFill>
      <xdr:spPr>
        <a:xfrm>
          <a:off x="27251025" y="49463325"/>
          <a:ext cx="825953" cy="29263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162458</xdr:rowOff>
    </xdr:to>
    <xdr:pic>
      <xdr:nvPicPr>
        <xdr:cNvPr id="12" name="Picture 11">
          <a:extLst>
            <a:ext uri="{FF2B5EF4-FFF2-40B4-BE49-F238E27FC236}">
              <a16:creationId xmlns:a16="http://schemas.microsoft.com/office/drawing/2014/main" id="{48D27117-CF45-4435-8C62-E74E2DA9580F}"/>
            </a:ext>
          </a:extLst>
        </xdr:cNvPr>
        <xdr:cNvPicPr>
          <a:picLocks noChangeAspect="1"/>
        </xdr:cNvPicPr>
      </xdr:nvPicPr>
      <xdr:blipFill>
        <a:blip xmlns:r="http://schemas.openxmlformats.org/officeDocument/2006/relationships" r:embed="rId4"/>
        <a:stretch>
          <a:fillRect/>
        </a:stretch>
      </xdr:blipFill>
      <xdr:spPr>
        <a:xfrm>
          <a:off x="27212925" y="27212925"/>
          <a:ext cx="825953" cy="283108"/>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36138C27-0E4B-4DCB-A309-980B913D1CC2}"/>
            </a:ext>
          </a:extLst>
        </xdr:cNvPr>
        <xdr:cNvPicPr>
          <a:picLocks noChangeAspect="1"/>
        </xdr:cNvPicPr>
      </xdr:nvPicPr>
      <xdr:blipFill>
        <a:blip xmlns:r="http://schemas.openxmlformats.org/officeDocument/2006/relationships" r:embed="rId4"/>
        <a:stretch>
          <a:fillRect/>
        </a:stretch>
      </xdr:blipFill>
      <xdr:spPr>
        <a:xfrm>
          <a:off x="27184350" y="10696575"/>
          <a:ext cx="829128" cy="283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371</xdr:row>
      <xdr:rowOff>123825</xdr:rowOff>
    </xdr:from>
    <xdr:to>
      <xdr:col>28</xdr:col>
      <xdr:colOff>1895475</xdr:colOff>
      <xdr:row>373</xdr:row>
      <xdr:rowOff>152400</xdr:rowOff>
    </xdr:to>
    <xdr:pic>
      <xdr:nvPicPr>
        <xdr:cNvPr id="2" name="Picture 1" descr="C:\WINDOWS\TEMP\~0003946.gif">
          <a:extLst>
            <a:ext uri="{FF2B5EF4-FFF2-40B4-BE49-F238E27FC236}">
              <a16:creationId xmlns:a16="http://schemas.microsoft.com/office/drawing/2014/main" id="{6979078F-836B-459D-AE0C-56A35B6DDB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56158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C47F3FA-A351-4DAD-A738-00316BB3BE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95300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07DB9AC7-786E-4575-88A9-C3955CC9CF1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2954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5D988A6-EDDC-4103-8C3A-D3E835A32F4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F1897203-0880-4CB6-8F00-B9636CC8C61A}"/>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5F5069BC-3261-4139-AF59-E462848482B4}"/>
            </a:ext>
          </a:extLst>
        </xdr:cNvPr>
        <xdr:cNvPicPr>
          <a:picLocks noChangeAspect="1"/>
        </xdr:cNvPicPr>
      </xdr:nvPicPr>
      <xdr:blipFill>
        <a:blip xmlns:r="http://schemas.openxmlformats.org/officeDocument/2006/relationships" r:embed="rId3"/>
        <a:stretch>
          <a:fillRect/>
        </a:stretch>
      </xdr:blipFill>
      <xdr:spPr>
        <a:xfrm>
          <a:off x="161925" y="27317700"/>
          <a:ext cx="171973" cy="218968"/>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E85CCAC4-2BB3-4C50-9439-805030DF457B}"/>
            </a:ext>
          </a:extLst>
        </xdr:cNvPr>
        <xdr:cNvPicPr>
          <a:picLocks noChangeAspect="1"/>
        </xdr:cNvPicPr>
      </xdr:nvPicPr>
      <xdr:blipFill>
        <a:blip xmlns:r="http://schemas.openxmlformats.org/officeDocument/2006/relationships" r:embed="rId3"/>
        <a:stretch>
          <a:fillRect/>
        </a:stretch>
      </xdr:blipFill>
      <xdr:spPr>
        <a:xfrm>
          <a:off x="142875" y="49530000"/>
          <a:ext cx="173878" cy="228492"/>
        </a:xfrm>
        <a:prstGeom prst="rect">
          <a:avLst/>
        </a:prstGeom>
      </xdr:spPr>
    </xdr:pic>
    <xdr:clientData/>
  </xdr:twoCellAnchor>
  <xdr:twoCellAnchor editAs="oneCell">
    <xdr:from>
      <xdr:col>0</xdr:col>
      <xdr:colOff>139700</xdr:colOff>
      <xdr:row>371</xdr:row>
      <xdr:rowOff>127000</xdr:rowOff>
    </xdr:from>
    <xdr:to>
      <xdr:col>0</xdr:col>
      <xdr:colOff>317388</xdr:colOff>
      <xdr:row>372</xdr:row>
      <xdr:rowOff>114647</xdr:rowOff>
    </xdr:to>
    <xdr:pic>
      <xdr:nvPicPr>
        <xdr:cNvPr id="9" name="Picture 8">
          <a:extLst>
            <a:ext uri="{FF2B5EF4-FFF2-40B4-BE49-F238E27FC236}">
              <a16:creationId xmlns:a16="http://schemas.microsoft.com/office/drawing/2014/main" id="{B8ECF294-BED6-4DE1-9EC8-41365DFE7C50}"/>
            </a:ext>
          </a:extLst>
        </xdr:cNvPr>
        <xdr:cNvPicPr>
          <a:picLocks noChangeAspect="1"/>
        </xdr:cNvPicPr>
      </xdr:nvPicPr>
      <xdr:blipFill>
        <a:blip xmlns:r="http://schemas.openxmlformats.org/officeDocument/2006/relationships" r:embed="rId3"/>
        <a:stretch>
          <a:fillRect/>
        </a:stretch>
      </xdr:blipFill>
      <xdr:spPr>
        <a:xfrm>
          <a:off x="142875" y="75618975"/>
          <a:ext cx="173878" cy="228947"/>
        </a:xfrm>
        <a:prstGeom prst="rect">
          <a:avLst/>
        </a:prstGeom>
      </xdr:spPr>
    </xdr:pic>
    <xdr:clientData/>
  </xdr:twoCellAnchor>
  <xdr:twoCellAnchor editAs="oneCell">
    <xdr:from>
      <xdr:col>28</xdr:col>
      <xdr:colOff>0</xdr:colOff>
      <xdr:row>371</xdr:row>
      <xdr:rowOff>0</xdr:rowOff>
    </xdr:from>
    <xdr:to>
      <xdr:col>28</xdr:col>
      <xdr:colOff>818333</xdr:colOff>
      <xdr:row>372</xdr:row>
      <xdr:rowOff>49247</xdr:rowOff>
    </xdr:to>
    <xdr:pic>
      <xdr:nvPicPr>
        <xdr:cNvPr id="10" name="Picture 9">
          <a:extLst>
            <a:ext uri="{FF2B5EF4-FFF2-40B4-BE49-F238E27FC236}">
              <a16:creationId xmlns:a16="http://schemas.microsoft.com/office/drawing/2014/main" id="{87EFFB18-757E-4071-B8DC-83DEA5519360}"/>
            </a:ext>
          </a:extLst>
        </xdr:cNvPr>
        <xdr:cNvPicPr>
          <a:picLocks noChangeAspect="1"/>
        </xdr:cNvPicPr>
      </xdr:nvPicPr>
      <xdr:blipFill>
        <a:blip xmlns:r="http://schemas.openxmlformats.org/officeDocument/2006/relationships" r:embed="rId4"/>
        <a:stretch>
          <a:fillRect/>
        </a:stretch>
      </xdr:blipFill>
      <xdr:spPr>
        <a:xfrm>
          <a:off x="27184350" y="75495150"/>
          <a:ext cx="829128" cy="28673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67436D2A-BD14-4F20-9D87-AE0D359108F2}"/>
            </a:ext>
          </a:extLst>
        </xdr:cNvPr>
        <xdr:cNvPicPr>
          <a:picLocks noChangeAspect="1"/>
        </xdr:cNvPicPr>
      </xdr:nvPicPr>
      <xdr:blipFill>
        <a:blip xmlns:r="http://schemas.openxmlformats.org/officeDocument/2006/relationships" r:embed="rId4"/>
        <a:stretch>
          <a:fillRect/>
        </a:stretch>
      </xdr:blipFill>
      <xdr:spPr>
        <a:xfrm>
          <a:off x="27251025" y="49463325"/>
          <a:ext cx="825953" cy="292632"/>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EFF7DEC9-04ED-4376-A354-D97DB179804D}"/>
            </a:ext>
          </a:extLst>
        </xdr:cNvPr>
        <xdr:cNvPicPr>
          <a:picLocks noChangeAspect="1"/>
        </xdr:cNvPicPr>
      </xdr:nvPicPr>
      <xdr:blipFill>
        <a:blip xmlns:r="http://schemas.openxmlformats.org/officeDocument/2006/relationships" r:embed="rId4"/>
        <a:stretch>
          <a:fillRect/>
        </a:stretch>
      </xdr:blipFill>
      <xdr:spPr>
        <a:xfrm>
          <a:off x="27212925" y="27212925"/>
          <a:ext cx="825953" cy="283108"/>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AFA3AE5D-2600-414D-AE7C-338DD398AB9E}"/>
            </a:ext>
          </a:extLst>
        </xdr:cNvPr>
        <xdr:cNvPicPr>
          <a:picLocks noChangeAspect="1"/>
        </xdr:cNvPicPr>
      </xdr:nvPicPr>
      <xdr:blipFill>
        <a:blip xmlns:r="http://schemas.openxmlformats.org/officeDocument/2006/relationships" r:embed="rId4"/>
        <a:stretch>
          <a:fillRect/>
        </a:stretch>
      </xdr:blipFill>
      <xdr:spPr>
        <a:xfrm>
          <a:off x="27184350" y="10696575"/>
          <a:ext cx="829128" cy="283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1E339E32-A514-496B-B2E1-17139061263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745521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4A969E03-52F0-454E-98DE-D5783E2FBAC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510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6A6EDD8B-4FE1-438B-B43D-4688137A7AA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865969A2-BEE6-4BD9-82D4-59641158347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0192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84E168D7-F01B-42C5-85B7-62278EF8B1DF}"/>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E1B18420-7BA2-4FAC-82CA-7AA77E613BCA}"/>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CABDF841-8D2E-49F9-9191-8FC12754CE0D}"/>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04D4E219-CB48-4798-8B0F-FBA20D075B44}"/>
            </a:ext>
          </a:extLst>
        </xdr:cNvPr>
        <xdr:cNvPicPr>
          <a:picLocks noChangeAspect="1"/>
        </xdr:cNvPicPr>
      </xdr:nvPicPr>
      <xdr:blipFill>
        <a:blip xmlns:r="http://schemas.openxmlformats.org/officeDocument/2006/relationships" r:embed="rId3"/>
        <a:stretch>
          <a:fillRect/>
        </a:stretch>
      </xdr:blipFill>
      <xdr:spPr>
        <a:xfrm>
          <a:off x="139700" y="7455535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E6269DCC-1AD7-4174-9760-C69C80F9AF50}"/>
            </a:ext>
          </a:extLst>
        </xdr:cNvPr>
        <xdr:cNvPicPr>
          <a:picLocks noChangeAspect="1"/>
        </xdr:cNvPicPr>
      </xdr:nvPicPr>
      <xdr:blipFill>
        <a:blip xmlns:r="http://schemas.openxmlformats.org/officeDocument/2006/relationships" r:embed="rId4"/>
        <a:stretch>
          <a:fillRect/>
        </a:stretch>
      </xdr:blipFill>
      <xdr:spPr>
        <a:xfrm>
          <a:off x="27127200" y="7442835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27F1D46F-DEDA-4FA0-85BB-6072995C460D}"/>
            </a:ext>
          </a:extLst>
        </xdr:cNvPr>
        <xdr:cNvPicPr>
          <a:picLocks noChangeAspect="1"/>
        </xdr:cNvPicPr>
      </xdr:nvPicPr>
      <xdr:blipFill>
        <a:blip xmlns:r="http://schemas.openxmlformats.org/officeDocument/2006/relationships" r:embed="rId4"/>
        <a:stretch>
          <a:fillRect/>
        </a:stretch>
      </xdr:blipFill>
      <xdr:spPr>
        <a:xfrm>
          <a:off x="271907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3FB293AB-F918-4DEF-BD95-B59E7E29DCD7}"/>
            </a:ext>
          </a:extLst>
        </xdr:cNvPr>
        <xdr:cNvPicPr>
          <a:picLocks noChangeAspect="1"/>
        </xdr:cNvPicPr>
      </xdr:nvPicPr>
      <xdr:blipFill>
        <a:blip xmlns:r="http://schemas.openxmlformats.org/officeDocument/2006/relationships" r:embed="rId4"/>
        <a:stretch>
          <a:fillRect/>
        </a:stretch>
      </xdr:blipFill>
      <xdr:spPr>
        <a:xfrm>
          <a:off x="271526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214B7357-334A-4322-8423-4740D9EEE1C6}"/>
            </a:ext>
          </a:extLst>
        </xdr:cNvPr>
        <xdr:cNvPicPr>
          <a:picLocks noChangeAspect="1"/>
        </xdr:cNvPicPr>
      </xdr:nvPicPr>
      <xdr:blipFill>
        <a:blip xmlns:r="http://schemas.openxmlformats.org/officeDocument/2006/relationships" r:embed="rId4"/>
        <a:stretch>
          <a:fillRect/>
        </a:stretch>
      </xdr:blipFill>
      <xdr:spPr>
        <a:xfrm>
          <a:off x="27127200" y="10547350"/>
          <a:ext cx="818333" cy="2888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81C4E5F5-C7CB-4720-9E1F-479319F9420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71180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5B64F109-46D0-4D53-98F2-90C5130785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6065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4F8BD700-1364-41D2-A08F-399B5B3499B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AADA0190-FC97-4AA7-BEDD-BB1AFAC88B5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31AF8997-C246-4CE9-B13B-6D3BA4734CCB}"/>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1743C1FA-309D-42D4-84FD-5C838EBA1B8C}"/>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B90F86B9-1BDE-44B6-A93B-A22D84D200D4}"/>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291B48A1-70F3-4B7A-B30B-70CA3A775231}"/>
            </a:ext>
          </a:extLst>
        </xdr:cNvPr>
        <xdr:cNvPicPr>
          <a:picLocks noChangeAspect="1"/>
        </xdr:cNvPicPr>
      </xdr:nvPicPr>
      <xdr:blipFill>
        <a:blip xmlns:r="http://schemas.openxmlformats.org/officeDocument/2006/relationships" r:embed="rId3"/>
        <a:stretch>
          <a:fillRect/>
        </a:stretch>
      </xdr:blipFill>
      <xdr:spPr>
        <a:xfrm>
          <a:off x="139700" y="7118350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16490CAD-CD65-4C57-BE46-78F8670576F9}"/>
            </a:ext>
          </a:extLst>
        </xdr:cNvPr>
        <xdr:cNvPicPr>
          <a:picLocks noChangeAspect="1"/>
        </xdr:cNvPicPr>
      </xdr:nvPicPr>
      <xdr:blipFill>
        <a:blip xmlns:r="http://schemas.openxmlformats.org/officeDocument/2006/relationships" r:embed="rId4"/>
        <a:stretch>
          <a:fillRect/>
        </a:stretch>
      </xdr:blipFill>
      <xdr:spPr>
        <a:xfrm>
          <a:off x="27076400" y="7105650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27AD9438-1CF4-47F4-9BB9-58C759DBDF9E}"/>
            </a:ext>
          </a:extLst>
        </xdr:cNvPr>
        <xdr:cNvPicPr>
          <a:picLocks noChangeAspect="1"/>
        </xdr:cNvPicPr>
      </xdr:nvPicPr>
      <xdr:blipFill>
        <a:blip xmlns:r="http://schemas.openxmlformats.org/officeDocument/2006/relationships" r:embed="rId4"/>
        <a:stretch>
          <a:fillRect/>
        </a:stretch>
      </xdr:blipFill>
      <xdr:spPr>
        <a:xfrm>
          <a:off x="271399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74A23790-6DD4-4DF3-9D3E-3F96D07D92F1}"/>
            </a:ext>
          </a:extLst>
        </xdr:cNvPr>
        <xdr:cNvPicPr>
          <a:picLocks noChangeAspect="1"/>
        </xdr:cNvPicPr>
      </xdr:nvPicPr>
      <xdr:blipFill>
        <a:blip xmlns:r="http://schemas.openxmlformats.org/officeDocument/2006/relationships" r:embed="rId4"/>
        <a:stretch>
          <a:fillRect/>
        </a:stretch>
      </xdr:blipFill>
      <xdr:spPr>
        <a:xfrm>
          <a:off x="271018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F3A51C04-85A7-4EE2-B014-D50802DA48C3}"/>
            </a:ext>
          </a:extLst>
        </xdr:cNvPr>
        <xdr:cNvPicPr>
          <a:picLocks noChangeAspect="1"/>
        </xdr:cNvPicPr>
      </xdr:nvPicPr>
      <xdr:blipFill>
        <a:blip xmlns:r="http://schemas.openxmlformats.org/officeDocument/2006/relationships" r:embed="rId4"/>
        <a:stretch>
          <a:fillRect/>
        </a:stretch>
      </xdr:blipFill>
      <xdr:spPr>
        <a:xfrm>
          <a:off x="27076400" y="10547350"/>
          <a:ext cx="818333" cy="288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D47EF156-E1A6-458F-9EB6-70DC07FB347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71180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2C1C8317-E7BE-4EF2-A281-E793EAC33BE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60650" y="48844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9641CDAE-88E3-4C70-805C-BE0697BC3D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26908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345DD558-1726-457D-87CD-083188997B6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74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317388</xdr:colOff>
      <xdr:row>52</xdr:row>
      <xdr:rowOff>142133</xdr:rowOff>
    </xdr:to>
    <xdr:pic>
      <xdr:nvPicPr>
        <xdr:cNvPr id="6" name="Picture 5">
          <a:extLst>
            <a:ext uri="{FF2B5EF4-FFF2-40B4-BE49-F238E27FC236}">
              <a16:creationId xmlns:a16="http://schemas.microsoft.com/office/drawing/2014/main" id="{2581F97B-00C5-4A6A-85F9-F80F9E21C014}"/>
            </a:ext>
          </a:extLst>
        </xdr:cNvPr>
        <xdr:cNvPicPr>
          <a:picLocks noChangeAspect="1"/>
        </xdr:cNvPicPr>
      </xdr:nvPicPr>
      <xdr:blipFill>
        <a:blip xmlns:r="http://schemas.openxmlformats.org/officeDocument/2006/relationships" r:embed="rId3"/>
        <a:stretch>
          <a:fillRect/>
        </a:stretch>
      </xdr:blipFill>
      <xdr:spPr>
        <a:xfrm>
          <a:off x="139700" y="10661650"/>
          <a:ext cx="177688" cy="22468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210713</xdr:rowOff>
    </xdr:to>
    <xdr:pic>
      <xdr:nvPicPr>
        <xdr:cNvPr id="7" name="Picture 6">
          <a:extLst>
            <a:ext uri="{FF2B5EF4-FFF2-40B4-BE49-F238E27FC236}">
              <a16:creationId xmlns:a16="http://schemas.microsoft.com/office/drawing/2014/main" id="{2953DC6B-B106-4BE1-9FC2-943028A10388}"/>
            </a:ext>
          </a:extLst>
        </xdr:cNvPr>
        <xdr:cNvPicPr>
          <a:picLocks noChangeAspect="1"/>
        </xdr:cNvPicPr>
      </xdr:nvPicPr>
      <xdr:blipFill>
        <a:blip xmlns:r="http://schemas.openxmlformats.org/officeDocument/2006/relationships" r:embed="rId3"/>
        <a:stretch>
          <a:fillRect/>
        </a:stretch>
      </xdr:blipFill>
      <xdr:spPr>
        <a:xfrm>
          <a:off x="165100" y="26924000"/>
          <a:ext cx="165623" cy="229763"/>
        </a:xfrm>
        <a:prstGeom prst="rect">
          <a:avLst/>
        </a:prstGeom>
      </xdr:spPr>
    </xdr:pic>
    <xdr:clientData/>
  </xdr:twoCellAnchor>
  <xdr:twoCellAnchor editAs="oneCell">
    <xdr:from>
      <xdr:col>0</xdr:col>
      <xdr:colOff>139700</xdr:colOff>
      <xdr:row>241</xdr:row>
      <xdr:rowOff>152400</xdr:rowOff>
    </xdr:from>
    <xdr:to>
      <xdr:col>0</xdr:col>
      <xdr:colOff>317388</xdr:colOff>
      <xdr:row>242</xdr:row>
      <xdr:rowOff>180232</xdr:rowOff>
    </xdr:to>
    <xdr:pic>
      <xdr:nvPicPr>
        <xdr:cNvPr id="8" name="Picture 7">
          <a:extLst>
            <a:ext uri="{FF2B5EF4-FFF2-40B4-BE49-F238E27FC236}">
              <a16:creationId xmlns:a16="http://schemas.microsoft.com/office/drawing/2014/main" id="{D30AD829-D0B9-4036-92FF-CEACC9708C6A}"/>
            </a:ext>
          </a:extLst>
        </xdr:cNvPr>
        <xdr:cNvPicPr>
          <a:picLocks noChangeAspect="1"/>
        </xdr:cNvPicPr>
      </xdr:nvPicPr>
      <xdr:blipFill>
        <a:blip xmlns:r="http://schemas.openxmlformats.org/officeDocument/2006/relationships" r:embed="rId3"/>
        <a:stretch>
          <a:fillRect/>
        </a:stretch>
      </xdr:blipFill>
      <xdr:spPr>
        <a:xfrm>
          <a:off x="139700" y="48844200"/>
          <a:ext cx="177688" cy="224682"/>
        </a:xfrm>
        <a:prstGeom prst="rect">
          <a:avLst/>
        </a:prstGeom>
      </xdr:spPr>
    </xdr:pic>
    <xdr:clientData/>
  </xdr:twoCellAnchor>
  <xdr:twoCellAnchor editAs="oneCell">
    <xdr:from>
      <xdr:col>0</xdr:col>
      <xdr:colOff>139700</xdr:colOff>
      <xdr:row>354</xdr:row>
      <xdr:rowOff>127000</xdr:rowOff>
    </xdr:from>
    <xdr:to>
      <xdr:col>0</xdr:col>
      <xdr:colOff>317388</xdr:colOff>
      <xdr:row>355</xdr:row>
      <xdr:rowOff>114647</xdr:rowOff>
    </xdr:to>
    <xdr:pic>
      <xdr:nvPicPr>
        <xdr:cNvPr id="9" name="Picture 8">
          <a:extLst>
            <a:ext uri="{FF2B5EF4-FFF2-40B4-BE49-F238E27FC236}">
              <a16:creationId xmlns:a16="http://schemas.microsoft.com/office/drawing/2014/main" id="{D15DAF8A-4ADE-4323-8B3F-725061A88B51}"/>
            </a:ext>
          </a:extLst>
        </xdr:cNvPr>
        <xdr:cNvPicPr>
          <a:picLocks noChangeAspect="1"/>
        </xdr:cNvPicPr>
      </xdr:nvPicPr>
      <xdr:blipFill>
        <a:blip xmlns:r="http://schemas.openxmlformats.org/officeDocument/2006/relationships" r:embed="rId3"/>
        <a:stretch>
          <a:fillRect/>
        </a:stretch>
      </xdr:blipFill>
      <xdr:spPr>
        <a:xfrm>
          <a:off x="139700" y="71183500"/>
          <a:ext cx="177688" cy="222597"/>
        </a:xfrm>
        <a:prstGeom prst="rect">
          <a:avLst/>
        </a:prstGeom>
      </xdr:spPr>
    </xdr:pic>
    <xdr:clientData/>
  </xdr:twoCellAnchor>
  <xdr:twoCellAnchor editAs="oneCell">
    <xdr:from>
      <xdr:col>28</xdr:col>
      <xdr:colOff>0</xdr:colOff>
      <xdr:row>354</xdr:row>
      <xdr:rowOff>0</xdr:rowOff>
    </xdr:from>
    <xdr:to>
      <xdr:col>28</xdr:col>
      <xdr:colOff>818333</xdr:colOff>
      <xdr:row>355</xdr:row>
      <xdr:rowOff>49247</xdr:rowOff>
    </xdr:to>
    <xdr:pic>
      <xdr:nvPicPr>
        <xdr:cNvPr id="10" name="Picture 9">
          <a:extLst>
            <a:ext uri="{FF2B5EF4-FFF2-40B4-BE49-F238E27FC236}">
              <a16:creationId xmlns:a16="http://schemas.microsoft.com/office/drawing/2014/main" id="{1F52C3D2-0E19-43D4-9BE4-DA0B1B8DE873}"/>
            </a:ext>
          </a:extLst>
        </xdr:cNvPr>
        <xdr:cNvPicPr>
          <a:picLocks noChangeAspect="1"/>
        </xdr:cNvPicPr>
      </xdr:nvPicPr>
      <xdr:blipFill>
        <a:blip xmlns:r="http://schemas.openxmlformats.org/officeDocument/2006/relationships" r:embed="rId4"/>
        <a:stretch>
          <a:fillRect/>
        </a:stretch>
      </xdr:blipFill>
      <xdr:spPr>
        <a:xfrm>
          <a:off x="27076400" y="71056500"/>
          <a:ext cx="818333" cy="284197"/>
        </a:xfrm>
        <a:prstGeom prst="rect">
          <a:avLst/>
        </a:prstGeom>
      </xdr:spPr>
    </xdr:pic>
    <xdr:clientData/>
  </xdr:twoCellAnchor>
  <xdr:twoCellAnchor editAs="oneCell">
    <xdr:from>
      <xdr:col>28</xdr:col>
      <xdr:colOff>63500</xdr:colOff>
      <xdr:row>241</xdr:row>
      <xdr:rowOff>88900</xdr:rowOff>
    </xdr:from>
    <xdr:to>
      <xdr:col>28</xdr:col>
      <xdr:colOff>892628</xdr:colOff>
      <xdr:row>242</xdr:row>
      <xdr:rowOff>177697</xdr:rowOff>
    </xdr:to>
    <xdr:pic>
      <xdr:nvPicPr>
        <xdr:cNvPr id="11" name="Picture 10">
          <a:extLst>
            <a:ext uri="{FF2B5EF4-FFF2-40B4-BE49-F238E27FC236}">
              <a16:creationId xmlns:a16="http://schemas.microsoft.com/office/drawing/2014/main" id="{185DA991-6F36-4426-B9C5-A172E33F7DCC}"/>
            </a:ext>
          </a:extLst>
        </xdr:cNvPr>
        <xdr:cNvPicPr>
          <a:picLocks noChangeAspect="1"/>
        </xdr:cNvPicPr>
      </xdr:nvPicPr>
      <xdr:blipFill>
        <a:blip xmlns:r="http://schemas.openxmlformats.org/officeDocument/2006/relationships" r:embed="rId4"/>
        <a:stretch>
          <a:fillRect/>
        </a:stretch>
      </xdr:blipFill>
      <xdr:spPr>
        <a:xfrm>
          <a:off x="27139900" y="48780700"/>
          <a:ext cx="829128" cy="285647"/>
        </a:xfrm>
        <a:prstGeom prst="rect">
          <a:avLst/>
        </a:prstGeom>
      </xdr:spPr>
    </xdr:pic>
    <xdr:clientData/>
  </xdr:twoCellAnchor>
  <xdr:twoCellAnchor editAs="oneCell">
    <xdr:from>
      <xdr:col>28</xdr:col>
      <xdr:colOff>25400</xdr:colOff>
      <xdr:row>130</xdr:row>
      <xdr:rowOff>76200</xdr:rowOff>
    </xdr:from>
    <xdr:to>
      <xdr:col>28</xdr:col>
      <xdr:colOff>854528</xdr:colOff>
      <xdr:row>131</xdr:row>
      <xdr:rowOff>168173</xdr:rowOff>
    </xdr:to>
    <xdr:pic>
      <xdr:nvPicPr>
        <xdr:cNvPr id="12" name="Picture 11">
          <a:extLst>
            <a:ext uri="{FF2B5EF4-FFF2-40B4-BE49-F238E27FC236}">
              <a16:creationId xmlns:a16="http://schemas.microsoft.com/office/drawing/2014/main" id="{14A858F8-5053-4687-9A57-AF9D35937900}"/>
            </a:ext>
          </a:extLst>
        </xdr:cNvPr>
        <xdr:cNvPicPr>
          <a:picLocks noChangeAspect="1"/>
        </xdr:cNvPicPr>
      </xdr:nvPicPr>
      <xdr:blipFill>
        <a:blip xmlns:r="http://schemas.openxmlformats.org/officeDocument/2006/relationships" r:embed="rId4"/>
        <a:stretch>
          <a:fillRect/>
        </a:stretch>
      </xdr:blipFill>
      <xdr:spPr>
        <a:xfrm>
          <a:off x="27101800" y="26822400"/>
          <a:ext cx="829128" cy="288823"/>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5129853C-625E-4B19-9E1B-8A09EA54B95E}"/>
            </a:ext>
          </a:extLst>
        </xdr:cNvPr>
        <xdr:cNvPicPr>
          <a:picLocks noChangeAspect="1"/>
        </xdr:cNvPicPr>
      </xdr:nvPicPr>
      <xdr:blipFill>
        <a:blip xmlns:r="http://schemas.openxmlformats.org/officeDocument/2006/relationships" r:embed="rId4"/>
        <a:stretch>
          <a:fillRect/>
        </a:stretch>
      </xdr:blipFill>
      <xdr:spPr>
        <a:xfrm>
          <a:off x="27076400" y="10547350"/>
          <a:ext cx="818333" cy="2888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102E4787-FCAC-4F12-B3F2-945A8EB472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5945" y="7226808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77B390D4-E21F-4176-B9AF-D72FD8482A0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4040" y="4959667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E2AD7B17-884E-4B44-8ABB-70B20DB8D99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272910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0E6506C-08B4-4141-8304-F0206D12200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197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A2B2D142-D120-4999-B53F-DD40A4328FB3}"/>
            </a:ext>
          </a:extLst>
        </xdr:cNvPr>
        <xdr:cNvPicPr>
          <a:picLocks noChangeAspect="1"/>
        </xdr:cNvPicPr>
      </xdr:nvPicPr>
      <xdr:blipFill>
        <a:blip xmlns:r="http://schemas.openxmlformats.org/officeDocument/2006/relationships" r:embed="rId3"/>
        <a:stretch>
          <a:fillRect/>
        </a:stretch>
      </xdr:blipFill>
      <xdr:spPr>
        <a:xfrm>
          <a:off x="135890" y="10810875"/>
          <a:ext cx="185308" cy="225953"/>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D853E659-1E25-43AB-9314-B4C49D226C21}"/>
            </a:ext>
          </a:extLst>
        </xdr:cNvPr>
        <xdr:cNvPicPr>
          <a:picLocks noChangeAspect="1"/>
        </xdr:cNvPicPr>
      </xdr:nvPicPr>
      <xdr:blipFill>
        <a:blip xmlns:r="http://schemas.openxmlformats.org/officeDocument/2006/relationships" r:embed="rId3"/>
        <a:stretch>
          <a:fillRect/>
        </a:stretch>
      </xdr:blipFill>
      <xdr:spPr>
        <a:xfrm>
          <a:off x="168910" y="27301190"/>
          <a:ext cx="164988" cy="232938"/>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015420E7-6D8F-4874-B953-529406E35FEB}"/>
            </a:ext>
          </a:extLst>
        </xdr:cNvPr>
        <xdr:cNvPicPr>
          <a:picLocks noChangeAspect="1"/>
        </xdr:cNvPicPr>
      </xdr:nvPicPr>
      <xdr:blipFill>
        <a:blip xmlns:r="http://schemas.openxmlformats.org/officeDocument/2006/relationships" r:embed="rId3"/>
        <a:stretch>
          <a:fillRect/>
        </a:stretch>
      </xdr:blipFill>
      <xdr:spPr>
        <a:xfrm>
          <a:off x="135890" y="49596675"/>
          <a:ext cx="185308" cy="225952"/>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E936CE12-63E8-42E1-98B7-0A562E545BB7}"/>
            </a:ext>
          </a:extLst>
        </xdr:cNvPr>
        <xdr:cNvPicPr>
          <a:picLocks noChangeAspect="1"/>
        </xdr:cNvPicPr>
      </xdr:nvPicPr>
      <xdr:blipFill>
        <a:blip xmlns:r="http://schemas.openxmlformats.org/officeDocument/2006/relationships" r:embed="rId3"/>
        <a:stretch>
          <a:fillRect/>
        </a:stretch>
      </xdr:blipFill>
      <xdr:spPr>
        <a:xfrm>
          <a:off x="135890" y="72273160"/>
          <a:ext cx="185308" cy="21243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E80CDE74-4790-464E-8F21-594D89246A13}"/>
            </a:ext>
          </a:extLst>
        </xdr:cNvPr>
        <xdr:cNvPicPr>
          <a:picLocks noChangeAspect="1"/>
        </xdr:cNvPicPr>
      </xdr:nvPicPr>
      <xdr:blipFill>
        <a:blip xmlns:r="http://schemas.openxmlformats.org/officeDocument/2006/relationships" r:embed="rId4"/>
        <a:stretch>
          <a:fillRect/>
        </a:stretch>
      </xdr:blipFill>
      <xdr:spPr>
        <a:xfrm>
          <a:off x="27517725" y="72142350"/>
          <a:ext cx="822143" cy="27975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6698F63B-52A2-435F-A1B7-1265787485D7}"/>
            </a:ext>
          </a:extLst>
        </xdr:cNvPr>
        <xdr:cNvPicPr>
          <a:picLocks noChangeAspect="1"/>
        </xdr:cNvPicPr>
      </xdr:nvPicPr>
      <xdr:blipFill>
        <a:blip xmlns:r="http://schemas.openxmlformats.org/officeDocument/2006/relationships" r:embed="rId4"/>
        <a:stretch>
          <a:fillRect/>
        </a:stretch>
      </xdr:blipFill>
      <xdr:spPr>
        <a:xfrm>
          <a:off x="27577415" y="49536985"/>
          <a:ext cx="836748" cy="281202"/>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739B2A47-0E1F-48B9-B090-0CE750C72204}"/>
            </a:ext>
          </a:extLst>
        </xdr:cNvPr>
        <xdr:cNvPicPr>
          <a:picLocks noChangeAspect="1"/>
        </xdr:cNvPicPr>
      </xdr:nvPicPr>
      <xdr:blipFill>
        <a:blip xmlns:r="http://schemas.openxmlformats.org/officeDocument/2006/relationships" r:embed="rId4"/>
        <a:stretch>
          <a:fillRect/>
        </a:stretch>
      </xdr:blipFill>
      <xdr:spPr>
        <a:xfrm>
          <a:off x="27539315" y="27203400"/>
          <a:ext cx="836748" cy="295808"/>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90A89D8E-4CAF-4F62-90F1-1A101B6DC1CC}"/>
            </a:ext>
          </a:extLst>
        </xdr:cNvPr>
        <xdr:cNvPicPr>
          <a:picLocks noChangeAspect="1"/>
        </xdr:cNvPicPr>
      </xdr:nvPicPr>
      <xdr:blipFill>
        <a:blip xmlns:r="http://schemas.openxmlformats.org/officeDocument/2006/relationships" r:embed="rId4"/>
        <a:stretch>
          <a:fillRect/>
        </a:stretch>
      </xdr:blipFill>
      <xdr:spPr>
        <a:xfrm>
          <a:off x="27517725" y="10696575"/>
          <a:ext cx="822143" cy="2958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1095375</xdr:colOff>
      <xdr:row>354</xdr:row>
      <xdr:rowOff>123825</xdr:rowOff>
    </xdr:from>
    <xdr:to>
      <xdr:col>28</xdr:col>
      <xdr:colOff>1895475</xdr:colOff>
      <xdr:row>356</xdr:row>
      <xdr:rowOff>152400</xdr:rowOff>
    </xdr:to>
    <xdr:pic>
      <xdr:nvPicPr>
        <xdr:cNvPr id="2" name="Picture 1" descr="C:\WINDOWS\TEMP\~0003946.gif">
          <a:extLst>
            <a:ext uri="{FF2B5EF4-FFF2-40B4-BE49-F238E27FC236}">
              <a16:creationId xmlns:a16="http://schemas.microsoft.com/office/drawing/2014/main" id="{BEC25D9F-7DC1-40A8-B156-771C0719517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96895" y="7159942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241</xdr:row>
      <xdr:rowOff>152400</xdr:rowOff>
    </xdr:from>
    <xdr:to>
      <xdr:col>28</xdr:col>
      <xdr:colOff>1924050</xdr:colOff>
      <xdr:row>242</xdr:row>
      <xdr:rowOff>180975</xdr:rowOff>
    </xdr:to>
    <xdr:pic>
      <xdr:nvPicPr>
        <xdr:cNvPr id="3" name="Picture 2" descr="C:\WINDOWS\TEMP\~0003946.gif">
          <a:extLst>
            <a:ext uri="{FF2B5EF4-FFF2-40B4-BE49-F238E27FC236}">
              <a16:creationId xmlns:a16="http://schemas.microsoft.com/office/drawing/2014/main" id="{B27927FD-1E68-422A-BDA0-382166EB69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94990" y="491413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130</xdr:row>
      <xdr:rowOff>161925</xdr:rowOff>
    </xdr:from>
    <xdr:to>
      <xdr:col>28</xdr:col>
      <xdr:colOff>1952625</xdr:colOff>
      <xdr:row>131</xdr:row>
      <xdr:rowOff>190500</xdr:rowOff>
    </xdr:to>
    <xdr:pic>
      <xdr:nvPicPr>
        <xdr:cNvPr id="4" name="Picture 3" descr="C:\WINDOWS\TEMP\~0003946.gif">
          <a:extLst>
            <a:ext uri="{FF2B5EF4-FFF2-40B4-BE49-F238E27FC236}">
              <a16:creationId xmlns:a16="http://schemas.microsoft.com/office/drawing/2014/main" id="{002CD1C5-1E8C-408E-AA33-C95B6D293D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00705" y="27060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31B92D7-97FF-47E1-A8C6-47E0B2609A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500705" y="1076896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69C0262E-95CB-411F-9207-52408FBD2BC7}"/>
            </a:ext>
          </a:extLst>
        </xdr:cNvPr>
        <xdr:cNvPicPr>
          <a:picLocks noChangeAspect="1"/>
        </xdr:cNvPicPr>
      </xdr:nvPicPr>
      <xdr:blipFill>
        <a:blip xmlns:r="http://schemas.openxmlformats.org/officeDocument/2006/relationships" r:embed="rId3"/>
        <a:stretch>
          <a:fillRect/>
        </a:stretch>
      </xdr:blipFill>
      <xdr:spPr>
        <a:xfrm>
          <a:off x="139700" y="10721340"/>
          <a:ext cx="181498" cy="216428"/>
        </a:xfrm>
        <a:prstGeom prst="rect">
          <a:avLst/>
        </a:prstGeom>
      </xdr:spPr>
    </xdr:pic>
    <xdr:clientData/>
  </xdr:twoCellAnchor>
  <xdr:twoCellAnchor editAs="oneCell">
    <xdr:from>
      <xdr:col>0</xdr:col>
      <xdr:colOff>165100</xdr:colOff>
      <xdr:row>130</xdr:row>
      <xdr:rowOff>177800</xdr:rowOff>
    </xdr:from>
    <xdr:to>
      <xdr:col>1</xdr:col>
      <xdr:colOff>523</xdr:colOff>
      <xdr:row>131</xdr:row>
      <xdr:rowOff>206903</xdr:rowOff>
    </xdr:to>
    <xdr:pic>
      <xdr:nvPicPr>
        <xdr:cNvPr id="7" name="Picture 6">
          <a:extLst>
            <a:ext uri="{FF2B5EF4-FFF2-40B4-BE49-F238E27FC236}">
              <a16:creationId xmlns:a16="http://schemas.microsoft.com/office/drawing/2014/main" id="{7C87328C-7A0F-4028-AA77-596B998ACB5A}"/>
            </a:ext>
          </a:extLst>
        </xdr:cNvPr>
        <xdr:cNvPicPr>
          <a:picLocks noChangeAspect="1"/>
        </xdr:cNvPicPr>
      </xdr:nvPicPr>
      <xdr:blipFill>
        <a:blip xmlns:r="http://schemas.openxmlformats.org/officeDocument/2006/relationships" r:embed="rId3"/>
        <a:stretch>
          <a:fillRect/>
        </a:stretch>
      </xdr:blipFill>
      <xdr:spPr>
        <a:xfrm>
          <a:off x="165100" y="27076400"/>
          <a:ext cx="170703" cy="227223"/>
        </a:xfrm>
        <a:prstGeom prst="rect">
          <a:avLst/>
        </a:prstGeom>
      </xdr:spPr>
    </xdr:pic>
    <xdr:clientData/>
  </xdr:twoCellAnchor>
  <xdr:twoCellAnchor editAs="oneCell">
    <xdr:from>
      <xdr:col>0</xdr:col>
      <xdr:colOff>139700</xdr:colOff>
      <xdr:row>241</xdr:row>
      <xdr:rowOff>152400</xdr:rowOff>
    </xdr:from>
    <xdr:to>
      <xdr:col>0</xdr:col>
      <xdr:colOff>321198</xdr:colOff>
      <xdr:row>242</xdr:row>
      <xdr:rowOff>170707</xdr:rowOff>
    </xdr:to>
    <xdr:pic>
      <xdr:nvPicPr>
        <xdr:cNvPr id="8" name="Picture 7">
          <a:extLst>
            <a:ext uri="{FF2B5EF4-FFF2-40B4-BE49-F238E27FC236}">
              <a16:creationId xmlns:a16="http://schemas.microsoft.com/office/drawing/2014/main" id="{A17DCA36-C28D-46FA-A60B-00332F1624B7}"/>
            </a:ext>
          </a:extLst>
        </xdr:cNvPr>
        <xdr:cNvPicPr>
          <a:picLocks noChangeAspect="1"/>
        </xdr:cNvPicPr>
      </xdr:nvPicPr>
      <xdr:blipFill>
        <a:blip xmlns:r="http://schemas.openxmlformats.org/officeDocument/2006/relationships" r:embed="rId3"/>
        <a:stretch>
          <a:fillRect/>
        </a:stretch>
      </xdr:blipFill>
      <xdr:spPr>
        <a:xfrm>
          <a:off x="139700" y="49141380"/>
          <a:ext cx="181498" cy="216427"/>
        </a:xfrm>
        <a:prstGeom prst="rect">
          <a:avLst/>
        </a:prstGeom>
      </xdr:spPr>
    </xdr:pic>
    <xdr:clientData/>
  </xdr:twoCellAnchor>
  <xdr:twoCellAnchor editAs="oneCell">
    <xdr:from>
      <xdr:col>0</xdr:col>
      <xdr:colOff>139700</xdr:colOff>
      <xdr:row>354</xdr:row>
      <xdr:rowOff>127000</xdr:rowOff>
    </xdr:from>
    <xdr:to>
      <xdr:col>0</xdr:col>
      <xdr:colOff>321198</xdr:colOff>
      <xdr:row>355</xdr:row>
      <xdr:rowOff>114647</xdr:rowOff>
    </xdr:to>
    <xdr:pic>
      <xdr:nvPicPr>
        <xdr:cNvPr id="9" name="Picture 8">
          <a:extLst>
            <a:ext uri="{FF2B5EF4-FFF2-40B4-BE49-F238E27FC236}">
              <a16:creationId xmlns:a16="http://schemas.microsoft.com/office/drawing/2014/main" id="{90588BA6-2F83-4CB0-B205-6370FDC66A6D}"/>
            </a:ext>
          </a:extLst>
        </xdr:cNvPr>
        <xdr:cNvPicPr>
          <a:picLocks noChangeAspect="1"/>
        </xdr:cNvPicPr>
      </xdr:nvPicPr>
      <xdr:blipFill>
        <a:blip xmlns:r="http://schemas.openxmlformats.org/officeDocument/2006/relationships" r:embed="rId3"/>
        <a:stretch>
          <a:fillRect/>
        </a:stretch>
      </xdr:blipFill>
      <xdr:spPr>
        <a:xfrm>
          <a:off x="139700" y="71602600"/>
          <a:ext cx="181498" cy="216247"/>
        </a:xfrm>
        <a:prstGeom prst="rect">
          <a:avLst/>
        </a:prstGeom>
      </xdr:spPr>
    </xdr:pic>
    <xdr:clientData/>
  </xdr:twoCellAnchor>
  <xdr:twoCellAnchor editAs="oneCell">
    <xdr:from>
      <xdr:col>28</xdr:col>
      <xdr:colOff>0</xdr:colOff>
      <xdr:row>354</xdr:row>
      <xdr:rowOff>0</xdr:rowOff>
    </xdr:from>
    <xdr:to>
      <xdr:col>28</xdr:col>
      <xdr:colOff>822143</xdr:colOff>
      <xdr:row>355</xdr:row>
      <xdr:rowOff>58772</xdr:rowOff>
    </xdr:to>
    <xdr:pic>
      <xdr:nvPicPr>
        <xdr:cNvPr id="10" name="Picture 9">
          <a:extLst>
            <a:ext uri="{FF2B5EF4-FFF2-40B4-BE49-F238E27FC236}">
              <a16:creationId xmlns:a16="http://schemas.microsoft.com/office/drawing/2014/main" id="{3536E50B-258C-43EE-B740-5F252FCE1A50}"/>
            </a:ext>
          </a:extLst>
        </xdr:cNvPr>
        <xdr:cNvPicPr>
          <a:picLocks noChangeAspect="1"/>
        </xdr:cNvPicPr>
      </xdr:nvPicPr>
      <xdr:blipFill>
        <a:blip xmlns:r="http://schemas.openxmlformats.org/officeDocument/2006/relationships" r:embed="rId4"/>
        <a:stretch>
          <a:fillRect/>
        </a:stretch>
      </xdr:blipFill>
      <xdr:spPr>
        <a:xfrm>
          <a:off x="27500580" y="71475600"/>
          <a:ext cx="822143" cy="287372"/>
        </a:xfrm>
        <a:prstGeom prst="rect">
          <a:avLst/>
        </a:prstGeom>
      </xdr:spPr>
    </xdr:pic>
    <xdr:clientData/>
  </xdr:twoCellAnchor>
  <xdr:twoCellAnchor editAs="oneCell">
    <xdr:from>
      <xdr:col>28</xdr:col>
      <xdr:colOff>63500</xdr:colOff>
      <xdr:row>241</xdr:row>
      <xdr:rowOff>88900</xdr:rowOff>
    </xdr:from>
    <xdr:to>
      <xdr:col>28</xdr:col>
      <xdr:colOff>896438</xdr:colOff>
      <xdr:row>242</xdr:row>
      <xdr:rowOff>173887</xdr:rowOff>
    </xdr:to>
    <xdr:pic>
      <xdr:nvPicPr>
        <xdr:cNvPr id="11" name="Picture 10">
          <a:extLst>
            <a:ext uri="{FF2B5EF4-FFF2-40B4-BE49-F238E27FC236}">
              <a16:creationId xmlns:a16="http://schemas.microsoft.com/office/drawing/2014/main" id="{0B66DB90-2553-438E-9868-2CD05752CD3E}"/>
            </a:ext>
          </a:extLst>
        </xdr:cNvPr>
        <xdr:cNvPicPr>
          <a:picLocks noChangeAspect="1"/>
        </xdr:cNvPicPr>
      </xdr:nvPicPr>
      <xdr:blipFill>
        <a:blip xmlns:r="http://schemas.openxmlformats.org/officeDocument/2006/relationships" r:embed="rId4"/>
        <a:stretch>
          <a:fillRect/>
        </a:stretch>
      </xdr:blipFill>
      <xdr:spPr>
        <a:xfrm>
          <a:off x="27564080" y="49077880"/>
          <a:ext cx="832938" cy="283107"/>
        </a:xfrm>
        <a:prstGeom prst="rect">
          <a:avLst/>
        </a:prstGeom>
      </xdr:spPr>
    </xdr:pic>
    <xdr:clientData/>
  </xdr:twoCellAnchor>
  <xdr:twoCellAnchor editAs="oneCell">
    <xdr:from>
      <xdr:col>28</xdr:col>
      <xdr:colOff>25400</xdr:colOff>
      <xdr:row>130</xdr:row>
      <xdr:rowOff>76200</xdr:rowOff>
    </xdr:from>
    <xdr:to>
      <xdr:col>28</xdr:col>
      <xdr:colOff>858338</xdr:colOff>
      <xdr:row>131</xdr:row>
      <xdr:rowOff>171983</xdr:rowOff>
    </xdr:to>
    <xdr:pic>
      <xdr:nvPicPr>
        <xdr:cNvPr id="12" name="Picture 11">
          <a:extLst>
            <a:ext uri="{FF2B5EF4-FFF2-40B4-BE49-F238E27FC236}">
              <a16:creationId xmlns:a16="http://schemas.microsoft.com/office/drawing/2014/main" id="{B12625AE-266C-4332-B623-C4346FC165F5}"/>
            </a:ext>
          </a:extLst>
        </xdr:cNvPr>
        <xdr:cNvPicPr>
          <a:picLocks noChangeAspect="1"/>
        </xdr:cNvPicPr>
      </xdr:nvPicPr>
      <xdr:blipFill>
        <a:blip xmlns:r="http://schemas.openxmlformats.org/officeDocument/2006/relationships" r:embed="rId4"/>
        <a:stretch>
          <a:fillRect/>
        </a:stretch>
      </xdr:blipFill>
      <xdr:spPr>
        <a:xfrm>
          <a:off x="27525980" y="26974800"/>
          <a:ext cx="832938" cy="293903"/>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69F564CF-2233-4F0E-8267-BE3C7A833F11}"/>
            </a:ext>
          </a:extLst>
        </xdr:cNvPr>
        <xdr:cNvPicPr>
          <a:picLocks noChangeAspect="1"/>
        </xdr:cNvPicPr>
      </xdr:nvPicPr>
      <xdr:blipFill>
        <a:blip xmlns:r="http://schemas.openxmlformats.org/officeDocument/2006/relationships" r:embed="rId4"/>
        <a:stretch>
          <a:fillRect/>
        </a:stretch>
      </xdr:blipFill>
      <xdr:spPr>
        <a:xfrm>
          <a:off x="27500580" y="10607040"/>
          <a:ext cx="822143" cy="2939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4E9-ED8F-47AF-8D09-0861D784C18A}">
  <sheetPr>
    <tabColor rgb="FF89CB31"/>
  </sheetPr>
  <dimension ref="A1:JB393"/>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2.3365359223598774E-2</v>
      </c>
      <c r="Z17" s="29" t="s">
        <v>259</v>
      </c>
      <c r="AA17" s="29">
        <v>0.97663464077640116</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44187</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v>0</v>
      </c>
      <c r="G30" s="54"/>
      <c r="H30" s="54">
        <v>0</v>
      </c>
      <c r="I30" s="54"/>
      <c r="J30" s="54">
        <v>0</v>
      </c>
      <c r="K30" s="54"/>
      <c r="L30" s="54">
        <v>0</v>
      </c>
      <c r="M30" s="54"/>
      <c r="N30" s="54">
        <v>0</v>
      </c>
      <c r="O30" s="54"/>
      <c r="P30" s="54">
        <v>0</v>
      </c>
      <c r="Q30" s="54"/>
      <c r="R30" s="54">
        <v>0</v>
      </c>
      <c r="S30" s="54"/>
      <c r="T30" s="54" t="s">
        <v>83</v>
      </c>
      <c r="U30" s="54"/>
      <c r="V30" s="54" t="s">
        <v>83</v>
      </c>
      <c r="W30" s="54"/>
      <c r="X30" s="54" t="s">
        <v>83</v>
      </c>
      <c r="Y30" s="54" t="s">
        <v>83</v>
      </c>
      <c r="Z30" s="54"/>
      <c r="AA30" s="49"/>
      <c r="AB30" s="50">
        <f>SUM(F30:N30)</f>
        <v>0</v>
      </c>
      <c r="AC30" s="51"/>
      <c r="AD30" s="22"/>
    </row>
    <row r="31" spans="1:33" s="23" customFormat="1" x14ac:dyDescent="0.35">
      <c r="A31" s="47"/>
      <c r="B31" s="44" t="s">
        <v>92</v>
      </c>
      <c r="C31" s="49"/>
      <c r="D31" s="56"/>
      <c r="E31" s="56"/>
      <c r="F31" s="56">
        <f>F29*F32</f>
        <v>622664.18592000008</v>
      </c>
      <c r="G31" s="56"/>
      <c r="H31" s="56">
        <f>H29</f>
        <v>39664</v>
      </c>
      <c r="I31" s="56"/>
      <c r="J31" s="56">
        <f>J29</f>
        <v>21635</v>
      </c>
      <c r="K31" s="56"/>
      <c r="L31" s="56">
        <f>L29</f>
        <v>18029</v>
      </c>
      <c r="M31" s="56"/>
      <c r="N31" s="56">
        <f>N29</f>
        <v>18031</v>
      </c>
      <c r="O31" s="56"/>
      <c r="P31" s="56">
        <f>P29*P32</f>
        <v>10843.102199999999</v>
      </c>
      <c r="Q31" s="56"/>
      <c r="R31" s="56">
        <v>1142</v>
      </c>
      <c r="S31" s="56"/>
      <c r="T31" s="56" t="s">
        <v>83</v>
      </c>
      <c r="U31" s="56"/>
      <c r="V31" s="56" t="s">
        <v>83</v>
      </c>
      <c r="W31" s="56"/>
      <c r="X31" s="56" t="s">
        <v>83</v>
      </c>
      <c r="Y31" s="56" t="s">
        <v>83</v>
      </c>
      <c r="Z31" s="56"/>
      <c r="AA31" s="49"/>
      <c r="AB31" s="55">
        <f>SUM(F31:N31)</f>
        <v>720023.18592000008</v>
      </c>
      <c r="AC31" s="51"/>
      <c r="AD31" s="22"/>
      <c r="AE31" s="231"/>
    </row>
    <row r="32" spans="1:33" s="64" customFormat="1" x14ac:dyDescent="0.35">
      <c r="A32" s="57"/>
      <c r="B32" s="163" t="s">
        <v>88</v>
      </c>
      <c r="C32" s="60"/>
      <c r="D32" s="59"/>
      <c r="E32" s="59"/>
      <c r="F32" s="59">
        <v>0.99816000000000005</v>
      </c>
      <c r="G32" s="59"/>
      <c r="H32" s="59">
        <v>1</v>
      </c>
      <c r="I32" s="59"/>
      <c r="J32" s="59">
        <v>1</v>
      </c>
      <c r="K32" s="59"/>
      <c r="L32" s="59">
        <v>1</v>
      </c>
      <c r="M32" s="59"/>
      <c r="N32" s="59">
        <v>1</v>
      </c>
      <c r="O32" s="59"/>
      <c r="P32" s="59">
        <v>0.97265000000000001</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222">
        <v>1</v>
      </c>
      <c r="G33" s="222"/>
      <c r="H33" s="222">
        <v>1</v>
      </c>
      <c r="I33" s="222"/>
      <c r="J33" s="222">
        <v>1</v>
      </c>
      <c r="K33" s="222"/>
      <c r="L33" s="222">
        <v>1</v>
      </c>
      <c r="M33" s="222"/>
      <c r="N33" s="222">
        <v>1</v>
      </c>
      <c r="O33" s="222"/>
      <c r="P33" s="59">
        <v>1</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1.00331E-2</v>
      </c>
      <c r="G35" s="236"/>
      <c r="H35" s="236">
        <v>1.40331E-2</v>
      </c>
      <c r="I35" s="236"/>
      <c r="J35" s="236">
        <v>1.7033099999999999E-2</v>
      </c>
      <c r="K35" s="236"/>
      <c r="L35" s="236">
        <v>2.0033100000000002E-2</v>
      </c>
      <c r="M35" s="236"/>
      <c r="N35" s="236">
        <v>3.0003309999999998E-2</v>
      </c>
      <c r="O35" s="236"/>
      <c r="P35" s="236">
        <v>4.0533100000000002E-2</v>
      </c>
      <c r="Q35" s="236"/>
      <c r="R35" s="236">
        <v>4.0533100000000002E-2</v>
      </c>
      <c r="S35" s="67"/>
      <c r="T35" s="67" t="s">
        <v>83</v>
      </c>
      <c r="U35" s="67"/>
      <c r="V35" s="67" t="s">
        <v>83</v>
      </c>
      <c r="W35" s="67"/>
      <c r="X35" s="67" t="s">
        <v>83</v>
      </c>
      <c r="Y35" s="67" t="s">
        <v>83</v>
      </c>
      <c r="Z35" s="67"/>
      <c r="AA35" s="40"/>
      <c r="AB35" s="66">
        <f>SUMPRODUCT(D35:N35,D29:N29)/AB29</f>
        <v>1.121239569618024E-2</v>
      </c>
      <c r="AC35" s="43"/>
      <c r="AD35" s="22"/>
    </row>
    <row r="36" spans="1:30" s="23" customFormat="1" x14ac:dyDescent="0.35">
      <c r="A36" s="47"/>
      <c r="B36" s="40" t="s">
        <v>10</v>
      </c>
      <c r="C36" s="68"/>
      <c r="D36" s="236"/>
      <c r="E36" s="236"/>
      <c r="F36" s="236">
        <v>0</v>
      </c>
      <c r="G36" s="236"/>
      <c r="H36" s="236">
        <v>0</v>
      </c>
      <c r="I36" s="236"/>
      <c r="J36" s="236">
        <v>0</v>
      </c>
      <c r="K36" s="236"/>
      <c r="L36" s="236">
        <v>0</v>
      </c>
      <c r="M36" s="236"/>
      <c r="N36" s="236">
        <v>0</v>
      </c>
      <c r="O36" s="236"/>
      <c r="P36" s="236">
        <v>0</v>
      </c>
      <c r="Q36" s="236"/>
      <c r="R36" s="236">
        <v>0</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0.15635875998898174</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44180</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40"/>
      <c r="Y47" s="40"/>
      <c r="Z47" s="75"/>
      <c r="AA47" s="76"/>
      <c r="AB47" s="75"/>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34</v>
      </c>
      <c r="Y48" s="40"/>
      <c r="Z48" s="75">
        <v>44146</v>
      </c>
      <c r="AA48" s="76"/>
      <c r="AB48" s="75">
        <v>44179</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44179</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310</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720120</v>
      </c>
      <c r="S57" s="234"/>
      <c r="T57" s="233">
        <f>233+12</f>
        <v>245</v>
      </c>
      <c r="U57" s="234"/>
      <c r="V57" s="234">
        <v>907</v>
      </c>
      <c r="W57" s="234"/>
      <c r="X57" s="234">
        <v>66</v>
      </c>
      <c r="Y57" s="234"/>
      <c r="Z57" s="234">
        <v>0</v>
      </c>
      <c r="AA57" s="234"/>
      <c r="AB57" s="233">
        <f>R57-T57-V57+X57-Z57</f>
        <v>719034</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720120</v>
      </c>
      <c r="S60" s="234"/>
      <c r="T60" s="234">
        <f>T57+T58</f>
        <v>245</v>
      </c>
      <c r="U60" s="234"/>
      <c r="V60" s="234">
        <f>SUM(V57:V59)</f>
        <v>907</v>
      </c>
      <c r="W60" s="234"/>
      <c r="X60" s="234">
        <f>SUM(X57:X59)</f>
        <v>66</v>
      </c>
      <c r="Y60" s="234"/>
      <c r="Z60" s="234">
        <f>SUM(Z57:Z59)</f>
        <v>0</v>
      </c>
      <c r="AA60" s="234"/>
      <c r="AB60" s="234">
        <f>SUM(AB57:AB59)</f>
        <v>719034</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0</v>
      </c>
      <c r="S63" s="234"/>
      <c r="T63" s="234">
        <v>0</v>
      </c>
      <c r="U63" s="234"/>
      <c r="V63" s="234">
        <v>4</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1051</v>
      </c>
      <c r="S64" s="234"/>
      <c r="T64" s="234"/>
      <c r="U64" s="234"/>
      <c r="V64" s="234"/>
      <c r="W64" s="234"/>
      <c r="X64" s="234">
        <f>-X57</f>
        <v>-66</v>
      </c>
      <c r="Y64" s="234"/>
      <c r="Z64" s="234"/>
      <c r="AA64" s="234"/>
      <c r="AB64" s="234">
        <f>+R64+X64</f>
        <v>985</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721171</v>
      </c>
      <c r="S66" s="234"/>
      <c r="T66" s="234"/>
      <c r="U66" s="234"/>
      <c r="V66" s="234"/>
      <c r="W66" s="234"/>
      <c r="X66" s="234"/>
      <c r="Y66" s="234"/>
      <c r="Z66" s="234"/>
      <c r="AA66" s="234"/>
      <c r="AB66" s="234">
        <f>SUM(AB60:AB65)</f>
        <v>720023</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44165</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0</v>
      </c>
      <c r="AA70" s="37"/>
      <c r="AB70" s="106">
        <v>0</v>
      </c>
      <c r="AC70" s="21"/>
      <c r="AD70" s="22"/>
    </row>
    <row r="71" spans="1:30" s="23" customFormat="1" x14ac:dyDescent="0.35">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66</v>
      </c>
      <c r="AA71" s="40"/>
      <c r="AB71" s="97"/>
      <c r="AC71" s="43"/>
      <c r="AD71" s="22"/>
    </row>
    <row r="72" spans="1:30" s="23" customFormat="1" x14ac:dyDescent="0.35">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-66</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1151</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2132+58-238-13-25+29</f>
        <v>1943</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0</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0</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1151</v>
      </c>
      <c r="AA83" s="40"/>
      <c r="AB83" s="96">
        <f>SUM(AB70:AB82)</f>
        <v>1943</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1151</v>
      </c>
      <c r="AA86" s="40"/>
      <c r="AB86" s="96">
        <f>AB83+AB84+AB85</f>
        <v>1943</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-758</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-3</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-79-3</f>
        <v>-82</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32</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-583</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-52</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-34</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-34</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-30</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-50</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-42</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-305</v>
      </c>
      <c r="AC108" s="113"/>
      <c r="AD108" s="5"/>
    </row>
    <row r="109" spans="1:30" x14ac:dyDescent="0.35">
      <c r="A109" s="109">
        <v>22</v>
      </c>
      <c r="B109" s="58" t="s">
        <v>254</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v>0</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0</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0</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-1148</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-1148</v>
      </c>
      <c r="AA128" s="96"/>
      <c r="AB128" s="96">
        <f>SUM(AB87:AB126)</f>
        <v>-1943</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NOVEMBER 2020</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SUM(F29:H29)*0.015</f>
        <v>9952.14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v>0</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9952.14</v>
      </c>
      <c r="AC144" s="43"/>
      <c r="AD144" s="22"/>
    </row>
    <row r="145" spans="1:30"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SUM(J29:L29)*0.015</f>
        <v>594.95999999999992</v>
      </c>
      <c r="AC148" s="43"/>
      <c r="AD148" s="22"/>
    </row>
    <row r="149" spans="1:30"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v>1051</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-66</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985</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v>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AB200-AB202+AB203</f>
        <v>301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v>0</v>
      </c>
      <c r="Z217" s="97">
        <v>0</v>
      </c>
      <c r="AA217" s="40"/>
      <c r="AB217" s="97">
        <f>Y217+Z217</f>
        <v>0</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66</v>
      </c>
      <c r="AA218" s="40"/>
      <c r="AB218" s="97">
        <f>Y218+Z218</f>
        <v>66</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66</v>
      </c>
      <c r="AA219" s="40"/>
      <c r="AB219" s="97">
        <f>Y219+Z219</f>
        <v>66</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117287.76000000001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719034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966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1.9416809605488852</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1.94</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10.557692307692308</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10.56</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14.617647058823529</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14.62</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13.617647058823529</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13.62</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8.58</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8.58</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NOVEMBER 2020</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44165</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f>+AB35</f>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1.121239569618024E-2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2.3257604303819762E-2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1.6875331925437934E-3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21.24</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1.5974020031310188E-3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1.7600000000000001E-2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
        <v>1</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3824</v>
      </c>
      <c r="Y286" s="189">
        <f>X286/$X$295</f>
        <v>1</v>
      </c>
      <c r="Z286" s="106">
        <f t="shared" ref="Z286:Z293" si="1">+Z298+Z310+Z332</f>
        <v>719034</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3824</v>
      </c>
      <c r="Y295" s="195">
        <f>SUM(Y286:Y294)</f>
        <v>1</v>
      </c>
      <c r="Z295" s="97">
        <f>SUM(Z286:Z294)</f>
        <v>719034</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3824</v>
      </c>
      <c r="Y298" s="189">
        <f>X298/$X$307</f>
        <v>1</v>
      </c>
      <c r="Z298" s="106">
        <v>719034</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3824</v>
      </c>
      <c r="Y307" s="195">
        <f>SUM(Y298:Y306)</f>
        <v>1</v>
      </c>
      <c r="Z307" s="97">
        <f>SUM(Z298:Z306)</f>
        <v>719034</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5">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13</v>
      </c>
      <c r="Y344" s="260">
        <f>+X344/X353</f>
        <v>1</v>
      </c>
      <c r="Z344" s="212">
        <v>4751</v>
      </c>
      <c r="AA344" s="260">
        <f>+Z344/Z353</f>
        <v>1</v>
      </c>
      <c r="AB344" s="276"/>
      <c r="AC344" s="278"/>
      <c r="AD344" s="22"/>
    </row>
    <row r="345" spans="1:30" s="23" customFormat="1" x14ac:dyDescent="0.35">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5">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5">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5">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5">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5">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5">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5">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5">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13</v>
      </c>
      <c r="Y353" s="263">
        <f>SUM(Y344:Y351)</f>
        <v>1</v>
      </c>
      <c r="Z353" s="97">
        <f>SUM(Z344:Z351)</f>
        <v>4751</v>
      </c>
      <c r="AA353" s="263">
        <f>SUM(AA344:AA351)</f>
        <v>1</v>
      </c>
      <c r="AB353" s="40"/>
      <c r="AC353" s="43"/>
      <c r="AD353" s="22"/>
    </row>
    <row r="354" spans="1:30" s="23" customFormat="1" ht="16" thickBot="1" x14ac:dyDescent="0.4">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3.3995815899581592E-3</v>
      </c>
      <c r="Z354" s="281"/>
      <c r="AA354" s="280">
        <f>+Z353/Z358</f>
        <v>6.607476141601093E-3</v>
      </c>
      <c r="AB354" s="282"/>
      <c r="AC354" s="43"/>
      <c r="AD354" s="22"/>
    </row>
    <row r="355" spans="1:30" s="23" customFormat="1" ht="16" thickTop="1" x14ac:dyDescent="0.35">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6</v>
      </c>
      <c r="Y355" s="286">
        <f>X355/X353</f>
        <v>0.46153846153846156</v>
      </c>
      <c r="Z355" s="287">
        <v>2033</v>
      </c>
      <c r="AA355" s="286">
        <f>Z355/Z353</f>
        <v>0.42790991370237846</v>
      </c>
      <c r="AB355" s="288">
        <v>1.3333333333333335</v>
      </c>
      <c r="AC355" s="43"/>
      <c r="AD355" s="22"/>
    </row>
    <row r="356" spans="1:30" s="23" customFormat="1" ht="16" thickBot="1" x14ac:dyDescent="0.4">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7</v>
      </c>
      <c r="Y356" s="290">
        <f>X356/X353</f>
        <v>0.53846153846153844</v>
      </c>
      <c r="Z356" s="291">
        <v>2718</v>
      </c>
      <c r="AA356" s="290">
        <f>Z356/Z353</f>
        <v>0.57209008629762159</v>
      </c>
      <c r="AB356" s="292">
        <v>1.8387096774193548</v>
      </c>
      <c r="AC356" s="43"/>
      <c r="AD356" s="22"/>
    </row>
    <row r="357" spans="1:30" s="23" customFormat="1" ht="16" thickTop="1" x14ac:dyDescent="0.35">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5">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3824</v>
      </c>
      <c r="Y358" s="195"/>
      <c r="Z358" s="208">
        <f>+Z341+Z319+Z307</f>
        <v>719034</v>
      </c>
      <c r="AA358" s="195"/>
      <c r="AB358" s="40"/>
      <c r="AC358" s="43"/>
      <c r="AD358" s="22"/>
    </row>
    <row r="359" spans="1:30" s="23" customFormat="1" x14ac:dyDescent="0.35">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989</v>
      </c>
      <c r="AA359" s="195"/>
      <c r="AB359" s="40"/>
      <c r="AC359" s="43"/>
      <c r="AD359" s="22"/>
    </row>
    <row r="360" spans="1:30" s="23" customFormat="1" x14ac:dyDescent="0.35">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720023</v>
      </c>
      <c r="AA360" s="195"/>
      <c r="AB360" s="40"/>
      <c r="AC360" s="43"/>
      <c r="AD360" s="22"/>
    </row>
    <row r="361" spans="1:30" s="23" customFormat="1" x14ac:dyDescent="0.35">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720023</v>
      </c>
      <c r="AA361" s="195"/>
      <c r="AB361" s="40"/>
      <c r="AC361" s="43"/>
      <c r="AD361" s="22"/>
    </row>
    <row r="362" spans="1:30" s="23" customFormat="1" x14ac:dyDescent="0.35">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5">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5">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5">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5">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5">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5">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5">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5">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5">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5" x14ac:dyDescent="0.4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5" x14ac:dyDescent="0.4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9" thickBot="1" x14ac:dyDescent="0.5">
      <c r="A374" s="215"/>
      <c r="B374" s="219" t="str">
        <f>B243</f>
        <v>PM28 INVESTOR REPORT QUARTER ENDING NOVEMBER 2020</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5">
      <c r="B377" s="273" t="s">
        <v>277</v>
      </c>
    </row>
    <row r="378" spans="1:30" x14ac:dyDescent="0.35">
      <c r="B378" s="265" t="s">
        <v>278</v>
      </c>
    </row>
    <row r="379" spans="1:30" x14ac:dyDescent="0.35">
      <c r="B379" s="265" t="s">
        <v>279</v>
      </c>
    </row>
    <row r="380" spans="1:30" x14ac:dyDescent="0.35">
      <c r="B380" s="265" t="s">
        <v>280</v>
      </c>
    </row>
    <row r="381" spans="1:30" x14ac:dyDescent="0.35">
      <c r="B381" s="265" t="s">
        <v>281</v>
      </c>
    </row>
    <row r="382" spans="1:30" x14ac:dyDescent="0.35">
      <c r="B382" s="265" t="s">
        <v>282</v>
      </c>
    </row>
    <row r="383" spans="1:30" x14ac:dyDescent="0.35">
      <c r="B383" s="265" t="s">
        <v>283</v>
      </c>
    </row>
    <row r="384" spans="1:30" x14ac:dyDescent="0.35">
      <c r="B384" s="265" t="s">
        <v>284</v>
      </c>
    </row>
    <row r="385" spans="2:19" x14ac:dyDescent="0.35">
      <c r="B385" s="265"/>
    </row>
    <row r="386" spans="2:19" x14ac:dyDescent="0.35">
      <c r="B386" s="273" t="s">
        <v>300</v>
      </c>
    </row>
    <row r="387" spans="2:19" x14ac:dyDescent="0.35">
      <c r="B387" s="265" t="s">
        <v>339</v>
      </c>
    </row>
    <row r="388" spans="2:19" x14ac:dyDescent="0.35">
      <c r="B388" s="265" t="s">
        <v>351</v>
      </c>
    </row>
    <row r="389" spans="2:19" x14ac:dyDescent="0.35">
      <c r="B389" s="265"/>
    </row>
    <row r="390" spans="2:19" x14ac:dyDescent="0.35">
      <c r="B390" s="273" t="s">
        <v>285</v>
      </c>
    </row>
    <row r="391" spans="2:19" x14ac:dyDescent="0.35">
      <c r="B391" s="265" t="s">
        <v>286</v>
      </c>
    </row>
    <row r="392" spans="2:19" x14ac:dyDescent="0.35">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5">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9653096F-AE09-4E5E-99FA-10377205F0EA}"/>
    <hyperlink ref="P372" r:id="rId2" xr:uid="{DB066EFA-9420-4F0B-8D41-3E40C5E82DDE}"/>
    <hyperlink ref="P283" r:id="rId3" xr:uid="{2F4B0982-4266-4DD6-9FF0-5BA0D73405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C163-9996-40DC-B904-54064B4494E6}">
  <sheetPr>
    <tabColor rgb="FF2D2926"/>
  </sheetPr>
  <dimension ref="A1:JB364"/>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2.2634445236975824E-2</v>
      </c>
      <c r="Z17" s="299" t="s">
        <v>259</v>
      </c>
      <c r="AA17" s="299">
        <v>0.97736555476302422</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45007</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537301.75184000004</v>
      </c>
      <c r="G30" s="54"/>
      <c r="H30" s="54">
        <f>H29</f>
        <v>39664</v>
      </c>
      <c r="I30" s="54"/>
      <c r="J30" s="54">
        <f>J29</f>
        <v>21635</v>
      </c>
      <c r="K30" s="54"/>
      <c r="L30" s="54">
        <f>L29</f>
        <v>18029</v>
      </c>
      <c r="M30" s="54"/>
      <c r="N30" s="54">
        <f>N29</f>
        <v>18031</v>
      </c>
      <c r="O30" s="54"/>
      <c r="P30" s="54">
        <f>P29*P33</f>
        <v>9607.1234399999994</v>
      </c>
      <c r="Q30" s="54"/>
      <c r="R30" s="54">
        <v>0</v>
      </c>
      <c r="S30" s="54"/>
      <c r="T30" s="54" t="s">
        <v>83</v>
      </c>
      <c r="U30" s="54"/>
      <c r="V30" s="54" t="s">
        <v>83</v>
      </c>
      <c r="W30" s="54"/>
      <c r="X30" s="54" t="s">
        <v>83</v>
      </c>
      <c r="Y30" s="54" t="s">
        <v>83</v>
      </c>
      <c r="Z30" s="54"/>
      <c r="AA30" s="49"/>
      <c r="AB30" s="50">
        <f>SUM(F30:N30)</f>
        <v>634660.75184000004</v>
      </c>
      <c r="AC30" s="51"/>
      <c r="AD30" s="22"/>
    </row>
    <row r="31" spans="1:33" s="23" customFormat="1" x14ac:dyDescent="0.35">
      <c r="A31" s="47"/>
      <c r="B31" s="44" t="s">
        <v>92</v>
      </c>
      <c r="C31" s="49"/>
      <c r="D31" s="56"/>
      <c r="E31" s="56"/>
      <c r="F31" s="56">
        <f>F29*F32</f>
        <v>529460.43500000006</v>
      </c>
      <c r="G31" s="56"/>
      <c r="H31" s="56">
        <f>H29</f>
        <v>39664</v>
      </c>
      <c r="I31" s="56"/>
      <c r="J31" s="56">
        <f>J29</f>
        <v>21635</v>
      </c>
      <c r="K31" s="56"/>
      <c r="L31" s="56">
        <f>L29</f>
        <v>18029</v>
      </c>
      <c r="M31" s="56"/>
      <c r="N31" s="56">
        <f>N29</f>
        <v>18031</v>
      </c>
      <c r="O31" s="56"/>
      <c r="P31" s="56">
        <f>P29*P32</f>
        <v>9249.2726399999992</v>
      </c>
      <c r="Q31" s="56"/>
      <c r="R31" s="56">
        <v>0</v>
      </c>
      <c r="S31" s="56"/>
      <c r="T31" s="56" t="s">
        <v>83</v>
      </c>
      <c r="U31" s="56"/>
      <c r="V31" s="56" t="s">
        <v>83</v>
      </c>
      <c r="W31" s="56"/>
      <c r="X31" s="56" t="s">
        <v>83</v>
      </c>
      <c r="Y31" s="56" t="s">
        <v>83</v>
      </c>
      <c r="Z31" s="56"/>
      <c r="AA31" s="49"/>
      <c r="AB31" s="55">
        <f>SUM(F31:N31)</f>
        <v>626819.43500000006</v>
      </c>
      <c r="AC31" s="51"/>
      <c r="AD31" s="22"/>
      <c r="AE31" s="231"/>
    </row>
    <row r="32" spans="1:33" s="64" customFormat="1" x14ac:dyDescent="0.35">
      <c r="A32" s="57"/>
      <c r="B32" s="163" t="s">
        <v>88</v>
      </c>
      <c r="C32" s="60"/>
      <c r="D32" s="59"/>
      <c r="E32" s="59"/>
      <c r="F32" s="59">
        <v>0.84875</v>
      </c>
      <c r="G32" s="59"/>
      <c r="H32" s="59">
        <v>1</v>
      </c>
      <c r="I32" s="59"/>
      <c r="J32" s="59">
        <v>1</v>
      </c>
      <c r="K32" s="59"/>
      <c r="L32" s="59">
        <v>1</v>
      </c>
      <c r="M32" s="59"/>
      <c r="N32" s="59">
        <v>1</v>
      </c>
      <c r="O32" s="59"/>
      <c r="P32" s="59">
        <v>0.82967999999999997</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0.86131999999999997</v>
      </c>
      <c r="G33" s="59"/>
      <c r="H33" s="59">
        <v>1</v>
      </c>
      <c r="I33" s="59"/>
      <c r="J33" s="59">
        <v>1</v>
      </c>
      <c r="K33" s="59"/>
      <c r="L33" s="59">
        <v>1</v>
      </c>
      <c r="M33" s="59"/>
      <c r="N33" s="59">
        <v>1</v>
      </c>
      <c r="O33" s="59"/>
      <c r="P33" s="59">
        <v>0.86177999999999999</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4.5429200000000003E-2</v>
      </c>
      <c r="G35" s="236"/>
      <c r="H35" s="236">
        <v>4.94292E-2</v>
      </c>
      <c r="I35" s="236"/>
      <c r="J35" s="236">
        <v>5.2429200000000002E-2</v>
      </c>
      <c r="K35" s="236"/>
      <c r="L35" s="236">
        <v>5.5429199999999998E-2</v>
      </c>
      <c r="M35" s="236"/>
      <c r="N35" s="236">
        <v>6.5429200000000007E-2</v>
      </c>
      <c r="O35" s="236"/>
      <c r="P35" s="236">
        <v>7.5929200000000002E-2</v>
      </c>
      <c r="Q35" s="236"/>
      <c r="R35" s="236">
        <v>7.5929200000000002E-2</v>
      </c>
      <c r="S35" s="67"/>
      <c r="T35" s="67" t="s">
        <v>83</v>
      </c>
      <c r="U35" s="67"/>
      <c r="V35" s="67" t="s">
        <v>83</v>
      </c>
      <c r="W35" s="67"/>
      <c r="X35" s="67" t="s">
        <v>83</v>
      </c>
      <c r="Y35" s="67" t="s">
        <v>83</v>
      </c>
      <c r="Z35" s="67"/>
      <c r="AA35" s="40"/>
      <c r="AB35" s="66">
        <f>SUMPRODUCT(D35:N35,D30:N30)/AB30</f>
        <v>4.6770091173012923E-2</v>
      </c>
      <c r="AC35" s="43"/>
      <c r="AD35" s="22"/>
    </row>
    <row r="36" spans="1:30" s="23" customFormat="1" x14ac:dyDescent="0.35">
      <c r="A36" s="47"/>
      <c r="B36" s="40" t="s">
        <v>10</v>
      </c>
      <c r="C36" s="68"/>
      <c r="D36" s="236"/>
      <c r="E36" s="236"/>
      <c r="F36" s="236">
        <v>3.3522900000000001E-2</v>
      </c>
      <c r="G36" s="236"/>
      <c r="H36" s="236">
        <v>3.7522899999999998E-2</v>
      </c>
      <c r="I36" s="236"/>
      <c r="J36" s="236">
        <v>4.0522900000000001E-2</v>
      </c>
      <c r="K36" s="236"/>
      <c r="L36" s="236">
        <v>4.3522900000000003E-2</v>
      </c>
      <c r="M36" s="236"/>
      <c r="N36" s="236">
        <v>5.3522899999999998E-2</v>
      </c>
      <c r="O36" s="236"/>
      <c r="P36" s="236">
        <v>6.4022899999999994E-2</v>
      </c>
      <c r="Q36" s="236"/>
      <c r="R36" s="236">
        <v>6.4022899999999994E-2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0.18388342841897146</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45000</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44819</v>
      </c>
      <c r="AA47" s="76"/>
      <c r="AB47" s="75">
        <v>44909</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44910</v>
      </c>
      <c r="AA48" s="76"/>
      <c r="AB48" s="75">
        <v>44999</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44999</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368</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634375</v>
      </c>
      <c r="S57" s="234"/>
      <c r="T57" s="233">
        <f>356+16</f>
        <v>372</v>
      </c>
      <c r="U57" s="234"/>
      <c r="V57" s="234">
        <v>7185</v>
      </c>
      <c r="W57" s="234"/>
      <c r="X57" s="234">
        <v>0</v>
      </c>
      <c r="Y57" s="234"/>
      <c r="Z57" s="234">
        <v>0</v>
      </c>
      <c r="AA57" s="234"/>
      <c r="AB57" s="233">
        <f>R57-T57-V57+X57-Z57</f>
        <v>626818</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634375</v>
      </c>
      <c r="S60" s="234"/>
      <c r="T60" s="234">
        <f>T57+T58</f>
        <v>372</v>
      </c>
      <c r="U60" s="234"/>
      <c r="V60" s="234">
        <f>SUM(V57:V59)</f>
        <v>7185</v>
      </c>
      <c r="W60" s="234"/>
      <c r="X60" s="234">
        <f>SUM(X57:X59)</f>
        <v>0</v>
      </c>
      <c r="Y60" s="234"/>
      <c r="Z60" s="234">
        <f>SUM(Z57:Z59)</f>
        <v>0</v>
      </c>
      <c r="AA60" s="234"/>
      <c r="AB60" s="234">
        <f>SUM(AB57:AB59)</f>
        <v>626818</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2</v>
      </c>
      <c r="S63" s="234"/>
      <c r="T63" s="234">
        <v>0</v>
      </c>
      <c r="U63" s="234"/>
      <c r="V63" s="234">
        <v>-1</v>
      </c>
      <c r="W63" s="234"/>
      <c r="X63" s="234"/>
      <c r="Y63" s="234"/>
      <c r="Z63" s="234"/>
      <c r="AA63" s="234"/>
      <c r="AB63" s="234">
        <f>R63+V63</f>
        <v>1</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284</v>
      </c>
      <c r="S64" s="234"/>
      <c r="T64" s="234"/>
      <c r="U64" s="234"/>
      <c r="V64" s="234"/>
      <c r="W64" s="234"/>
      <c r="X64" s="234">
        <f>-X57-284</f>
        <v>-284</v>
      </c>
      <c r="Y64" s="234"/>
      <c r="Z64" s="234"/>
      <c r="AA64" s="234"/>
      <c r="AB64" s="234">
        <f>+R64+X64</f>
        <v>0</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634661</v>
      </c>
      <c r="S66" s="234"/>
      <c r="T66" s="234"/>
      <c r="U66" s="234"/>
      <c r="V66" s="234"/>
      <c r="W66" s="234"/>
      <c r="X66" s="234"/>
      <c r="Y66" s="234"/>
      <c r="Z66" s="234"/>
      <c r="AA66" s="234"/>
      <c r="AB66" s="234">
        <f>SUM(AB60:AB65)</f>
        <v>626819</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44985</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2</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284</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-Z71+284</f>
        <v>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7557</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6280+150-563-17</f>
        <v>5850</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148+3</f>
        <v>151</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222</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358</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3475</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7843</v>
      </c>
      <c r="AA83" s="40"/>
      <c r="AB83" s="96">
        <f>SUM(AB70:AB82)</f>
        <v>10056</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7843</v>
      </c>
      <c r="AA86" s="40"/>
      <c r="AB86" s="96">
        <f>AB83+AB84+AB85</f>
        <v>10056</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-313-7-9</f>
        <v>-329</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4532</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-6020</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-484</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-280</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-246</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-291</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-180</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-358</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-15-63</f>
        <v>-78</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-3793</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-7842</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-7842</v>
      </c>
      <c r="AA128" s="96"/>
      <c r="AB128" s="96">
        <f>SUM(AB87:AB126)</f>
        <v>-10056</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1</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FEBRUARY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22'!AB144</f>
        <v>9012.14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-358</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8654.14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22'!AB157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22'!AB163</f>
        <v>284</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X64+284</f>
        <v>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-284</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22'!AB196</f>
        <v>4209</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2515</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3475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3249</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22'!AB204</f>
        <v>2554</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2515</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2539</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22'!AB212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22'!Y219</f>
        <v>0</v>
      </c>
      <c r="Z217" s="97">
        <f>+'November 22'!Z219</f>
        <v>485</v>
      </c>
      <c r="AA217" s="40"/>
      <c r="AB217" s="97">
        <f>Y217+Z217</f>
        <v>485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485</v>
      </c>
      <c r="AA219" s="40"/>
      <c r="AB219" s="97">
        <f>Y219+Z219</f>
        <v>485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611368</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-2468</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2.3682724252491694</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2.92</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17.018595041322314</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23.07</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27.689285714285713</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35.72</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30.378048780487806</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37.31</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24.835051546391753</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26.93</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FEBRUARY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44985</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3.6781043855263498E-2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4.6770091173012923E-2</v>
      </c>
      <c r="AA250" s="40"/>
      <c r="AB250" s="40"/>
      <c r="AC250" s="43"/>
      <c r="AD250" s="22"/>
    </row>
    <row r="251" spans="1:30" s="23" customFormat="1" x14ac:dyDescent="0.35">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v>0</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2.2985499345319786E-2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18.97</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1.1907144128912917E-2</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5.7700000000000001E-2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22'!Z273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3269</v>
      </c>
      <c r="Y286" s="189">
        <f>X286/$X$295</f>
        <v>0.99877787962114273</v>
      </c>
      <c r="Z286" s="106">
        <f t="shared" ref="Z286:Z293" si="1">+Z298+Z310+Z332</f>
        <v>626232</v>
      </c>
      <c r="AA286" s="189">
        <f>Z286/$Z$295</f>
        <v>0.99906511938074527</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3</v>
      </c>
      <c r="Y287" s="193">
        <f t="shared" ref="Y287:Y293" si="2">X287/$X$295</f>
        <v>9.1659028414298811E-4</v>
      </c>
      <c r="Z287" s="194">
        <f t="shared" si="1"/>
        <v>330</v>
      </c>
      <c r="AA287" s="195">
        <f>Z287/$Z$295</f>
        <v>5.2646860811272173E-4</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1</v>
      </c>
      <c r="Y289" s="197">
        <f t="shared" si="2"/>
        <v>3.0553009471432935E-4</v>
      </c>
      <c r="Z289" s="130">
        <f t="shared" si="1"/>
        <v>256</v>
      </c>
      <c r="AA289" s="195">
        <f t="shared" si="3"/>
        <v>4.084120111419902E-4</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3273</v>
      </c>
      <c r="Y295" s="195">
        <f>SUM(Y286:Y294)</f>
        <v>1</v>
      </c>
      <c r="Z295" s="97">
        <f>SUM(Z286:Z294)</f>
        <v>626818</v>
      </c>
      <c r="AA295" s="195">
        <f>SUM(AA286:AA294)</f>
        <v>0.99999999999999989</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3269</v>
      </c>
      <c r="Y298" s="189">
        <f>X298/$X$307</f>
        <v>0.99877787962114273</v>
      </c>
      <c r="Z298" s="106">
        <v>626232</v>
      </c>
      <c r="AA298" s="189">
        <f>Z298/$Z$307</f>
        <v>0.99906511938074527</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3</v>
      </c>
      <c r="Y299" s="195">
        <f t="shared" ref="Y299:Y305" si="4">X299/$X$307</f>
        <v>9.1659028414298811E-4</v>
      </c>
      <c r="Z299" s="97">
        <v>330</v>
      </c>
      <c r="AA299" s="195">
        <f t="shared" ref="AA299:AA305" si="5">Z299/$Z$307</f>
        <v>5.2646860811272173E-4</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1</v>
      </c>
      <c r="Y301" s="195">
        <f t="shared" si="4"/>
        <v>3.0553009471432935E-4</v>
      </c>
      <c r="Z301" s="97">
        <v>256</v>
      </c>
      <c r="AA301" s="195">
        <f t="shared" si="5"/>
        <v>4.084120111419902E-4</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3273</v>
      </c>
      <c r="Y307" s="195">
        <f>SUM(Y298:Y306)</f>
        <v>1</v>
      </c>
      <c r="Z307" s="97">
        <f>SUM(Z298:Z306)</f>
        <v>626818</v>
      </c>
      <c r="AA307" s="195">
        <f>SUM(AA298:AA306)</f>
        <v>0.99999999999999989</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3273</v>
      </c>
      <c r="Y343" s="195"/>
      <c r="Z343" s="208">
        <f>+Z341+Z319+Z307</f>
        <v>626818</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1</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626819</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626819</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FEBRUARY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row r="363" spans="1:30" x14ac:dyDescent="0.35">
      <c r="B363" s="265" t="s">
        <v>370</v>
      </c>
    </row>
    <row r="364" spans="1:30" x14ac:dyDescent="0.35">
      <c r="B364" s="265" t="s">
        <v>371</v>
      </c>
    </row>
  </sheetData>
  <hyperlinks>
    <hyperlink ref="K9" r:id="rId1" display="http://www.paragon-group.co.uk" xr:uid="{8912FAA2-93E1-40D8-9C44-F971D64D19DE}"/>
    <hyperlink ref="P355" r:id="rId2" xr:uid="{EEEA81F1-5206-45F5-B67A-713E5C348D6D}"/>
    <hyperlink ref="P283" r:id="rId3" xr:uid="{109BC2C0-8AC9-4468-A6C4-3A40699268A9}"/>
    <hyperlink ref="B361" r:id="rId4" display="https://investorreporting.paragonbankinggroup.co.uk/bondinvestor_viewer/resources/bondinvestor/pdf/investornews/2021/libor-mortgages-transition-july-19" xr:uid="{48D61DC0-E653-432C-B39E-3AD68E37B60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72A9-D127-4F44-AA24-6FA23EEE0425}">
  <sheetPr>
    <tabColor rgb="FF89CB31"/>
  </sheetPr>
  <dimension ref="A1:JB364"/>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2.23529915442694E-2</v>
      </c>
      <c r="Z17" s="299" t="s">
        <v>259</v>
      </c>
      <c r="AA17" s="299">
        <v>0.9776470084557306</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45099</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529460.43500000006</v>
      </c>
      <c r="G30" s="54"/>
      <c r="H30" s="54">
        <f>H29</f>
        <v>39664</v>
      </c>
      <c r="I30" s="54"/>
      <c r="J30" s="54">
        <f>J29</f>
        <v>21635</v>
      </c>
      <c r="K30" s="54"/>
      <c r="L30" s="54">
        <f>L29</f>
        <v>18029</v>
      </c>
      <c r="M30" s="54"/>
      <c r="N30" s="54">
        <f>N29</f>
        <v>18031</v>
      </c>
      <c r="O30" s="54"/>
      <c r="P30" s="54">
        <f>P29*P33</f>
        <v>9249.2726399999992</v>
      </c>
      <c r="Q30" s="54"/>
      <c r="R30" s="54">
        <v>0</v>
      </c>
      <c r="S30" s="54"/>
      <c r="T30" s="54" t="s">
        <v>83</v>
      </c>
      <c r="U30" s="54"/>
      <c r="V30" s="54" t="s">
        <v>83</v>
      </c>
      <c r="W30" s="54"/>
      <c r="X30" s="54" t="s">
        <v>83</v>
      </c>
      <c r="Y30" s="54" t="s">
        <v>83</v>
      </c>
      <c r="Z30" s="54"/>
      <c r="AA30" s="49"/>
      <c r="AB30" s="50">
        <f>SUM(F30:N30)</f>
        <v>626819.43500000006</v>
      </c>
      <c r="AC30" s="51"/>
      <c r="AD30" s="22"/>
    </row>
    <row r="31" spans="1:33" s="23" customFormat="1" x14ac:dyDescent="0.35">
      <c r="A31" s="47"/>
      <c r="B31" s="44" t="s">
        <v>92</v>
      </c>
      <c r="C31" s="49"/>
      <c r="D31" s="56"/>
      <c r="E31" s="56"/>
      <c r="F31" s="56">
        <f>F29*F32</f>
        <v>524413.79591999995</v>
      </c>
      <c r="G31" s="56"/>
      <c r="H31" s="56">
        <f>H29</f>
        <v>39664</v>
      </c>
      <c r="I31" s="56"/>
      <c r="J31" s="56">
        <f>J29</f>
        <v>21635</v>
      </c>
      <c r="K31" s="56"/>
      <c r="L31" s="56">
        <f>L29</f>
        <v>18029</v>
      </c>
      <c r="M31" s="56"/>
      <c r="N31" s="56">
        <f>N29</f>
        <v>18031</v>
      </c>
      <c r="O31" s="56"/>
      <c r="P31" s="56">
        <f>P29*P32</f>
        <v>9131.6612399999995</v>
      </c>
      <c r="Q31" s="56"/>
      <c r="R31" s="56">
        <v>0</v>
      </c>
      <c r="S31" s="56"/>
      <c r="T31" s="56" t="s">
        <v>83</v>
      </c>
      <c r="U31" s="56"/>
      <c r="V31" s="56" t="s">
        <v>83</v>
      </c>
      <c r="W31" s="56"/>
      <c r="X31" s="56" t="s">
        <v>83</v>
      </c>
      <c r="Y31" s="56" t="s">
        <v>83</v>
      </c>
      <c r="Z31" s="56"/>
      <c r="AA31" s="49"/>
      <c r="AB31" s="55">
        <f>SUM(F31:N31)-2</f>
        <v>621770.79591999995</v>
      </c>
      <c r="AC31" s="51"/>
      <c r="AD31" s="22"/>
      <c r="AE31" s="231"/>
    </row>
    <row r="32" spans="1:33" s="64" customFormat="1" x14ac:dyDescent="0.35">
      <c r="A32" s="57"/>
      <c r="B32" s="163" t="s">
        <v>88</v>
      </c>
      <c r="C32" s="60"/>
      <c r="D32" s="59"/>
      <c r="E32" s="59"/>
      <c r="F32" s="59">
        <v>0.84065999999999996</v>
      </c>
      <c r="G32" s="59"/>
      <c r="H32" s="59">
        <v>1</v>
      </c>
      <c r="I32" s="59"/>
      <c r="J32" s="59">
        <v>1</v>
      </c>
      <c r="K32" s="59"/>
      <c r="L32" s="59">
        <v>1</v>
      </c>
      <c r="M32" s="59"/>
      <c r="N32" s="59">
        <v>1</v>
      </c>
      <c r="O32" s="59"/>
      <c r="P32" s="59">
        <v>0.81913000000000002</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0.84875</v>
      </c>
      <c r="G33" s="59"/>
      <c r="H33" s="59">
        <v>1</v>
      </c>
      <c r="I33" s="59"/>
      <c r="J33" s="59">
        <v>1</v>
      </c>
      <c r="K33" s="59"/>
      <c r="L33" s="59">
        <v>1</v>
      </c>
      <c r="M33" s="59"/>
      <c r="N33" s="59">
        <v>1</v>
      </c>
      <c r="O33" s="59"/>
      <c r="P33" s="59">
        <v>0.82967999999999997</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5.1846499999999997E-2</v>
      </c>
      <c r="G35" s="236"/>
      <c r="H35" s="236">
        <v>5.58465E-2</v>
      </c>
      <c r="I35" s="236"/>
      <c r="J35" s="236">
        <v>5.8846500000000003E-2</v>
      </c>
      <c r="K35" s="236"/>
      <c r="L35" s="236">
        <v>6.1846499999999999E-2</v>
      </c>
      <c r="M35" s="236"/>
      <c r="N35" s="236">
        <v>7.1846499999999994E-2</v>
      </c>
      <c r="O35" s="236"/>
      <c r="P35" s="236">
        <v>8.2346500000000003E-2</v>
      </c>
      <c r="Q35" s="236"/>
      <c r="R35" s="236">
        <v>8.2346500000000003E-2</v>
      </c>
      <c r="S35" s="67"/>
      <c r="T35" s="67" t="s">
        <v>83</v>
      </c>
      <c r="U35" s="67"/>
      <c r="V35" s="67" t="s">
        <v>83</v>
      </c>
      <c r="W35" s="67"/>
      <c r="X35" s="67" t="s">
        <v>83</v>
      </c>
      <c r="Y35" s="67" t="s">
        <v>83</v>
      </c>
      <c r="Z35" s="67"/>
      <c r="AA35" s="40"/>
      <c r="AB35" s="66">
        <f>SUMPRODUCT(D35:N35,D30:N30)/AB30</f>
        <v>5.3204165305958472E-2</v>
      </c>
      <c r="AC35" s="43"/>
      <c r="AD35" s="22"/>
    </row>
    <row r="36" spans="1:30" s="23" customFormat="1" x14ac:dyDescent="0.35">
      <c r="A36" s="47"/>
      <c r="B36" s="40" t="s">
        <v>10</v>
      </c>
      <c r="C36" s="68"/>
      <c r="D36" s="236"/>
      <c r="E36" s="236"/>
      <c r="F36" s="236">
        <v>4.5429200000000003E-2</v>
      </c>
      <c r="G36" s="236"/>
      <c r="H36" s="236">
        <v>4.94292E-2</v>
      </c>
      <c r="I36" s="236"/>
      <c r="J36" s="236">
        <v>5.2429200000000002E-2</v>
      </c>
      <c r="K36" s="236"/>
      <c r="L36" s="236">
        <v>5.5429199999999998E-2</v>
      </c>
      <c r="M36" s="236"/>
      <c r="N36" s="236">
        <v>6.5429200000000007E-2</v>
      </c>
      <c r="O36" s="236"/>
      <c r="P36" s="236">
        <v>7.5929200000000002E-2</v>
      </c>
      <c r="Q36" s="236"/>
      <c r="R36" s="236">
        <v>7.5929200000000002E-2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0.18565301057574055</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45092</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44910</v>
      </c>
      <c r="AA47" s="76"/>
      <c r="AB47" s="75">
        <v>44999</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45000</v>
      </c>
      <c r="AA48" s="76"/>
      <c r="AB48" s="75">
        <v>45091</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45091</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372</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626818</v>
      </c>
      <c r="S57" s="234"/>
      <c r="T57" s="233">
        <f>359+17</f>
        <v>376</v>
      </c>
      <c r="U57" s="234"/>
      <c r="V57" s="234">
        <v>4676</v>
      </c>
      <c r="W57" s="234"/>
      <c r="X57" s="234">
        <v>3</v>
      </c>
      <c r="Y57" s="234"/>
      <c r="Z57" s="234">
        <v>0</v>
      </c>
      <c r="AA57" s="234"/>
      <c r="AB57" s="233">
        <f>R57-T57-V57+X57-Z57</f>
        <v>621769</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626818</v>
      </c>
      <c r="S60" s="234"/>
      <c r="T60" s="234">
        <f>T57+T58</f>
        <v>376</v>
      </c>
      <c r="U60" s="234"/>
      <c r="V60" s="234">
        <f>SUM(V57:V59)</f>
        <v>4676</v>
      </c>
      <c r="W60" s="234"/>
      <c r="X60" s="234">
        <f>SUM(X57:X59)</f>
        <v>3</v>
      </c>
      <c r="Y60" s="234"/>
      <c r="Z60" s="234">
        <f>SUM(Z57:Z59)</f>
        <v>0</v>
      </c>
      <c r="AA60" s="234"/>
      <c r="AB60" s="234">
        <f>SUM(AB57:AB59)</f>
        <v>621769</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1</v>
      </c>
      <c r="S63" s="234"/>
      <c r="T63" s="234">
        <v>0</v>
      </c>
      <c r="U63" s="234"/>
      <c r="V63" s="234">
        <v>1</v>
      </c>
      <c r="W63" s="234"/>
      <c r="X63" s="234"/>
      <c r="Y63" s="234"/>
      <c r="Z63" s="234"/>
      <c r="AA63" s="234"/>
      <c r="AB63" s="234">
        <f>R63+V63</f>
        <v>2</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626819</v>
      </c>
      <c r="S66" s="234"/>
      <c r="T66" s="234"/>
      <c r="U66" s="234"/>
      <c r="V66" s="234"/>
      <c r="W66" s="234"/>
      <c r="X66" s="234"/>
      <c r="Y66" s="234"/>
      <c r="Z66" s="234"/>
      <c r="AA66" s="234"/>
      <c r="AB66" s="234">
        <f>SUM(AB60:AB65)</f>
        <v>621771</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45077</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1</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5052</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6071+149-466-18</f>
        <v>5736</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63+9</f>
        <v>72</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251</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117</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2980</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5053</v>
      </c>
      <c r="AA83" s="40"/>
      <c r="AB83" s="96">
        <f>SUM(AB70:AB82)</f>
        <v>9156</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5053</v>
      </c>
      <c r="AA86" s="40"/>
      <c r="AB86" s="96">
        <f>AB83+AB84+AB85</f>
        <v>9156</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-316-3-9</f>
        <v>-328</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5617</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-6918</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-559</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-321</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-281</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-327</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-192</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-117</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-15-63</f>
        <v>-78</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-3623</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-3</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-5048</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-5051</v>
      </c>
      <c r="AA128" s="96"/>
      <c r="AB128" s="96">
        <f>SUM(AB87:AB126)</f>
        <v>-9156</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2</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MAY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23'!AB144</f>
        <v>8654.14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-117</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8537.14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23'!AB157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23'!AB163</f>
        <v>0</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23'!AB196</f>
        <v>3249</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2511</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2980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2780</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23'!AB204</f>
        <v>2539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2511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2028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23'!AB212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23'!Y219</f>
        <v>0</v>
      </c>
      <c r="Z217" s="97">
        <f>+'February 23'!Z219</f>
        <v>485</v>
      </c>
      <c r="AA217" s="40"/>
      <c r="AB217" s="97">
        <f>Y217+Z217</f>
        <v>485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3</v>
      </c>
      <c r="AA218" s="40"/>
      <c r="AB218" s="97">
        <f>Y218+Z218</f>
        <v>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610224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-1324</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2.0877421220005781</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2.74</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13.461538461538462</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21.05</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21.700934579439252</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32.950000000000003</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23.647686832740213</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34.729999999999997</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19.461773700305809</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25.68</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MAY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45077</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3.6642296322643916E-2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5.3204165305958472E-2</v>
      </c>
      <c r="AA250" s="40"/>
      <c r="AB250" s="40"/>
      <c r="AC250" s="43"/>
      <c r="AD250" s="22"/>
    </row>
    <row r="251" spans="1:30" s="23" customFormat="1" x14ac:dyDescent="0.35">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2.3568207090085017E-2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18.71</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8.0597429241934266E-3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5.5300000000000002E-2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23'!Z273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3245</v>
      </c>
      <c r="Y286" s="189">
        <f>X286/$X$295</f>
        <v>0.99938404681244231</v>
      </c>
      <c r="Z286" s="106">
        <f t="shared" ref="Z286:Z293" si="1">+Z298+Z310+Z332</f>
        <v>621379</v>
      </c>
      <c r="AA286" s="189">
        <f>Z286/$Z$295</f>
        <v>0.99937275740668963</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1</v>
      </c>
      <c r="Y287" s="193">
        <f t="shared" ref="Y287:Y293" si="2">X287/$X$295</f>
        <v>3.0797659377887281E-4</v>
      </c>
      <c r="Z287" s="194">
        <f t="shared" si="1"/>
        <v>321</v>
      </c>
      <c r="AA287" s="195">
        <f>Z287/$Z$295</f>
        <v>5.1626890372469519E-4</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1</v>
      </c>
      <c r="Y288" s="197">
        <f t="shared" si="2"/>
        <v>3.0797659377887281E-4</v>
      </c>
      <c r="Z288" s="130">
        <f t="shared" si="1"/>
        <v>69</v>
      </c>
      <c r="AA288" s="195">
        <f t="shared" ref="AA288:AA293" si="3">Z288/$Z$295</f>
        <v>1.1097368958568215E-4</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3247</v>
      </c>
      <c r="Y295" s="195">
        <f>SUM(Y286:Y294)</f>
        <v>1</v>
      </c>
      <c r="Z295" s="97">
        <f>SUM(Z286:Z294)</f>
        <v>621769</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3245</v>
      </c>
      <c r="Y298" s="189">
        <f>X298/$X$307</f>
        <v>0.99938404681244231</v>
      </c>
      <c r="Z298" s="106">
        <v>621379</v>
      </c>
      <c r="AA298" s="189">
        <f>Z298/$Z$307</f>
        <v>0.99937275740668963</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1</v>
      </c>
      <c r="Y299" s="195">
        <f t="shared" ref="Y299:Y305" si="4">X299/$X$307</f>
        <v>3.0797659377887281E-4</v>
      </c>
      <c r="Z299" s="97">
        <v>321</v>
      </c>
      <c r="AA299" s="195">
        <f t="shared" ref="AA299:AA305" si="5">Z299/$Z$307</f>
        <v>5.1626890372469519E-4</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1</v>
      </c>
      <c r="Y300" s="195">
        <f t="shared" si="4"/>
        <v>3.0797659377887281E-4</v>
      </c>
      <c r="Z300" s="97">
        <v>69</v>
      </c>
      <c r="AA300" s="195">
        <f t="shared" si="5"/>
        <v>1.1097368958568215E-4</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3247</v>
      </c>
      <c r="Y307" s="195">
        <f>SUM(Y298:Y306)</f>
        <v>1</v>
      </c>
      <c r="Z307" s="97">
        <f>SUM(Z298:Z306)</f>
        <v>621769</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3247</v>
      </c>
      <c r="Y343" s="195"/>
      <c r="Z343" s="208">
        <f>+Z341+Z319+Z307</f>
        <v>621769</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2</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621771</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621771</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1.0000032166193928</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MAY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row r="363" spans="1:30" x14ac:dyDescent="0.35">
      <c r="B363" s="265" t="s">
        <v>370</v>
      </c>
    </row>
    <row r="364" spans="1:30" x14ac:dyDescent="0.35">
      <c r="B364" s="265" t="s">
        <v>371</v>
      </c>
    </row>
  </sheetData>
  <hyperlinks>
    <hyperlink ref="K9" r:id="rId1" display="http://www.paragon-group.co.uk" xr:uid="{3789C4C7-DD2E-44D3-B1C2-39B1FF9A71E6}"/>
    <hyperlink ref="P355" r:id="rId2" xr:uid="{7196ED29-CF9C-4219-AA8B-EC6271396336}"/>
    <hyperlink ref="P283" r:id="rId3" xr:uid="{20E9B621-9F65-4594-ADDA-D124630522F9}"/>
    <hyperlink ref="B361" r:id="rId4" display="https://investorreporting.paragonbankinggroup.co.uk/bondinvestor_viewer/resources/bondinvestor/pdf/investornews/2021/libor-mortgages-transition-july-19" xr:uid="{9DCC2DC5-15F9-402E-9CF0-03F35AFCA3B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5EB-7F97-426B-913E-2355D3218FE8}">
  <sheetPr>
    <tabColor rgb="FF2D2926"/>
  </sheetPr>
  <dimension ref="A1:JB364"/>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2.2443145802738991E-2</v>
      </c>
      <c r="Z17" s="299" t="s">
        <v>259</v>
      </c>
      <c r="AA17" s="299">
        <v>0.97755685419726102</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45191</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524413.79591999995</v>
      </c>
      <c r="G30" s="54"/>
      <c r="H30" s="54">
        <f>H29</f>
        <v>39664</v>
      </c>
      <c r="I30" s="54"/>
      <c r="J30" s="54">
        <f>J29</f>
        <v>21635</v>
      </c>
      <c r="K30" s="54"/>
      <c r="L30" s="54">
        <f>L29</f>
        <v>18029</v>
      </c>
      <c r="M30" s="54"/>
      <c r="N30" s="54">
        <f>N29</f>
        <v>18031</v>
      </c>
      <c r="O30" s="54"/>
      <c r="P30" s="54">
        <f>P29*P33</f>
        <v>9131.6612399999995</v>
      </c>
      <c r="Q30" s="54"/>
      <c r="R30" s="54">
        <v>0</v>
      </c>
      <c r="S30" s="54"/>
      <c r="T30" s="54" t="s">
        <v>83</v>
      </c>
      <c r="U30" s="54"/>
      <c r="V30" s="54" t="s">
        <v>83</v>
      </c>
      <c r="W30" s="54"/>
      <c r="X30" s="54" t="s">
        <v>83</v>
      </c>
      <c r="Y30" s="54" t="s">
        <v>83</v>
      </c>
      <c r="Z30" s="54"/>
      <c r="AA30" s="49"/>
      <c r="AB30" s="50">
        <f>SUM(F30:N30)-2</f>
        <v>621770.79591999995</v>
      </c>
      <c r="AC30" s="51"/>
      <c r="AD30" s="22"/>
    </row>
    <row r="31" spans="1:33" s="23" customFormat="1" x14ac:dyDescent="0.35">
      <c r="A31" s="47"/>
      <c r="B31" s="44" t="s">
        <v>92</v>
      </c>
      <c r="C31" s="49"/>
      <c r="D31" s="56"/>
      <c r="E31" s="56"/>
      <c r="F31" s="56">
        <f>F29*F32</f>
        <v>521269.78344000003</v>
      </c>
      <c r="G31" s="56"/>
      <c r="H31" s="56">
        <f>H29</f>
        <v>39664</v>
      </c>
      <c r="I31" s="56"/>
      <c r="J31" s="56">
        <f>J29</f>
        <v>21635</v>
      </c>
      <c r="K31" s="56"/>
      <c r="L31" s="56">
        <f>L29</f>
        <v>18029</v>
      </c>
      <c r="M31" s="56"/>
      <c r="N31" s="56">
        <f>N29</f>
        <v>18031</v>
      </c>
      <c r="O31" s="56"/>
      <c r="P31" s="56">
        <f>P29*P32</f>
        <v>9055.9663199999995</v>
      </c>
      <c r="Q31" s="56"/>
      <c r="R31" s="56">
        <v>0</v>
      </c>
      <c r="S31" s="56"/>
      <c r="T31" s="56" t="s">
        <v>83</v>
      </c>
      <c r="U31" s="56"/>
      <c r="V31" s="56" t="s">
        <v>83</v>
      </c>
      <c r="W31" s="56"/>
      <c r="X31" s="56" t="s">
        <v>83</v>
      </c>
      <c r="Y31" s="56" t="s">
        <v>83</v>
      </c>
      <c r="Z31" s="56"/>
      <c r="AA31" s="49"/>
      <c r="AB31" s="55">
        <f>SUM(F31:N31)-1</f>
        <v>618627.78344000003</v>
      </c>
      <c r="AC31" s="51"/>
      <c r="AD31" s="22"/>
      <c r="AE31" s="231"/>
    </row>
    <row r="32" spans="1:33" s="64" customFormat="1" x14ac:dyDescent="0.35">
      <c r="A32" s="57"/>
      <c r="B32" s="163" t="s">
        <v>88</v>
      </c>
      <c r="C32" s="60"/>
      <c r="D32" s="59"/>
      <c r="E32" s="59"/>
      <c r="F32" s="59">
        <v>0.83562000000000003</v>
      </c>
      <c r="G32" s="59"/>
      <c r="H32" s="59">
        <v>1</v>
      </c>
      <c r="I32" s="59"/>
      <c r="J32" s="59">
        <v>1</v>
      </c>
      <c r="K32" s="59"/>
      <c r="L32" s="59">
        <v>1</v>
      </c>
      <c r="M32" s="59"/>
      <c r="N32" s="59">
        <v>1</v>
      </c>
      <c r="O32" s="59"/>
      <c r="P32" s="59">
        <v>0.81233999999999995</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0.84065999999999996</v>
      </c>
      <c r="G33" s="59"/>
      <c r="H33" s="59">
        <v>1</v>
      </c>
      <c r="I33" s="59"/>
      <c r="J33" s="59">
        <v>1</v>
      </c>
      <c r="K33" s="59"/>
      <c r="L33" s="59">
        <v>1</v>
      </c>
      <c r="M33" s="59"/>
      <c r="N33" s="59">
        <v>1</v>
      </c>
      <c r="O33" s="59"/>
      <c r="P33" s="59">
        <v>0.81913000000000002</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5.93336E-2</v>
      </c>
      <c r="G35" s="236"/>
      <c r="H35" s="236">
        <v>6.3333600000000004E-2</v>
      </c>
      <c r="I35" s="236"/>
      <c r="J35" s="236">
        <v>6.6333600000000006E-2</v>
      </c>
      <c r="K35" s="236"/>
      <c r="L35" s="236">
        <v>6.9333599999999995E-2</v>
      </c>
      <c r="M35" s="236"/>
      <c r="N35" s="236">
        <v>7.9333600000000004E-2</v>
      </c>
      <c r="O35" s="236"/>
      <c r="P35" s="236">
        <v>8.98336E-2</v>
      </c>
      <c r="Q35" s="236"/>
      <c r="R35" s="236">
        <v>8.98336E-2</v>
      </c>
      <c r="S35" s="67"/>
      <c r="T35" s="67" t="s">
        <v>83</v>
      </c>
      <c r="U35" s="67"/>
      <c r="V35" s="67" t="s">
        <v>83</v>
      </c>
      <c r="W35" s="67"/>
      <c r="X35" s="67" t="s">
        <v>83</v>
      </c>
      <c r="Y35" s="67" t="s">
        <v>83</v>
      </c>
      <c r="Z35" s="67"/>
      <c r="AA35" s="40"/>
      <c r="AB35" s="66">
        <f>SUMPRODUCT(D35:N35,D30:N30)/AB30</f>
        <v>6.0702480096628909E-2</v>
      </c>
      <c r="AC35" s="43"/>
      <c r="AD35" s="22"/>
    </row>
    <row r="36" spans="1:30" s="23" customFormat="1" x14ac:dyDescent="0.35">
      <c r="A36" s="47"/>
      <c r="B36" s="40" t="s">
        <v>10</v>
      </c>
      <c r="C36" s="68"/>
      <c r="D36" s="236"/>
      <c r="E36" s="236"/>
      <c r="F36" s="236">
        <v>5.1846499999999997E-2</v>
      </c>
      <c r="G36" s="236"/>
      <c r="H36" s="236">
        <v>5.58465E-2</v>
      </c>
      <c r="I36" s="236"/>
      <c r="J36" s="236">
        <v>5.8846500000000003E-2</v>
      </c>
      <c r="K36" s="236"/>
      <c r="L36" s="236">
        <v>6.1846499999999999E-2</v>
      </c>
      <c r="M36" s="236"/>
      <c r="N36" s="236">
        <v>7.1846499999999994E-2</v>
      </c>
      <c r="O36" s="236"/>
      <c r="P36" s="236">
        <v>8.2346500000000003E-2</v>
      </c>
      <c r="Q36" s="236"/>
      <c r="R36" s="236">
        <v>8.2346500000000003E-2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0.18677276737105625</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45184</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45000</v>
      </c>
      <c r="AA47" s="76"/>
      <c r="AB47" s="75">
        <v>45091</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45092</v>
      </c>
      <c r="AA48" s="76"/>
      <c r="AB48" s="75">
        <v>45183</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45183</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373</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621769</v>
      </c>
      <c r="S57" s="234"/>
      <c r="T57" s="233">
        <f>360+17</f>
        <v>377</v>
      </c>
      <c r="U57" s="234"/>
      <c r="V57" s="234">
        <v>2768</v>
      </c>
      <c r="W57" s="234"/>
      <c r="X57" s="234">
        <v>0</v>
      </c>
      <c r="Y57" s="234"/>
      <c r="Z57" s="234">
        <v>0</v>
      </c>
      <c r="AA57" s="234"/>
      <c r="AB57" s="233">
        <f>R57-T57-V57+X57-Z57</f>
        <v>618624</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621769</v>
      </c>
      <c r="S60" s="234"/>
      <c r="T60" s="234">
        <f>T57+T58</f>
        <v>377</v>
      </c>
      <c r="U60" s="234"/>
      <c r="V60" s="234">
        <f>SUM(V57:V59)</f>
        <v>2768</v>
      </c>
      <c r="W60" s="234"/>
      <c r="X60" s="234">
        <f>SUM(X57:X59)</f>
        <v>0</v>
      </c>
      <c r="Y60" s="234"/>
      <c r="Z60" s="234">
        <f>SUM(Z57:Z59)</f>
        <v>0</v>
      </c>
      <c r="AA60" s="234"/>
      <c r="AB60" s="234">
        <f>SUM(AB57:AB59)</f>
        <v>618624</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2</v>
      </c>
      <c r="S63" s="234"/>
      <c r="T63" s="234">
        <v>0</v>
      </c>
      <c r="U63" s="234"/>
      <c r="V63" s="234">
        <v>2</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621771</v>
      </c>
      <c r="S66" s="234"/>
      <c r="T66" s="234"/>
      <c r="U66" s="234"/>
      <c r="V66" s="234"/>
      <c r="W66" s="234"/>
      <c r="X66" s="234"/>
      <c r="Y66" s="234"/>
      <c r="Z66" s="234"/>
      <c r="AA66" s="234"/>
      <c r="AB66" s="234">
        <f>SUM(AB60:AB65)</f>
        <v>618628</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45169</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2</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3145</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5958+143-405-15</f>
        <v>5681</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86</f>
        <v>86</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242</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76</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2768</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3147</v>
      </c>
      <c r="AA83" s="40"/>
      <c r="AB83" s="96">
        <f>SUM(AB70:AB82)</f>
        <v>8853</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3147</v>
      </c>
      <c r="AA86" s="40"/>
      <c r="AB86" s="96">
        <f>AB83+AB84+AB85</f>
        <v>8853</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-314-2-9</f>
        <v>-325</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6767</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-7841</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-633</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-362</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-315</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-361</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-207</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-76</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-15-64</f>
        <v>-79</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-3392</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-3143</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-3143</v>
      </c>
      <c r="AA128" s="96"/>
      <c r="AB128" s="96">
        <f>SUM(AB87:AB126)</f>
        <v>-8853</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AUGUST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23'!AB144</f>
        <v>8537.14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-76</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8461.14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23'!AB157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23'!AB163</f>
        <v>0</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23'!AB196</f>
        <v>2780</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1986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2768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1998</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23'!AB204</f>
        <v>2028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1986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2042</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23'!AB212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23'!Y219</f>
        <v>0</v>
      </c>
      <c r="Z217" s="97">
        <f>+'May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608034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866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1.9503889809973218</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2.59</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11.772511848341232</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19.27</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18.837016574585636</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30.37</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20.498412698412697</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32.25</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17.013850415512465</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24.33</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AUGUST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45169</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3.6653249089123249E-2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6.0702480096628909E-2</v>
      </c>
      <c r="AA250" s="40"/>
      <c r="AB250" s="40"/>
      <c r="AC250" s="43"/>
      <c r="AD250" s="22"/>
    </row>
    <row r="251" spans="1:30" s="23" customFormat="1" x14ac:dyDescent="0.35">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2.5121789211783759E-2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18.46</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5.0581323348950014E-3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5.2299999999999999E-2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1</v>
      </c>
      <c r="Z267" s="159">
        <f>+Z319</f>
        <v>321</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23'!Z273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3227</v>
      </c>
      <c r="Y286" s="189">
        <f>X286/$X$295</f>
        <v>0.99845297029702973</v>
      </c>
      <c r="Z286" s="106">
        <f t="shared" ref="Z286:Z293" si="1">+Z298+Z310+Z332</f>
        <v>617298</v>
      </c>
      <c r="AA286" s="189">
        <f>Z286/$Z$295</f>
        <v>0.99785653320918688</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2</v>
      </c>
      <c r="Y287" s="193">
        <f t="shared" ref="Y287:Y293" si="2">X287/$X$295</f>
        <v>6.1881188118811882E-4</v>
      </c>
      <c r="Z287" s="194">
        <f t="shared" si="1"/>
        <v>483</v>
      </c>
      <c r="AA287" s="195">
        <f>Z287/$Z$295</f>
        <v>7.8076505276225951E-4</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2</v>
      </c>
      <c r="Y288" s="197">
        <f t="shared" si="2"/>
        <v>6.1881188118811882E-4</v>
      </c>
      <c r="Z288" s="130">
        <f t="shared" si="1"/>
        <v>522</v>
      </c>
      <c r="AA288" s="195">
        <f t="shared" ref="AA288:AA293" si="3">Z288/$Z$295</f>
        <v>8.4380819366852884E-4</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1</v>
      </c>
      <c r="Y291" s="197">
        <f t="shared" si="2"/>
        <v>3.0940594059405941E-4</v>
      </c>
      <c r="Z291" s="130">
        <f t="shared" si="1"/>
        <v>321</v>
      </c>
      <c r="AA291" s="195">
        <f t="shared" si="3"/>
        <v>5.1889354438237119E-4</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3232</v>
      </c>
      <c r="Y295" s="195">
        <f>SUM(Y286:Y294)</f>
        <v>0.99999999999999989</v>
      </c>
      <c r="Z295" s="97">
        <f>SUM(Z286:Z294)</f>
        <v>618624</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3227</v>
      </c>
      <c r="Y298" s="189">
        <f>X298/$X$307</f>
        <v>0.99876199319096259</v>
      </c>
      <c r="Z298" s="106">
        <v>617298</v>
      </c>
      <c r="AA298" s="189">
        <f>Z298/$Z$307</f>
        <v>0.998374583335355</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2</v>
      </c>
      <c r="Y299" s="195">
        <f t="shared" ref="Y299:Y305" si="4">X299/$X$307</f>
        <v>6.1900340451872485E-4</v>
      </c>
      <c r="Z299" s="97">
        <v>483</v>
      </c>
      <c r="AA299" s="195">
        <f t="shared" ref="AA299:AA305" si="5">Z299/$Z$307</f>
        <v>7.8117039703834532E-4</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2</v>
      </c>
      <c r="Y300" s="195">
        <f t="shared" si="4"/>
        <v>6.1900340451872485E-4</v>
      </c>
      <c r="Z300" s="97">
        <v>522</v>
      </c>
      <c r="AA300" s="195">
        <f t="shared" si="5"/>
        <v>8.4424626760665883E-4</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3231</v>
      </c>
      <c r="Y307" s="195">
        <f>SUM(Y298:Y306)</f>
        <v>1</v>
      </c>
      <c r="Z307" s="97">
        <f>SUM(Z298:Z306)</f>
        <v>618303</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1</v>
      </c>
      <c r="Y315" s="195">
        <v>1</v>
      </c>
      <c r="Z315" s="97">
        <v>321</v>
      </c>
      <c r="AA315" s="195">
        <v>1</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1</v>
      </c>
      <c r="Y319" s="195">
        <f>SUM(Y310:Y318)</f>
        <v>1</v>
      </c>
      <c r="Z319" s="97">
        <f>SUM(Z310:Z318)</f>
        <v>321</v>
      </c>
      <c r="AA319" s="195">
        <f>SUM(AA310:AA318)</f>
        <v>1</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1</v>
      </c>
      <c r="Y327" s="271">
        <v>1</v>
      </c>
      <c r="Z327" s="272">
        <v>321</v>
      </c>
      <c r="AA327" s="271">
        <v>1</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1</v>
      </c>
      <c r="Y329" s="271">
        <f>SUM(Y322:Y327)</f>
        <v>1</v>
      </c>
      <c r="Z329" s="272">
        <f>SUM(Z322:Z327)</f>
        <v>321</v>
      </c>
      <c r="AA329" s="271">
        <f>SUM(AA322:AA328)</f>
        <v>1</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3232</v>
      </c>
      <c r="Y343" s="195"/>
      <c r="Z343" s="208">
        <f>+Z341+Z319+Z307</f>
        <v>618624</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4</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618628</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618628</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1.0000016164809062</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AUGUST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row r="363" spans="1:30" x14ac:dyDescent="0.35">
      <c r="B363" s="265" t="s">
        <v>370</v>
      </c>
    </row>
    <row r="364" spans="1:30" x14ac:dyDescent="0.35">
      <c r="B364" s="265" t="s">
        <v>371</v>
      </c>
    </row>
  </sheetData>
  <hyperlinks>
    <hyperlink ref="K9" r:id="rId1" display="http://www.paragon-group.co.uk" xr:uid="{FD00307B-69D5-4766-B822-C2A5ACF0F727}"/>
    <hyperlink ref="P355" r:id="rId2" xr:uid="{8F50A18E-8500-4B8D-B229-67A2BF888FA6}"/>
    <hyperlink ref="P283" r:id="rId3" xr:uid="{71162029-43AD-4B3E-AC4A-A3CA0682F08A}"/>
    <hyperlink ref="B361" r:id="rId4" display="https://investorreporting.paragonbankinggroup.co.uk/bondinvestor_viewer/resources/bondinvestor/pdf/investornews/2021/libor-mortgages-transition-july-19" xr:uid="{04E89A73-E06F-4A82-B850-2512F0AD0DC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CE33-370D-4AB9-9FC7-E5F2C7F24A81}">
  <sheetPr>
    <tabColor rgb="FF89CB31"/>
  </sheetPr>
  <dimension ref="A1:JB364"/>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2.2066074818451027E-2</v>
      </c>
      <c r="Z17" s="299" t="s">
        <v>259</v>
      </c>
      <c r="AA17" s="299">
        <v>0.97793392518154887</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45281</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521269.78344000003</v>
      </c>
      <c r="G30" s="54"/>
      <c r="H30" s="54">
        <f>H29</f>
        <v>39664</v>
      </c>
      <c r="I30" s="54"/>
      <c r="J30" s="54">
        <f>J29</f>
        <v>21635</v>
      </c>
      <c r="K30" s="54"/>
      <c r="L30" s="54">
        <f>L29</f>
        <v>18029</v>
      </c>
      <c r="M30" s="54"/>
      <c r="N30" s="54">
        <f>N29</f>
        <v>18031</v>
      </c>
      <c r="O30" s="54"/>
      <c r="P30" s="54">
        <f>P29*P33</f>
        <v>9055.9663199999995</v>
      </c>
      <c r="Q30" s="54"/>
      <c r="R30" s="54">
        <v>0</v>
      </c>
      <c r="S30" s="54"/>
      <c r="T30" s="54" t="s">
        <v>83</v>
      </c>
      <c r="U30" s="54"/>
      <c r="V30" s="54" t="s">
        <v>83</v>
      </c>
      <c r="W30" s="54"/>
      <c r="X30" s="54" t="s">
        <v>83</v>
      </c>
      <c r="Y30" s="54" t="s">
        <v>83</v>
      </c>
      <c r="Z30" s="54"/>
      <c r="AA30" s="49"/>
      <c r="AB30" s="50">
        <f>SUM(F30:N30)-1</f>
        <v>618627.78344000003</v>
      </c>
      <c r="AC30" s="51"/>
      <c r="AD30" s="22"/>
    </row>
    <row r="31" spans="1:33" s="23" customFormat="1" x14ac:dyDescent="0.35">
      <c r="A31" s="47"/>
      <c r="B31" s="44" t="s">
        <v>92</v>
      </c>
      <c r="C31" s="49"/>
      <c r="D31" s="56"/>
      <c r="E31" s="56"/>
      <c r="F31" s="56">
        <f>F29*F32</f>
        <v>518107.05660000001</v>
      </c>
      <c r="G31" s="56"/>
      <c r="H31" s="56">
        <f>H29</f>
        <v>39664</v>
      </c>
      <c r="I31" s="56"/>
      <c r="J31" s="56">
        <f>J29</f>
        <v>21635</v>
      </c>
      <c r="K31" s="56"/>
      <c r="L31" s="56">
        <f>L29</f>
        <v>18029</v>
      </c>
      <c r="M31" s="56"/>
      <c r="N31" s="56">
        <f>N29</f>
        <v>18031</v>
      </c>
      <c r="O31" s="56"/>
      <c r="P31" s="56">
        <f>P29*P32</f>
        <v>9008.8102799999997</v>
      </c>
      <c r="Q31" s="56"/>
      <c r="R31" s="56">
        <v>0</v>
      </c>
      <c r="S31" s="56"/>
      <c r="T31" s="56" t="s">
        <v>83</v>
      </c>
      <c r="U31" s="56"/>
      <c r="V31" s="56" t="s">
        <v>83</v>
      </c>
      <c r="W31" s="56"/>
      <c r="X31" s="56" t="s">
        <v>83</v>
      </c>
      <c r="Y31" s="56" t="s">
        <v>83</v>
      </c>
      <c r="Z31" s="56"/>
      <c r="AA31" s="49"/>
      <c r="AB31" s="55">
        <f>SUM(F31:N31)</f>
        <v>615466.05660000001</v>
      </c>
      <c r="AC31" s="51"/>
      <c r="AD31" s="22"/>
      <c r="AE31" s="231"/>
    </row>
    <row r="32" spans="1:33" s="64" customFormat="1" x14ac:dyDescent="0.35">
      <c r="A32" s="57"/>
      <c r="B32" s="163" t="s">
        <v>88</v>
      </c>
      <c r="C32" s="60"/>
      <c r="D32" s="59"/>
      <c r="E32" s="59"/>
      <c r="F32" s="59">
        <v>0.83055000000000001</v>
      </c>
      <c r="G32" s="59"/>
      <c r="H32" s="59">
        <v>1</v>
      </c>
      <c r="I32" s="59"/>
      <c r="J32" s="59">
        <v>1</v>
      </c>
      <c r="K32" s="59"/>
      <c r="L32" s="59">
        <v>1</v>
      </c>
      <c r="M32" s="59"/>
      <c r="N32" s="59">
        <v>1</v>
      </c>
      <c r="O32" s="59"/>
      <c r="P32" s="59">
        <v>0.80810999999999999</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0.83562000000000003</v>
      </c>
      <c r="G33" s="59"/>
      <c r="H33" s="59">
        <v>1</v>
      </c>
      <c r="I33" s="59"/>
      <c r="J33" s="59">
        <v>1</v>
      </c>
      <c r="K33" s="59"/>
      <c r="L33" s="59">
        <v>1</v>
      </c>
      <c r="M33" s="59"/>
      <c r="N33" s="59">
        <v>1</v>
      </c>
      <c r="O33" s="59"/>
      <c r="P33" s="59">
        <v>0.81233999999999995</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6.16991E-2</v>
      </c>
      <c r="G35" s="236"/>
      <c r="H35" s="236">
        <v>6.5699099999999996E-2</v>
      </c>
      <c r="I35" s="236"/>
      <c r="J35" s="236">
        <v>6.8699099999999999E-2</v>
      </c>
      <c r="K35" s="236"/>
      <c r="L35" s="236">
        <v>7.1699100000000002E-2</v>
      </c>
      <c r="M35" s="236"/>
      <c r="N35" s="236">
        <v>8.1699099999999997E-2</v>
      </c>
      <c r="O35" s="236"/>
      <c r="P35" s="236">
        <v>9.2199100000000006E-2</v>
      </c>
      <c r="Q35" s="236"/>
      <c r="R35" s="236">
        <v>9.2199100000000006E-2</v>
      </c>
      <c r="S35" s="67"/>
      <c r="T35" s="67" t="s">
        <v>83</v>
      </c>
      <c r="U35" s="67"/>
      <c r="V35" s="67" t="s">
        <v>83</v>
      </c>
      <c r="W35" s="67"/>
      <c r="X35" s="67" t="s">
        <v>83</v>
      </c>
      <c r="Y35" s="67" t="s">
        <v>83</v>
      </c>
      <c r="Z35" s="67"/>
      <c r="AA35" s="40"/>
      <c r="AB35" s="66">
        <f>SUMPRODUCT(D35:N35,D30:N30)/AB30</f>
        <v>6.3074842767916833E-2</v>
      </c>
      <c r="AC35" s="43"/>
      <c r="AD35" s="22"/>
    </row>
    <row r="36" spans="1:30" s="23" customFormat="1" x14ac:dyDescent="0.35">
      <c r="A36" s="47"/>
      <c r="B36" s="40" t="s">
        <v>10</v>
      </c>
      <c r="C36" s="68"/>
      <c r="D36" s="236"/>
      <c r="E36" s="236"/>
      <c r="F36" s="236">
        <v>5.93336E-2</v>
      </c>
      <c r="G36" s="236"/>
      <c r="H36" s="236">
        <v>6.3333600000000004E-2</v>
      </c>
      <c r="I36" s="236"/>
      <c r="J36" s="236">
        <v>6.6333600000000006E-2</v>
      </c>
      <c r="K36" s="236"/>
      <c r="L36" s="236">
        <v>6.9333599999999995E-2</v>
      </c>
      <c r="M36" s="236"/>
      <c r="N36" s="236">
        <v>7.9333600000000004E-2</v>
      </c>
      <c r="O36" s="236"/>
      <c r="P36" s="236">
        <v>8.98336E-2</v>
      </c>
      <c r="Q36" s="236"/>
      <c r="R36" s="236">
        <v>8.98336E-2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0.18791290093384147</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45275</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45092</v>
      </c>
      <c r="AA47" s="76"/>
      <c r="AB47" s="75">
        <v>45183</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45184</v>
      </c>
      <c r="AA48" s="76"/>
      <c r="AB48" s="75">
        <v>45274</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45274</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377</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618624</v>
      </c>
      <c r="S57" s="234"/>
      <c r="T57" s="233">
        <f>364+17</f>
        <v>381</v>
      </c>
      <c r="U57" s="234"/>
      <c r="V57" s="234">
        <v>2782</v>
      </c>
      <c r="W57" s="234"/>
      <c r="X57" s="234">
        <v>0</v>
      </c>
      <c r="Y57" s="234"/>
      <c r="Z57" s="234">
        <v>0</v>
      </c>
      <c r="AA57" s="234"/>
      <c r="AB57" s="233">
        <f>R57-T57-V57+X57-Z57</f>
        <v>615461</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618624</v>
      </c>
      <c r="S60" s="234"/>
      <c r="T60" s="234">
        <f>T57+T58</f>
        <v>381</v>
      </c>
      <c r="U60" s="234"/>
      <c r="V60" s="234">
        <f>SUM(V57:V59)</f>
        <v>2782</v>
      </c>
      <c r="W60" s="234"/>
      <c r="X60" s="234">
        <f>SUM(X57:X59)</f>
        <v>0</v>
      </c>
      <c r="Y60" s="234"/>
      <c r="Z60" s="234">
        <f>SUM(Z57:Z59)</f>
        <v>0</v>
      </c>
      <c r="AA60" s="234"/>
      <c r="AB60" s="234">
        <f>SUM(AB57:AB59)</f>
        <v>615461</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5</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618628</v>
      </c>
      <c r="S66" s="234"/>
      <c r="T66" s="234"/>
      <c r="U66" s="234"/>
      <c r="V66" s="234"/>
      <c r="W66" s="234"/>
      <c r="X66" s="234"/>
      <c r="Y66" s="234"/>
      <c r="Z66" s="234"/>
      <c r="AA66" s="234"/>
      <c r="AB66" s="234">
        <f>SUM(AB60:AB65)</f>
        <v>615466</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45260</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3163</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5913+145-402-18</f>
        <v>5638</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78+13</f>
        <v>91</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227</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47</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2478</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3167</v>
      </c>
      <c r="AA83" s="40"/>
      <c r="AB83" s="96">
        <f>SUM(AB70:AB82)</f>
        <v>8481</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3167</v>
      </c>
      <c r="AA86" s="40"/>
      <c r="AB86" s="96">
        <f>AB83+AB84+AB85</f>
        <v>8481</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-309-2-9</f>
        <v>-320</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7052</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-8016</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-650</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-371</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-322</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-367</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-208</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-47</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-14-64</f>
        <v>-78</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-3125</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-3162</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-3162</v>
      </c>
      <c r="AA128" s="96"/>
      <c r="AB128" s="96">
        <f>SUM(AB87:AB126)</f>
        <v>-8481</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5</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NOVEMBER 2023</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23'!AB144</f>
        <v>8461.14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-47</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8414.14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23'!AB157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23'!AB163</f>
        <v>0</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23'!AB196</f>
        <v>1998</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2026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2478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1546</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23'!AB204</f>
        <v>2042</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2026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2016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23'!AB212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23'!Y219</f>
        <v>0</v>
      </c>
      <c r="Z217" s="97">
        <f>+'August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605899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3001</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1.8975798403193613</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2.4700000000000002</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11.069230769230769</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17.920000000000002</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17.641509433962263</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28.36</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19.173913043478262</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30.27</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15.945504087193461</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23.19</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NOVEMBER 2023</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45260</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3.6632765637332095E-2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6.3074842767916833E-2</v>
      </c>
      <c r="AA250" s="40"/>
      <c r="AB250" s="40"/>
      <c r="AC250" s="43"/>
      <c r="AD250" s="22"/>
    </row>
    <row r="251" spans="1:30" s="23" customFormat="1" x14ac:dyDescent="0.35">
      <c r="A251" s="47"/>
      <c r="B251" s="40" t="s">
        <v>369</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2.5108789126906637E-2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18.214585372905102</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5.1129273165779754E-3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4.9700000000000001E-2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1</v>
      </c>
      <c r="Z267" s="159">
        <f>+Z319</f>
        <v>321</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23'!Z273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3205</v>
      </c>
      <c r="Y286" s="189">
        <f>X286/$X$295</f>
        <v>0.99719975108898573</v>
      </c>
      <c r="Z286" s="106">
        <f t="shared" ref="Z286:Z293" si="1">+Z298+Z310+Z332</f>
        <v>613579</v>
      </c>
      <c r="AA286" s="189">
        <f>Z286/$Z$295</f>
        <v>0.99694212955816863</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6</v>
      </c>
      <c r="Y287" s="193">
        <f t="shared" ref="Y287:Y293" si="2">X287/$X$295</f>
        <v>1.8668326073428749E-3</v>
      </c>
      <c r="Z287" s="194">
        <f t="shared" si="1"/>
        <v>1051</v>
      </c>
      <c r="AA287" s="195">
        <f>Z287/$Z$295</f>
        <v>1.707663036325616E-3</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1</v>
      </c>
      <c r="Y288" s="197">
        <f t="shared" si="2"/>
        <v>3.1113876789047915E-4</v>
      </c>
      <c r="Z288" s="130">
        <f t="shared" si="1"/>
        <v>139</v>
      </c>
      <c r="AA288" s="195">
        <f t="shared" ref="AA288:AA293" si="3">Z288/$Z$295</f>
        <v>2.2584696674525276E-4</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1</v>
      </c>
      <c r="Y290" s="197">
        <f t="shared" si="2"/>
        <v>3.1113876789047915E-4</v>
      </c>
      <c r="Z290" s="130">
        <f t="shared" si="1"/>
        <v>371</v>
      </c>
      <c r="AA290" s="195">
        <f t="shared" si="3"/>
        <v>6.0280017742797673E-4</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1</v>
      </c>
      <c r="Y292" s="199">
        <f t="shared" si="2"/>
        <v>3.1113876789047915E-4</v>
      </c>
      <c r="Z292" s="200">
        <f t="shared" si="1"/>
        <v>321</v>
      </c>
      <c r="AA292" s="195">
        <f t="shared" si="3"/>
        <v>5.2156026133256205E-4</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3214</v>
      </c>
      <c r="Y295" s="195">
        <f>SUM(Y286:Y294)</f>
        <v>1</v>
      </c>
      <c r="Z295" s="97">
        <f>SUM(Z286:Z294)</f>
        <v>615461</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3205</v>
      </c>
      <c r="Y298" s="189">
        <f>X298/$X$307</f>
        <v>0.99751011515717403</v>
      </c>
      <c r="Z298" s="106">
        <v>613579</v>
      </c>
      <c r="AA298" s="189">
        <f>Z298/$Z$307</f>
        <v>0.99746236629060048</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6</v>
      </c>
      <c r="Y299" s="195">
        <f t="shared" ref="Y299:Y305" si="4">X299/$X$307</f>
        <v>1.8674136321195146E-3</v>
      </c>
      <c r="Z299" s="97">
        <v>1051</v>
      </c>
      <c r="AA299" s="195">
        <f t="shared" ref="AA299:AA305" si="5">Z299/$Z$307</f>
        <v>1.7085541502747342E-3</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1</v>
      </c>
      <c r="Y300" s="195">
        <f t="shared" si="4"/>
        <v>3.1123560535325243E-4</v>
      </c>
      <c r="Z300" s="97">
        <v>139</v>
      </c>
      <c r="AA300" s="195">
        <f t="shared" si="5"/>
        <v>2.2596482101635399E-4</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1</v>
      </c>
      <c r="Y302" s="195">
        <f t="shared" si="4"/>
        <v>3.1123560535325243E-4</v>
      </c>
      <c r="Z302" s="97">
        <v>371</v>
      </c>
      <c r="AA302" s="195">
        <f t="shared" si="5"/>
        <v>6.0311473810839805E-4</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3213</v>
      </c>
      <c r="Y307" s="195">
        <f>SUM(Y298:Y306)</f>
        <v>1</v>
      </c>
      <c r="Z307" s="97">
        <f>SUM(Z298:Z306)</f>
        <v>615140</v>
      </c>
      <c r="AA307" s="195">
        <f>SUM(AA298:AA306)</f>
        <v>0.99999999999999989</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1</v>
      </c>
      <c r="Y316" s="195">
        <v>1</v>
      </c>
      <c r="Z316" s="97">
        <v>321</v>
      </c>
      <c r="AA316" s="195">
        <v>1</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1</v>
      </c>
      <c r="Y319" s="195">
        <f>SUM(Y310:Y318)</f>
        <v>1</v>
      </c>
      <c r="Z319" s="97">
        <f>SUM(Z310:Z318)</f>
        <v>321</v>
      </c>
      <c r="AA319" s="195">
        <f>SUM(AA310:AA318)</f>
        <v>1</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1</v>
      </c>
      <c r="Y327" s="271">
        <v>1</v>
      </c>
      <c r="Z327" s="272">
        <v>321</v>
      </c>
      <c r="AA327" s="271">
        <v>1</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1</v>
      </c>
      <c r="Y329" s="271">
        <f>SUM(Y322:Y327)</f>
        <v>1</v>
      </c>
      <c r="Z329" s="272">
        <f>SUM(Z322:Z327)</f>
        <v>321</v>
      </c>
      <c r="AA329" s="271">
        <f>SUM(AA322:AA328)</f>
        <v>1</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3214</v>
      </c>
      <c r="Y343" s="195"/>
      <c r="Z343" s="208">
        <f>+Z341+Z319+Z307</f>
        <v>615461</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615466</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615466</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NOVEMBER 2023</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row r="363" spans="1:30" x14ac:dyDescent="0.35">
      <c r="B363" s="265" t="s">
        <v>370</v>
      </c>
    </row>
    <row r="364" spans="1:30" x14ac:dyDescent="0.35">
      <c r="B364" s="265" t="s">
        <v>371</v>
      </c>
    </row>
  </sheetData>
  <hyperlinks>
    <hyperlink ref="K9" r:id="rId1" display="http://www.paragon-group.co.uk" xr:uid="{E6AAA599-575D-468E-BB89-42D78942D856}"/>
    <hyperlink ref="P355" r:id="rId2" xr:uid="{358CE8B0-E2BB-4385-BC76-B5053AE2032D}"/>
    <hyperlink ref="P283" r:id="rId3" xr:uid="{15259637-5742-4DD7-85F6-433F0CEFCE7B}"/>
    <hyperlink ref="B361" r:id="rId4" display="https://investorreporting.paragonbankinggroup.co.uk/bondinvestor_viewer/resources/bondinvestor/pdf/investornews/2021/libor-mortgages-transition-july-19" xr:uid="{7D0628AE-6B7E-4CA7-97D5-33543E2360B3}"/>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8344-89CF-48F0-9F9C-77F2DC72FA7A}">
  <sheetPr>
    <tabColor rgb="FF2D2926"/>
  </sheetPr>
  <dimension ref="A1:JB366"/>
  <sheetViews>
    <sheetView showGridLines="0" tabSelected="1"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2.1916195265961048E-2</v>
      </c>
      <c r="Z17" s="299" t="s">
        <v>259</v>
      </c>
      <c r="AA17" s="299">
        <v>0.97808380473403889</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45370</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217</v>
      </c>
      <c r="I27" s="226"/>
      <c r="J27" s="226" t="s">
        <v>374</v>
      </c>
      <c r="K27" s="226"/>
      <c r="L27" s="226" t="s">
        <v>375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518107.05660000001</v>
      </c>
      <c r="G30" s="54"/>
      <c r="H30" s="54">
        <f>H29</f>
        <v>39664</v>
      </c>
      <c r="I30" s="54"/>
      <c r="J30" s="54">
        <f>J29</f>
        <v>21635</v>
      </c>
      <c r="K30" s="54"/>
      <c r="L30" s="54">
        <f>L29</f>
        <v>18029</v>
      </c>
      <c r="M30" s="54"/>
      <c r="N30" s="54">
        <f>N29</f>
        <v>18031</v>
      </c>
      <c r="O30" s="54"/>
      <c r="P30" s="54">
        <f>P29*P33</f>
        <v>9008.8102799999997</v>
      </c>
      <c r="Q30" s="54"/>
      <c r="R30" s="54">
        <v>0</v>
      </c>
      <c r="S30" s="54"/>
      <c r="T30" s="54" t="s">
        <v>83</v>
      </c>
      <c r="U30" s="54"/>
      <c r="V30" s="54" t="s">
        <v>83</v>
      </c>
      <c r="W30" s="54"/>
      <c r="X30" s="54" t="s">
        <v>83</v>
      </c>
      <c r="Y30" s="54" t="s">
        <v>83</v>
      </c>
      <c r="Z30" s="54"/>
      <c r="AA30" s="49"/>
      <c r="AB30" s="50">
        <f>SUM(F30:N30)</f>
        <v>615466.05660000001</v>
      </c>
      <c r="AC30" s="51"/>
      <c r="AD30" s="22"/>
    </row>
    <row r="31" spans="1:33" s="23" customFormat="1" x14ac:dyDescent="0.35">
      <c r="A31" s="47"/>
      <c r="B31" s="44" t="s">
        <v>92</v>
      </c>
      <c r="C31" s="49"/>
      <c r="D31" s="56"/>
      <c r="E31" s="56"/>
      <c r="F31" s="56">
        <f>F29*F32</f>
        <v>515474.56995999999</v>
      </c>
      <c r="G31" s="56"/>
      <c r="H31" s="56">
        <f>H29</f>
        <v>39664</v>
      </c>
      <c r="I31" s="56"/>
      <c r="J31" s="56">
        <f>J29</f>
        <v>21635</v>
      </c>
      <c r="K31" s="56"/>
      <c r="L31" s="56">
        <f>L29</f>
        <v>18029</v>
      </c>
      <c r="M31" s="56"/>
      <c r="N31" s="56">
        <f>N29</f>
        <v>18031</v>
      </c>
      <c r="O31" s="56"/>
      <c r="P31" s="56">
        <f>P29*P32</f>
        <v>8961.4312800000007</v>
      </c>
      <c r="Q31" s="56"/>
      <c r="R31" s="56">
        <v>0</v>
      </c>
      <c r="S31" s="56"/>
      <c r="T31" s="56" t="s">
        <v>83</v>
      </c>
      <c r="U31" s="56"/>
      <c r="V31" s="56" t="s">
        <v>83</v>
      </c>
      <c r="W31" s="56"/>
      <c r="X31" s="56" t="s">
        <v>83</v>
      </c>
      <c r="Y31" s="56" t="s">
        <v>83</v>
      </c>
      <c r="Z31" s="56"/>
      <c r="AA31" s="49"/>
      <c r="AB31" s="55">
        <f>SUM(F31:N31)</f>
        <v>612833.56995999999</v>
      </c>
      <c r="AC31" s="51"/>
      <c r="AD31" s="22"/>
      <c r="AE31" s="231"/>
    </row>
    <row r="32" spans="1:33" s="64" customFormat="1" x14ac:dyDescent="0.35">
      <c r="A32" s="57"/>
      <c r="B32" s="163" t="s">
        <v>88</v>
      </c>
      <c r="C32" s="60"/>
      <c r="D32" s="59"/>
      <c r="E32" s="59"/>
      <c r="F32" s="59">
        <v>0.82633000000000001</v>
      </c>
      <c r="G32" s="59"/>
      <c r="H32" s="59">
        <v>1</v>
      </c>
      <c r="I32" s="59"/>
      <c r="J32" s="59">
        <v>1</v>
      </c>
      <c r="K32" s="59"/>
      <c r="L32" s="59">
        <v>1</v>
      </c>
      <c r="M32" s="59"/>
      <c r="N32" s="59">
        <v>1</v>
      </c>
      <c r="O32" s="59"/>
      <c r="P32" s="59">
        <v>0.80386000000000002</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0.83055000000000001</v>
      </c>
      <c r="G33" s="59"/>
      <c r="H33" s="59">
        <v>1</v>
      </c>
      <c r="I33" s="59"/>
      <c r="J33" s="59">
        <v>1</v>
      </c>
      <c r="K33" s="59"/>
      <c r="L33" s="59">
        <v>1</v>
      </c>
      <c r="M33" s="59"/>
      <c r="N33" s="59">
        <v>1</v>
      </c>
      <c r="O33" s="59"/>
      <c r="P33" s="59">
        <v>0.80810999999999999</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6.1705299999999998E-2</v>
      </c>
      <c r="G35" s="236"/>
      <c r="H35" s="236">
        <v>6.5705299999999994E-2</v>
      </c>
      <c r="I35" s="236"/>
      <c r="J35" s="236">
        <v>6.8705299999999997E-2</v>
      </c>
      <c r="K35" s="236"/>
      <c r="L35" s="236">
        <v>7.17053E-2</v>
      </c>
      <c r="M35" s="236"/>
      <c r="N35" s="236">
        <v>8.1705299999999995E-2</v>
      </c>
      <c r="O35" s="236"/>
      <c r="P35" s="236">
        <v>9.2205300000000004E-2</v>
      </c>
      <c r="Q35" s="236"/>
      <c r="R35" s="236">
        <v>9.2205300000000004E-2</v>
      </c>
      <c r="S35" s="67"/>
      <c r="T35" s="67" t="s">
        <v>83</v>
      </c>
      <c r="U35" s="67"/>
      <c r="V35" s="67" t="s">
        <v>83</v>
      </c>
      <c r="W35" s="67"/>
      <c r="X35" s="67" t="s">
        <v>83</v>
      </c>
      <c r="Y35" s="67" t="s">
        <v>83</v>
      </c>
      <c r="Z35" s="67"/>
      <c r="AA35" s="40"/>
      <c r="AB35" s="66">
        <f>SUMPRODUCT(D35:N35,D30:N30)/AB30</f>
        <v>6.3088009884443033E-2</v>
      </c>
      <c r="AC35" s="43"/>
      <c r="AD35" s="22"/>
    </row>
    <row r="36" spans="1:30" s="23" customFormat="1" x14ac:dyDescent="0.35">
      <c r="A36" s="47"/>
      <c r="B36" s="40" t="s">
        <v>10</v>
      </c>
      <c r="C36" s="68"/>
      <c r="D36" s="236"/>
      <c r="E36" s="236"/>
      <c r="F36" s="236">
        <v>6.16991E-2</v>
      </c>
      <c r="G36" s="236"/>
      <c r="H36" s="236">
        <v>6.5699099999999996E-2</v>
      </c>
      <c r="I36" s="236"/>
      <c r="J36" s="236">
        <v>6.8699099999999999E-2</v>
      </c>
      <c r="K36" s="236"/>
      <c r="L36" s="236">
        <v>7.1699100000000002E-2</v>
      </c>
      <c r="M36" s="236"/>
      <c r="N36" s="236">
        <v>8.1699099999999997E-2</v>
      </c>
      <c r="O36" s="236"/>
      <c r="P36" s="236">
        <v>9.2199100000000006E-2</v>
      </c>
      <c r="Q36" s="236"/>
      <c r="R36" s="236">
        <v>9.2199100000000006E-2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0.18887255681217194</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45366</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45184</v>
      </c>
      <c r="AA47" s="76"/>
      <c r="AB47" s="75">
        <v>45274</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45275</v>
      </c>
      <c r="AA48" s="76"/>
      <c r="AB48" s="75">
        <v>45365</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45365</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378</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615461</v>
      </c>
      <c r="S57" s="234"/>
      <c r="T57" s="233">
        <f>366+17</f>
        <v>383</v>
      </c>
      <c r="U57" s="234"/>
      <c r="V57" s="234">
        <v>2248</v>
      </c>
      <c r="W57" s="234"/>
      <c r="X57" s="234">
        <v>0</v>
      </c>
      <c r="Y57" s="234"/>
      <c r="Z57" s="234">
        <v>0</v>
      </c>
      <c r="AA57" s="234"/>
      <c r="AB57" s="233">
        <f>R57-T57-V57+X57-Z57</f>
        <v>612830</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615461</v>
      </c>
      <c r="S60" s="234"/>
      <c r="T60" s="234">
        <f>T57+T58</f>
        <v>383</v>
      </c>
      <c r="U60" s="234"/>
      <c r="V60" s="234">
        <f>SUM(V57:V59)</f>
        <v>2248</v>
      </c>
      <c r="W60" s="234"/>
      <c r="X60" s="234">
        <f>SUM(X57:X59)</f>
        <v>0</v>
      </c>
      <c r="Y60" s="234"/>
      <c r="Z60" s="234">
        <f>SUM(Z57:Z59)</f>
        <v>0</v>
      </c>
      <c r="AA60" s="234"/>
      <c r="AB60" s="234">
        <f>SUM(AB57:AB59)</f>
        <v>612830</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5</v>
      </c>
      <c r="S63" s="234"/>
      <c r="T63" s="234">
        <v>0</v>
      </c>
      <c r="U63" s="234"/>
      <c r="V63" s="234">
        <v>-1</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0</v>
      </c>
      <c r="S64" s="234"/>
      <c r="T64" s="234"/>
      <c r="U64" s="234"/>
      <c r="V64" s="234"/>
      <c r="W64" s="234"/>
      <c r="X64" s="234"/>
      <c r="Y64" s="234"/>
      <c r="Z64" s="234"/>
      <c r="AA64" s="234"/>
      <c r="AB64" s="234">
        <f>+R64+X64</f>
        <v>0</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615466</v>
      </c>
      <c r="S66" s="234"/>
      <c r="T66" s="234"/>
      <c r="U66" s="234"/>
      <c r="V66" s="234"/>
      <c r="W66" s="234"/>
      <c r="X66" s="234"/>
      <c r="Y66" s="234"/>
      <c r="Z66" s="234"/>
      <c r="AA66" s="234"/>
      <c r="AB66" s="234">
        <f>SUM(AB60:AB65)</f>
        <v>612834</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45351</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5</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0</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2631</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5951+171-452-42</f>
        <v>5628</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80</f>
        <v>80</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254</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47</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1962</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2636</v>
      </c>
      <c r="AA83" s="40"/>
      <c r="AB83" s="96">
        <f>SUM(AB70:AB82)</f>
        <v>7971</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2636</v>
      </c>
      <c r="AA86" s="40"/>
      <c r="AB86" s="96">
        <f>AB83+AB84+AB85</f>
        <v>7971</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-304-2-9</f>
        <v>-315</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7051</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-7972</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-650</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-371</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-322</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-2000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-367</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-207</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-47</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-12-64</f>
        <v>-76</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-2666</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f>-Z218</f>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-2632</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-2632</v>
      </c>
      <c r="AA128" s="96"/>
      <c r="AB128" s="96">
        <f>SUM(AB87:AB126)</f>
        <v>-7971</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FEBRUARY 2024</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23'!AB144</f>
        <v>8414.14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-47</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8367.14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23'!AB157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23'!AB163</f>
        <v>0</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f>
        <v>0</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23'!AB180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23'!AB188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23'!AB196</f>
        <v>1546</v>
      </c>
      <c r="AC193" s="43"/>
      <c r="AD193" s="22"/>
      <c r="AE193" s="114"/>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2006</v>
      </c>
      <c r="AC194" s="43"/>
      <c r="AD194" s="22"/>
      <c r="AE194" s="114"/>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1962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1590</v>
      </c>
      <c r="AC196" s="43"/>
      <c r="AD196" s="22"/>
      <c r="AE196" s="114"/>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23'!AB204</f>
        <v>2016</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2006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2000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2010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23'!AB212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23'!Y219</f>
        <v>0</v>
      </c>
      <c r="Z217" s="97">
        <f>+'November 23'!Z219</f>
        <v>488</v>
      </c>
      <c r="AA217" s="40"/>
      <c r="AB217" s="97">
        <f>Y217+Z217</f>
        <v>488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0</v>
      </c>
      <c r="AA218" s="40"/>
      <c r="AB218" s="97">
        <f>Y218+Z218</f>
        <v>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488</v>
      </c>
      <c r="AA219" s="40"/>
      <c r="AB219" s="97">
        <f>Y219+Z219</f>
        <v>488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116865.76000000001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379</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603614</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5286</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1.8445810336176618</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2.38</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10.358461538461539</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16.850000000000001</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16.39622641509434</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26.73</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17.739130434782609</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28.62</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14.686648501362399</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22.16</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FEBRUARY 2024</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45351</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3.6611470602439439E-2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6.3088009884443033E-2</v>
      </c>
      <c r="AA250" s="40"/>
      <c r="AB250" s="40"/>
      <c r="AC250" s="43"/>
      <c r="AD250" s="22"/>
    </row>
    <row r="251" spans="1:30" s="23" customFormat="1" x14ac:dyDescent="0.35">
      <c r="A251" s="47"/>
      <c r="B251" s="40" t="s">
        <v>380</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300">
        <v>0</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2.4407522105201588E-2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17.97</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4.2748096564229378E-3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4.7300000000000002E-2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1</v>
      </c>
      <c r="Z266" s="154">
        <v>321</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23'!Z273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3195</v>
      </c>
      <c r="Y286" s="189">
        <f>X286/$X$295</f>
        <v>0.99843749999999998</v>
      </c>
      <c r="Z286" s="106">
        <f t="shared" ref="Z286:Z293" si="1">+Z298+Z310+Z332</f>
        <v>611771</v>
      </c>
      <c r="AA286" s="189">
        <f>Z286/$Z$295</f>
        <v>0.99827195143840874</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1</v>
      </c>
      <c r="Y287" s="193">
        <f t="shared" ref="Y287:Y293" si="2">X287/$X$295</f>
        <v>3.1250000000000001E-4</v>
      </c>
      <c r="Z287" s="194">
        <f t="shared" si="1"/>
        <v>202</v>
      </c>
      <c r="AA287" s="195">
        <f>Z287/$Z$295</f>
        <v>3.2961832808446064E-4</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3</v>
      </c>
      <c r="Y288" s="197">
        <f t="shared" si="2"/>
        <v>9.3749999999999997E-4</v>
      </c>
      <c r="Z288" s="130">
        <f t="shared" si="1"/>
        <v>536</v>
      </c>
      <c r="AA288" s="195">
        <f t="shared" ref="AA288:AA293" si="3">Z288/$Z$295</f>
        <v>8.7463081115480635E-4</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1</v>
      </c>
      <c r="Y292" s="199">
        <f t="shared" si="2"/>
        <v>3.1250000000000001E-4</v>
      </c>
      <c r="Z292" s="200">
        <f t="shared" si="1"/>
        <v>321</v>
      </c>
      <c r="AA292" s="195">
        <f t="shared" si="3"/>
        <v>5.237994223520389E-4</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3200</v>
      </c>
      <c r="Y295" s="195">
        <f>SUM(Y286:Y294)</f>
        <v>1</v>
      </c>
      <c r="Z295" s="97">
        <f>SUM(Z286:Z294)</f>
        <v>612830</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3195</v>
      </c>
      <c r="Y298" s="189">
        <f>X298/$X$307</f>
        <v>0.99843749999999998</v>
      </c>
      <c r="Z298" s="106">
        <v>611771</v>
      </c>
      <c r="AA298" s="189">
        <f>Z298/$Z$307</f>
        <v>0.99827195143840874</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1</v>
      </c>
      <c r="Y299" s="195">
        <f t="shared" ref="Y299:Y305" si="4">X299/$X$307</f>
        <v>3.1250000000000001E-4</v>
      </c>
      <c r="Z299" s="97">
        <v>202</v>
      </c>
      <c r="AA299" s="195">
        <f t="shared" ref="AA299:AA305" si="5">Z299/$Z$307</f>
        <v>3.2961832808446064E-4</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3</v>
      </c>
      <c r="Y300" s="195">
        <f t="shared" si="4"/>
        <v>9.3749999999999997E-4</v>
      </c>
      <c r="Z300" s="97">
        <v>536</v>
      </c>
      <c r="AA300" s="195">
        <f t="shared" si="5"/>
        <v>8.7463081115480635E-4</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1</v>
      </c>
      <c r="Y304" s="195">
        <f>X304/$X$307</f>
        <v>3.1250000000000001E-4</v>
      </c>
      <c r="Z304" s="97">
        <v>321</v>
      </c>
      <c r="AA304" s="195">
        <f t="shared" si="5"/>
        <v>5.237994223520389E-4</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3200</v>
      </c>
      <c r="Y307" s="195">
        <f>SUM(Y298:Y306)</f>
        <v>1</v>
      </c>
      <c r="Z307" s="97">
        <f>SUM(Z298:Z306)</f>
        <v>612830</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1</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1</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3200</v>
      </c>
      <c r="Y343" s="195"/>
      <c r="Z343" s="208">
        <f>+Z341+Z319+Z307</f>
        <v>612830</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4</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612834</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612834</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FEBRUARY 2024</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row r="363" spans="1:30" x14ac:dyDescent="0.35">
      <c r="B363" s="265" t="s">
        <v>381</v>
      </c>
    </row>
    <row r="365" spans="1:30" x14ac:dyDescent="0.35">
      <c r="B365" s="265" t="s">
        <v>370</v>
      </c>
    </row>
    <row r="366" spans="1:30" x14ac:dyDescent="0.35">
      <c r="B366" s="265" t="s">
        <v>371</v>
      </c>
    </row>
  </sheetData>
  <hyperlinks>
    <hyperlink ref="K9" r:id="rId1" display="http://www.paragon-group.co.uk" xr:uid="{7714C3E5-7B59-4BD8-BE61-4197CBC1AA23}"/>
    <hyperlink ref="P355" r:id="rId2" xr:uid="{CBD12BBB-9B26-4FE7-BA01-8DD6E311FAAB}"/>
    <hyperlink ref="P283" r:id="rId3" xr:uid="{CDEF11D9-33B1-413F-8166-2CB147C506B3}"/>
    <hyperlink ref="B361" r:id="rId4" display="https://investorreporting.paragonbankinggroup.co.uk/bondinvestor_viewer/resources/bondinvestor/pdf/investornews/2021/libor-mortgages-transition-july-19" xr:uid="{60FACD9B-0295-4B7C-8692-35D3D51266C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3B60-3B95-4EB2-91B2-C2D492D2F28D}">
  <sheetPr>
    <tabColor rgb="FF2D2926"/>
  </sheetPr>
  <dimension ref="A1:JB393"/>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2.3367905564977202E-2</v>
      </c>
      <c r="Z17" s="299" t="s">
        <v>259</v>
      </c>
      <c r="AA17" s="299">
        <v>0.97663209443502275</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44277</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622664.18592000008</v>
      </c>
      <c r="G30" s="54"/>
      <c r="H30" s="54">
        <f>H29</f>
        <v>39664</v>
      </c>
      <c r="I30" s="54"/>
      <c r="J30" s="54">
        <f>J29</f>
        <v>21635</v>
      </c>
      <c r="K30" s="54"/>
      <c r="L30" s="54">
        <f>L29</f>
        <v>18029</v>
      </c>
      <c r="M30" s="54"/>
      <c r="N30" s="54">
        <f>N29</f>
        <v>18031</v>
      </c>
      <c r="O30" s="54"/>
      <c r="P30" s="54">
        <f>P29*P33</f>
        <v>10843.102199999999</v>
      </c>
      <c r="Q30" s="54"/>
      <c r="R30" s="54">
        <v>1142</v>
      </c>
      <c r="S30" s="54"/>
      <c r="T30" s="54" t="s">
        <v>83</v>
      </c>
      <c r="U30" s="54"/>
      <c r="V30" s="54" t="s">
        <v>83</v>
      </c>
      <c r="W30" s="54"/>
      <c r="X30" s="54" t="s">
        <v>83</v>
      </c>
      <c r="Y30" s="54" t="s">
        <v>83</v>
      </c>
      <c r="Z30" s="54"/>
      <c r="AA30" s="49"/>
      <c r="AB30" s="50">
        <f>SUM(F30:N30)</f>
        <v>720023.18592000008</v>
      </c>
      <c r="AC30" s="51"/>
      <c r="AD30" s="22"/>
    </row>
    <row r="31" spans="1:33" s="23" customFormat="1" x14ac:dyDescent="0.35">
      <c r="A31" s="47"/>
      <c r="B31" s="44" t="s">
        <v>92</v>
      </c>
      <c r="C31" s="49"/>
      <c r="D31" s="56"/>
      <c r="E31" s="56"/>
      <c r="F31" s="56">
        <f>F29*F32</f>
        <v>616114.15992000001</v>
      </c>
      <c r="G31" s="56"/>
      <c r="H31" s="56">
        <f>H29</f>
        <v>39664</v>
      </c>
      <c r="I31" s="56"/>
      <c r="J31" s="56">
        <f>J29</f>
        <v>21635</v>
      </c>
      <c r="K31" s="56"/>
      <c r="L31" s="56">
        <f>L29</f>
        <v>18029</v>
      </c>
      <c r="M31" s="56"/>
      <c r="N31" s="56">
        <f>N29</f>
        <v>18031</v>
      </c>
      <c r="O31" s="56"/>
      <c r="P31" s="56">
        <f>P29*P32</f>
        <v>10529.954879999999</v>
      </c>
      <c r="Q31" s="56"/>
      <c r="R31" s="56">
        <v>0</v>
      </c>
      <c r="S31" s="56"/>
      <c r="T31" s="56" t="s">
        <v>83</v>
      </c>
      <c r="U31" s="56"/>
      <c r="V31" s="56" t="s">
        <v>83</v>
      </c>
      <c r="W31" s="56"/>
      <c r="X31" s="56" t="s">
        <v>83</v>
      </c>
      <c r="Y31" s="56" t="s">
        <v>83</v>
      </c>
      <c r="Z31" s="56"/>
      <c r="AA31" s="49"/>
      <c r="AB31" s="55">
        <f>SUM(F31:N31)</f>
        <v>713473.15992000001</v>
      </c>
      <c r="AC31" s="51"/>
      <c r="AD31" s="22"/>
      <c r="AE31" s="231"/>
    </row>
    <row r="32" spans="1:33" s="64" customFormat="1" x14ac:dyDescent="0.35">
      <c r="A32" s="57"/>
      <c r="B32" s="163" t="s">
        <v>88</v>
      </c>
      <c r="C32" s="60"/>
      <c r="D32" s="59"/>
      <c r="E32" s="59"/>
      <c r="F32" s="59">
        <v>0.98765999999999998</v>
      </c>
      <c r="G32" s="59"/>
      <c r="H32" s="59">
        <v>1</v>
      </c>
      <c r="I32" s="59"/>
      <c r="J32" s="59">
        <v>1</v>
      </c>
      <c r="K32" s="59"/>
      <c r="L32" s="59">
        <v>1</v>
      </c>
      <c r="M32" s="59"/>
      <c r="N32" s="59">
        <v>1</v>
      </c>
      <c r="O32" s="59"/>
      <c r="P32" s="59">
        <v>0.94455999999999996</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0.99816000000000005</v>
      </c>
      <c r="G33" s="222"/>
      <c r="H33" s="222">
        <v>1</v>
      </c>
      <c r="I33" s="222"/>
      <c r="J33" s="222">
        <v>1</v>
      </c>
      <c r="K33" s="222"/>
      <c r="L33" s="222">
        <v>1</v>
      </c>
      <c r="M33" s="222"/>
      <c r="N33" s="222">
        <v>1</v>
      </c>
      <c r="O33" s="222"/>
      <c r="P33" s="59">
        <v>0.97265000000000001</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9.9878999999999992E-3</v>
      </c>
      <c r="G35" s="236"/>
      <c r="H35" s="236">
        <v>1.3987899999999999E-2</v>
      </c>
      <c r="I35" s="236"/>
      <c r="J35" s="236">
        <v>1.69879E-2</v>
      </c>
      <c r="K35" s="236"/>
      <c r="L35" s="236">
        <v>1.9987899999999999E-2</v>
      </c>
      <c r="M35" s="236"/>
      <c r="N35" s="236">
        <v>2.9987900000000001E-2</v>
      </c>
      <c r="O35" s="236"/>
      <c r="P35" s="236">
        <v>4.04879E-2</v>
      </c>
      <c r="Q35" s="236"/>
      <c r="R35" s="236">
        <v>4.04879E-2</v>
      </c>
      <c r="S35" s="67"/>
      <c r="T35" s="67" t="s">
        <v>83</v>
      </c>
      <c r="U35" s="67"/>
      <c r="V35" s="67" t="s">
        <v>83</v>
      </c>
      <c r="W35" s="67"/>
      <c r="X35" s="67" t="s">
        <v>83</v>
      </c>
      <c r="Y35" s="67" t="s">
        <v>83</v>
      </c>
      <c r="Z35" s="67"/>
      <c r="AA35" s="40"/>
      <c r="AB35" s="66">
        <f>SUMPRODUCT(D35:N35,D30:N30)/AB30</f>
        <v>1.1169821661192941E-2</v>
      </c>
      <c r="AC35" s="43"/>
      <c r="AD35" s="22"/>
    </row>
    <row r="36" spans="1:30" s="23" customFormat="1" x14ac:dyDescent="0.35">
      <c r="A36" s="47"/>
      <c r="B36" s="40" t="s">
        <v>10</v>
      </c>
      <c r="C36" s="68"/>
      <c r="D36" s="236"/>
      <c r="E36" s="236"/>
      <c r="F36" s="236">
        <v>1.00331E-2</v>
      </c>
      <c r="G36" s="236"/>
      <c r="H36" s="236">
        <v>1.40331E-2</v>
      </c>
      <c r="I36" s="236"/>
      <c r="J36" s="236">
        <v>1.7033099999999999E-2</v>
      </c>
      <c r="K36" s="236"/>
      <c r="L36" s="236">
        <v>2.0033100000000002E-2</v>
      </c>
      <c r="M36" s="236"/>
      <c r="N36" s="236">
        <v>3.0003309999999998E-2</v>
      </c>
      <c r="O36" s="236"/>
      <c r="P36" s="236">
        <v>4.0533100000000002E-2</v>
      </c>
      <c r="Q36" s="236"/>
      <c r="R36" s="236">
        <v>4.0533100000000002E-2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0.15802103949800744</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44270</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34</v>
      </c>
      <c r="Y47" s="40"/>
      <c r="Z47" s="75">
        <v>44146</v>
      </c>
      <c r="AA47" s="76"/>
      <c r="AB47" s="75">
        <v>44179</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44180</v>
      </c>
      <c r="AA48" s="76"/>
      <c r="AB48" s="75">
        <v>44269</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44269</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341</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719034</v>
      </c>
      <c r="S57" s="234"/>
      <c r="T57" s="233">
        <f>375+19</f>
        <v>394</v>
      </c>
      <c r="U57" s="234"/>
      <c r="V57" s="234">
        <v>6153</v>
      </c>
      <c r="W57" s="234"/>
      <c r="X57" s="234">
        <v>131</v>
      </c>
      <c r="Y57" s="234"/>
      <c r="Z57" s="234">
        <v>0</v>
      </c>
      <c r="AA57" s="234"/>
      <c r="AB57" s="233">
        <f>R57-T57-V57+X57-Z57</f>
        <v>712618</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719034</v>
      </c>
      <c r="S60" s="234"/>
      <c r="T60" s="234">
        <f>T57+T58</f>
        <v>394</v>
      </c>
      <c r="U60" s="234"/>
      <c r="V60" s="234">
        <f>SUM(V57:V59)</f>
        <v>6153</v>
      </c>
      <c r="W60" s="234"/>
      <c r="X60" s="234">
        <f>SUM(X57:X59)</f>
        <v>131</v>
      </c>
      <c r="Y60" s="234"/>
      <c r="Z60" s="234">
        <f>SUM(Z57:Z59)</f>
        <v>0</v>
      </c>
      <c r="AA60" s="234"/>
      <c r="AB60" s="234">
        <f>SUM(AB57:AB59)</f>
        <v>712618</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-3</v>
      </c>
      <c r="W63" s="234"/>
      <c r="X63" s="234"/>
      <c r="Y63" s="234"/>
      <c r="Z63" s="234"/>
      <c r="AA63" s="234"/>
      <c r="AB63" s="234">
        <f>R63+V63</f>
        <v>1</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985</v>
      </c>
      <c r="S64" s="234"/>
      <c r="T64" s="234"/>
      <c r="U64" s="234"/>
      <c r="V64" s="234"/>
      <c r="W64" s="234"/>
      <c r="X64" s="234">
        <f>-X57</f>
        <v>-131</v>
      </c>
      <c r="Y64" s="234"/>
      <c r="Z64" s="234"/>
      <c r="AA64" s="234"/>
      <c r="AB64" s="234">
        <f>+R64+X64</f>
        <v>854</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720023</v>
      </c>
      <c r="S66" s="234"/>
      <c r="T66" s="234"/>
      <c r="U66" s="234"/>
      <c r="V66" s="234"/>
      <c r="W66" s="234"/>
      <c r="X66" s="234"/>
      <c r="Y66" s="234"/>
      <c r="Z66" s="234"/>
      <c r="AA66" s="234"/>
      <c r="AB66" s="234">
        <f>SUM(AB60:AB65)</f>
        <v>713473</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44253</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131</v>
      </c>
      <c r="AA71" s="40"/>
      <c r="AB71" s="97"/>
      <c r="AC71" s="43"/>
      <c r="AD71" s="22"/>
    </row>
    <row r="72" spans="1:30" s="23" customFormat="1" x14ac:dyDescent="0.35">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-131</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6546</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6375+173-405-20</f>
        <v>6123</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215+4</f>
        <v>219</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17</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6550</v>
      </c>
      <c r="AA83" s="40"/>
      <c r="AB83" s="96">
        <f>SUM(AB70:AB82)</f>
        <v>6359</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6550</v>
      </c>
      <c r="AA86" s="40"/>
      <c r="AB86" s="96">
        <f>AB83+AB84+AB85</f>
        <v>6359</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-355-4-5</f>
        <v>-364</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76</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-1535</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-137</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-91</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-89</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-30</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-133</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-108</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-313</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f>-11-4</f>
        <v>-15</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-1142</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-18-84</f>
        <v>-102</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-10</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-2363</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-6549</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-6549</v>
      </c>
      <c r="AA128" s="96"/>
      <c r="AB128" s="96">
        <f>SUM(AB87:AB126)</f>
        <v>-6359</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1</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FEBRUARY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20'!AB144</f>
        <v>9952.14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-17</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9935.14</v>
      </c>
      <c r="AC144" s="43"/>
      <c r="AD144" s="22"/>
    </row>
    <row r="145" spans="1:30"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20'!AB157</f>
        <v>594.95999999999992</v>
      </c>
      <c r="AC148" s="43"/>
      <c r="AD148" s="22"/>
    </row>
    <row r="149" spans="1:30"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20'!AB163</f>
        <v>985</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-131</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854</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20'!AB180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20'!AB188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20'!AB196</f>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20'!AB204</f>
        <v>301</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AB200-AB202+AB203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20'!AB212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20'!Y219</f>
        <v>0</v>
      </c>
      <c r="Z217" s="97">
        <f>+'November 20'!Z219</f>
        <v>66</v>
      </c>
      <c r="AA217" s="40"/>
      <c r="AB217" s="97">
        <f>Y217+Z217</f>
        <v>66</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131</v>
      </c>
      <c r="AA218" s="40"/>
      <c r="AB218" s="97">
        <f>Y218+Z218</f>
        <v>131</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197</v>
      </c>
      <c r="AA219" s="40"/>
      <c r="AB219" s="97">
        <f>Y219+Z219</f>
        <v>197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117156.76000000001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712618</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7382</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3.9537459283387624</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3.4</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33.094890510948908</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26.89</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48.318681318681321</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39.15</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48.382022471910112</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38.770000000000003</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31.706766917293233</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25.39</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FEBRUARY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44253</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1.1169821661192941E-2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2.330017833880706E-2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8.9372145056477361E-3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21.04</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9.0927650922262206E-3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3.1099999999999999E-2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20'!Z273</f>
        <v>1</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3775</v>
      </c>
      <c r="Y286" s="189">
        <f>X286/$X$295</f>
        <v>1</v>
      </c>
      <c r="Z286" s="106">
        <f t="shared" ref="Z286:Z293" si="1">+Z298+Z310+Z332</f>
        <v>712618</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3775</v>
      </c>
      <c r="Y295" s="195">
        <f>SUM(Y286:Y294)</f>
        <v>1</v>
      </c>
      <c r="Z295" s="97">
        <f>SUM(Z286:Z294)</f>
        <v>712618</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3775</v>
      </c>
      <c r="Y298" s="189">
        <f>X298/$X$307</f>
        <v>1</v>
      </c>
      <c r="Z298" s="106">
        <v>712618</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3775</v>
      </c>
      <c r="Y307" s="195">
        <f>SUM(Y298:Y306)</f>
        <v>1</v>
      </c>
      <c r="Z307" s="97">
        <f>SUM(Z298:Z306)</f>
        <v>712618</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5">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15</v>
      </c>
      <c r="Y344" s="260">
        <f>+X344/X353</f>
        <v>1</v>
      </c>
      <c r="Z344" s="212">
        <v>3547</v>
      </c>
      <c r="AA344" s="260">
        <f>+Z344/Z353</f>
        <v>1</v>
      </c>
      <c r="AB344" s="276"/>
      <c r="AC344" s="278"/>
      <c r="AD344" s="22"/>
    </row>
    <row r="345" spans="1:30" s="23" customFormat="1" x14ac:dyDescent="0.35">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5">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5">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5">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5">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5">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5">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5">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5">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15</v>
      </c>
      <c r="Y353" s="263">
        <f>SUM(Y344:Y351)</f>
        <v>1</v>
      </c>
      <c r="Z353" s="97">
        <f>SUM(Z344:Z351)</f>
        <v>3547</v>
      </c>
      <c r="AA353" s="263">
        <f>SUM(AA344:AA351)</f>
        <v>1</v>
      </c>
      <c r="AB353" s="40"/>
      <c r="AC353" s="43"/>
      <c r="AD353" s="22"/>
    </row>
    <row r="354" spans="1:30" s="23" customFormat="1" ht="16" thickBot="1" x14ac:dyDescent="0.4">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3.9735099337748344E-3</v>
      </c>
      <c r="Z354" s="281"/>
      <c r="AA354" s="280">
        <f>+Z353/Z358</f>
        <v>4.9774212832120433E-3</v>
      </c>
      <c r="AB354" s="282"/>
      <c r="AC354" s="43"/>
      <c r="AD354" s="22"/>
    </row>
    <row r="355" spans="1:30" s="23" customFormat="1" ht="16" thickTop="1" x14ac:dyDescent="0.35">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3</v>
      </c>
      <c r="Y355" s="286">
        <f>X355/X353</f>
        <v>0.2</v>
      </c>
      <c r="Z355" s="287">
        <v>525</v>
      </c>
      <c r="AA355" s="286">
        <f>Z355/Z353</f>
        <v>0.14801240484916831</v>
      </c>
      <c r="AB355" s="288">
        <v>0.989247311827957</v>
      </c>
      <c r="AC355" s="43"/>
      <c r="AD355" s="22"/>
    </row>
    <row r="356" spans="1:30" s="23" customFormat="1" ht="16" thickBot="1" x14ac:dyDescent="0.4">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12</v>
      </c>
      <c r="Y356" s="290">
        <f>X356/X353</f>
        <v>0.8</v>
      </c>
      <c r="Z356" s="291">
        <v>3022</v>
      </c>
      <c r="AA356" s="290">
        <f>Z356/Z353</f>
        <v>0.85198759515083167</v>
      </c>
      <c r="AB356" s="292">
        <v>1.2311827956989247</v>
      </c>
      <c r="AC356" s="43"/>
      <c r="AD356" s="22"/>
    </row>
    <row r="357" spans="1:30" s="23" customFormat="1" ht="16" thickTop="1" x14ac:dyDescent="0.35">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5">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3775</v>
      </c>
      <c r="Y358" s="195"/>
      <c r="Z358" s="208">
        <f>+Z341+Z319+Z307</f>
        <v>712618</v>
      </c>
      <c r="AA358" s="195"/>
      <c r="AB358" s="40"/>
      <c r="AC358" s="43"/>
      <c r="AD358" s="22"/>
    </row>
    <row r="359" spans="1:30" s="23" customFormat="1" x14ac:dyDescent="0.35">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855</v>
      </c>
      <c r="AA359" s="195"/>
      <c r="AB359" s="40"/>
      <c r="AC359" s="43"/>
      <c r="AD359" s="22"/>
    </row>
    <row r="360" spans="1:30" s="23" customFormat="1" x14ac:dyDescent="0.35">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713473</v>
      </c>
      <c r="AA360" s="195"/>
      <c r="AB360" s="40"/>
      <c r="AC360" s="43"/>
      <c r="AD360" s="22"/>
    </row>
    <row r="361" spans="1:30" s="23" customFormat="1" x14ac:dyDescent="0.35">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713473</v>
      </c>
      <c r="AA361" s="195"/>
      <c r="AB361" s="40"/>
      <c r="AC361" s="43"/>
      <c r="AD361" s="22"/>
    </row>
    <row r="362" spans="1:30" s="23" customFormat="1" x14ac:dyDescent="0.35">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5">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5">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5">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5">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5">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5">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5">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5">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5">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5" x14ac:dyDescent="0.4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5" x14ac:dyDescent="0.4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9" thickBot="1" x14ac:dyDescent="0.5">
      <c r="A374" s="215"/>
      <c r="B374" s="219" t="str">
        <f>B243</f>
        <v>PM28 INVESTOR REPORT QUARTER ENDING FEBRUARY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5">
      <c r="B377" s="273" t="s">
        <v>277</v>
      </c>
    </row>
    <row r="378" spans="1:30" x14ac:dyDescent="0.35">
      <c r="B378" s="265" t="s">
        <v>278</v>
      </c>
    </row>
    <row r="379" spans="1:30" x14ac:dyDescent="0.35">
      <c r="B379" s="265" t="s">
        <v>279</v>
      </c>
    </row>
    <row r="380" spans="1:30" x14ac:dyDescent="0.35">
      <c r="B380" s="265" t="s">
        <v>280</v>
      </c>
    </row>
    <row r="381" spans="1:30" x14ac:dyDescent="0.35">
      <c r="B381" s="265" t="s">
        <v>281</v>
      </c>
    </row>
    <row r="382" spans="1:30" x14ac:dyDescent="0.35">
      <c r="B382" s="265" t="s">
        <v>282</v>
      </c>
    </row>
    <row r="383" spans="1:30" x14ac:dyDescent="0.35">
      <c r="B383" s="265" t="s">
        <v>283</v>
      </c>
    </row>
    <row r="384" spans="1:30" x14ac:dyDescent="0.35">
      <c r="B384" s="265" t="s">
        <v>284</v>
      </c>
    </row>
    <row r="385" spans="2:19" x14ac:dyDescent="0.35">
      <c r="B385" s="265"/>
    </row>
    <row r="386" spans="2:19" x14ac:dyDescent="0.35">
      <c r="B386" s="273" t="s">
        <v>300</v>
      </c>
    </row>
    <row r="387" spans="2:19" x14ac:dyDescent="0.35">
      <c r="B387" s="265" t="s">
        <v>339</v>
      </c>
    </row>
    <row r="388" spans="2:19" x14ac:dyDescent="0.35">
      <c r="B388" s="265" t="s">
        <v>343</v>
      </c>
    </row>
    <row r="389" spans="2:19" x14ac:dyDescent="0.35">
      <c r="B389" s="265"/>
    </row>
    <row r="390" spans="2:19" x14ac:dyDescent="0.35">
      <c r="B390" s="273" t="s">
        <v>285</v>
      </c>
    </row>
    <row r="391" spans="2:19" x14ac:dyDescent="0.35">
      <c r="B391" s="265" t="s">
        <v>286</v>
      </c>
    </row>
    <row r="392" spans="2:19" x14ac:dyDescent="0.35">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5">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F4444CF8-8CC0-4649-8563-677F5F24A6B2}"/>
    <hyperlink ref="P372" r:id="rId2" xr:uid="{008A8A31-4AFD-4A10-AF54-046773F7583E}"/>
    <hyperlink ref="P283" r:id="rId3" xr:uid="{40639F10-DDDC-4389-B725-9BD9C79F8309}"/>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8570-0C97-4363-99C9-A9F791C3B724}">
  <sheetPr>
    <tabColor rgb="FF89CB31"/>
  </sheetPr>
  <dimension ref="A1:JB393"/>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2.3282160846897638E-2</v>
      </c>
      <c r="Z17" s="299" t="s">
        <v>259</v>
      </c>
      <c r="AA17" s="299">
        <v>0.9767178391531024</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44365</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616114.15992000001</v>
      </c>
      <c r="G30" s="54"/>
      <c r="H30" s="54">
        <f>H29</f>
        <v>39664</v>
      </c>
      <c r="I30" s="54"/>
      <c r="J30" s="54">
        <f>J29</f>
        <v>21635</v>
      </c>
      <c r="K30" s="54"/>
      <c r="L30" s="54">
        <f>L29</f>
        <v>18029</v>
      </c>
      <c r="M30" s="54"/>
      <c r="N30" s="54">
        <f>N29</f>
        <v>18031</v>
      </c>
      <c r="O30" s="54"/>
      <c r="P30" s="54">
        <f>P29*P33</f>
        <v>10529.954879999999</v>
      </c>
      <c r="Q30" s="54"/>
      <c r="R30" s="54">
        <v>0</v>
      </c>
      <c r="S30" s="54"/>
      <c r="T30" s="54" t="s">
        <v>83</v>
      </c>
      <c r="U30" s="54"/>
      <c r="V30" s="54" t="s">
        <v>83</v>
      </c>
      <c r="W30" s="54"/>
      <c r="X30" s="54" t="s">
        <v>83</v>
      </c>
      <c r="Y30" s="54" t="s">
        <v>83</v>
      </c>
      <c r="Z30" s="54"/>
      <c r="AA30" s="49"/>
      <c r="AB30" s="50">
        <f>SUM(F30:N30)</f>
        <v>713473.15992000001</v>
      </c>
      <c r="AC30" s="51"/>
      <c r="AD30" s="22"/>
    </row>
    <row r="31" spans="1:33" s="23" customFormat="1" x14ac:dyDescent="0.35">
      <c r="A31" s="47"/>
      <c r="B31" s="44" t="s">
        <v>92</v>
      </c>
      <c r="C31" s="49"/>
      <c r="D31" s="56"/>
      <c r="E31" s="56"/>
      <c r="F31" s="56">
        <f>F29*F32</f>
        <v>614111.72340000002</v>
      </c>
      <c r="G31" s="56"/>
      <c r="H31" s="56">
        <f>H29</f>
        <v>39664</v>
      </c>
      <c r="I31" s="56"/>
      <c r="J31" s="56">
        <f>J29</f>
        <v>21635</v>
      </c>
      <c r="K31" s="56"/>
      <c r="L31" s="56">
        <f>L29</f>
        <v>18029</v>
      </c>
      <c r="M31" s="56"/>
      <c r="N31" s="56">
        <f>N29</f>
        <v>18031</v>
      </c>
      <c r="O31" s="56"/>
      <c r="P31" s="56">
        <f>P29*P32</f>
        <v>10431.62952</v>
      </c>
      <c r="Q31" s="56"/>
      <c r="R31" s="56">
        <v>0</v>
      </c>
      <c r="S31" s="56"/>
      <c r="T31" s="56" t="s">
        <v>83</v>
      </c>
      <c r="U31" s="56"/>
      <c r="V31" s="56" t="s">
        <v>83</v>
      </c>
      <c r="W31" s="56"/>
      <c r="X31" s="56" t="s">
        <v>83</v>
      </c>
      <c r="Y31" s="56" t="s">
        <v>83</v>
      </c>
      <c r="Z31" s="56"/>
      <c r="AA31" s="49"/>
      <c r="AB31" s="55">
        <f>SUM(F31:N31)</f>
        <v>711470.72340000002</v>
      </c>
      <c r="AC31" s="51"/>
      <c r="AD31" s="22"/>
      <c r="AE31" s="231"/>
    </row>
    <row r="32" spans="1:33" s="64" customFormat="1" x14ac:dyDescent="0.35">
      <c r="A32" s="57"/>
      <c r="B32" s="163" t="s">
        <v>88</v>
      </c>
      <c r="C32" s="60"/>
      <c r="D32" s="59"/>
      <c r="E32" s="59"/>
      <c r="F32" s="59">
        <v>0.98445000000000005</v>
      </c>
      <c r="G32" s="59"/>
      <c r="H32" s="59">
        <v>1</v>
      </c>
      <c r="I32" s="59"/>
      <c r="J32" s="59">
        <v>1</v>
      </c>
      <c r="K32" s="59"/>
      <c r="L32" s="59">
        <v>1</v>
      </c>
      <c r="M32" s="59"/>
      <c r="N32" s="59">
        <v>1</v>
      </c>
      <c r="O32" s="59"/>
      <c r="P32" s="59">
        <v>0.93574000000000002</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0.98765999999999998</v>
      </c>
      <c r="G33" s="222"/>
      <c r="H33" s="222">
        <v>1</v>
      </c>
      <c r="I33" s="222"/>
      <c r="J33" s="222">
        <v>1</v>
      </c>
      <c r="K33" s="222"/>
      <c r="L33" s="222">
        <v>1</v>
      </c>
      <c r="M33" s="222"/>
      <c r="N33" s="222">
        <v>1</v>
      </c>
      <c r="O33" s="222"/>
      <c r="P33" s="59">
        <v>0.94455999999999996</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9.9895000000000001E-3</v>
      </c>
      <c r="G35" s="236"/>
      <c r="H35" s="236">
        <v>1.39895E-2</v>
      </c>
      <c r="I35" s="236"/>
      <c r="J35" s="236">
        <v>1.6989500000000001E-2</v>
      </c>
      <c r="K35" s="236"/>
      <c r="L35" s="236">
        <v>1.99895E-2</v>
      </c>
      <c r="M35" s="236"/>
      <c r="N35" s="236">
        <v>2.9989499999999999E-2</v>
      </c>
      <c r="O35" s="236"/>
      <c r="P35" s="236">
        <v>4.0489499999999998E-2</v>
      </c>
      <c r="Q35" s="236"/>
      <c r="R35" s="236">
        <v>4.0489499999999998E-2</v>
      </c>
      <c r="S35" s="67"/>
      <c r="T35" s="67" t="s">
        <v>83</v>
      </c>
      <c r="U35" s="67"/>
      <c r="V35" s="67" t="s">
        <v>83</v>
      </c>
      <c r="W35" s="67"/>
      <c r="X35" s="67" t="s">
        <v>83</v>
      </c>
      <c r="Y35" s="67" t="s">
        <v>83</v>
      </c>
      <c r="Z35" s="67"/>
      <c r="AA35" s="40"/>
      <c r="AB35" s="66">
        <f>SUMPRODUCT(D35:N35,D30:N30)/AB30</f>
        <v>1.1182272269240545E-2</v>
      </c>
      <c r="AC35" s="43"/>
      <c r="AD35" s="22"/>
    </row>
    <row r="36" spans="1:30" s="23" customFormat="1" x14ac:dyDescent="0.35">
      <c r="A36" s="47"/>
      <c r="B36" s="40" t="s">
        <v>10</v>
      </c>
      <c r="C36" s="68"/>
      <c r="D36" s="236"/>
      <c r="E36" s="236"/>
      <c r="F36" s="236">
        <v>9.9878999999999992E-3</v>
      </c>
      <c r="G36" s="236"/>
      <c r="H36" s="236">
        <v>1.3987899999999999E-2</v>
      </c>
      <c r="I36" s="236"/>
      <c r="J36" s="236">
        <v>1.69879E-2</v>
      </c>
      <c r="K36" s="236"/>
      <c r="L36" s="236">
        <v>1.9987899999999999E-2</v>
      </c>
      <c r="M36" s="236"/>
      <c r="N36" s="236">
        <v>2.9987900000000001E-2</v>
      </c>
      <c r="O36" s="236"/>
      <c r="P36" s="236">
        <v>4.04879E-2</v>
      </c>
      <c r="Q36" s="236"/>
      <c r="R36" s="236">
        <v>4.04879E-2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0.15853629932510746</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44362</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44180</v>
      </c>
      <c r="AA47" s="76"/>
      <c r="AB47" s="75">
        <v>44269</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44270</v>
      </c>
      <c r="AA48" s="76"/>
      <c r="AB48" s="75">
        <v>44361</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44361</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344</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712618</v>
      </c>
      <c r="S57" s="234"/>
      <c r="T57" s="233">
        <f>378+19</f>
        <v>397</v>
      </c>
      <c r="U57" s="234"/>
      <c r="V57" s="234">
        <v>1608</v>
      </c>
      <c r="W57" s="234"/>
      <c r="X57" s="234">
        <v>148</v>
      </c>
      <c r="Y57" s="234"/>
      <c r="Z57" s="234">
        <v>0</v>
      </c>
      <c r="AA57" s="234"/>
      <c r="AB57" s="233">
        <f>R57-T57-V57+X57-Z57</f>
        <v>710761</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712618</v>
      </c>
      <c r="S60" s="234"/>
      <c r="T60" s="234">
        <f>T57+T58</f>
        <v>397</v>
      </c>
      <c r="U60" s="234"/>
      <c r="V60" s="234">
        <f>SUM(V57:V59)</f>
        <v>1608</v>
      </c>
      <c r="W60" s="234"/>
      <c r="X60" s="234">
        <f>SUM(X57:X59)</f>
        <v>148</v>
      </c>
      <c r="Y60" s="234"/>
      <c r="Z60" s="234">
        <f>SUM(Z57:Z59)</f>
        <v>0</v>
      </c>
      <c r="AA60" s="234"/>
      <c r="AB60" s="234">
        <f>SUM(AB57:AB59)</f>
        <v>710761</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1</v>
      </c>
      <c r="S63" s="234"/>
      <c r="T63" s="234">
        <v>0</v>
      </c>
      <c r="U63" s="234"/>
      <c r="V63" s="234">
        <v>3</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854</v>
      </c>
      <c r="S64" s="234"/>
      <c r="T64" s="234"/>
      <c r="U64" s="234"/>
      <c r="V64" s="234"/>
      <c r="W64" s="234"/>
      <c r="X64" s="234">
        <f>-X57</f>
        <v>-148</v>
      </c>
      <c r="Y64" s="234"/>
      <c r="Z64" s="234"/>
      <c r="AA64" s="234"/>
      <c r="AB64" s="234">
        <f>+R64+X64</f>
        <v>706</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713473</v>
      </c>
      <c r="S66" s="234"/>
      <c r="T66" s="234"/>
      <c r="U66" s="234"/>
      <c r="V66" s="234"/>
      <c r="W66" s="234"/>
      <c r="X66" s="234"/>
      <c r="Y66" s="234"/>
      <c r="Z66" s="234"/>
      <c r="AA66" s="234"/>
      <c r="AB66" s="234">
        <f>SUM(AB60:AB65)</f>
        <v>711471</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44344</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1</v>
      </c>
      <c r="AA70" s="37"/>
      <c r="AB70" s="106">
        <v>0</v>
      </c>
      <c r="AC70" s="21"/>
      <c r="AD70" s="22"/>
    </row>
    <row r="71" spans="1:30" s="23" customFormat="1" x14ac:dyDescent="0.35">
      <c r="A71" s="47"/>
      <c r="B71" s="40" t="s">
        <v>355</v>
      </c>
      <c r="C71" s="40"/>
      <c r="D71" s="69"/>
      <c r="E71" s="69"/>
      <c r="F71" s="69"/>
      <c r="G71" s="107"/>
      <c r="H71" s="69"/>
      <c r="I71" s="40"/>
      <c r="J71" s="108"/>
      <c r="K71" s="40"/>
      <c r="L71" s="40"/>
      <c r="M71" s="40"/>
      <c r="N71" s="40"/>
      <c r="O71" s="40"/>
      <c r="P71" s="40"/>
      <c r="Q71" s="40"/>
      <c r="R71" s="40"/>
      <c r="S71" s="40"/>
      <c r="T71" s="40"/>
      <c r="U71" s="40"/>
      <c r="V71" s="40"/>
      <c r="W71" s="40"/>
      <c r="X71" s="40"/>
      <c r="Y71" s="40"/>
      <c r="Z71" s="234">
        <f>-X64</f>
        <v>148</v>
      </c>
      <c r="AA71" s="40"/>
      <c r="AB71" s="97"/>
      <c r="AC71" s="43"/>
      <c r="AD71" s="22"/>
    </row>
    <row r="72" spans="1:30" s="23" customFormat="1" x14ac:dyDescent="0.35">
      <c r="A72" s="47"/>
      <c r="B72" s="40" t="s">
        <v>356</v>
      </c>
      <c r="C72" s="40"/>
      <c r="D72" s="69"/>
      <c r="E72" s="69"/>
      <c r="F72" s="69"/>
      <c r="G72" s="107"/>
      <c r="H72" s="69"/>
      <c r="I72" s="40"/>
      <c r="J72" s="108"/>
      <c r="K72" s="40"/>
      <c r="L72" s="40"/>
      <c r="M72" s="40"/>
      <c r="N72" s="40"/>
      <c r="O72" s="40"/>
      <c r="P72" s="40"/>
      <c r="Q72" s="40"/>
      <c r="R72" s="40"/>
      <c r="S72" s="40"/>
      <c r="T72" s="40"/>
      <c r="U72" s="40"/>
      <c r="V72" s="40"/>
      <c r="W72" s="40"/>
      <c r="X72" s="40"/>
      <c r="Y72" s="40"/>
      <c r="Z72" s="234">
        <f>-Z71</f>
        <v>-148</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2005</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6358+173-410-20</f>
        <v>6101</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65+3</f>
        <v>68</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98</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2006</v>
      </c>
      <c r="AA83" s="40"/>
      <c r="AB83" s="96">
        <f>SUM(AB70:AB82)</f>
        <v>6267</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2006</v>
      </c>
      <c r="AA86" s="40"/>
      <c r="AB86" s="96">
        <f>AB83+AB84+AB85</f>
        <v>6267</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-359-1-8</f>
        <v>-368</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78</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-1553</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-140</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-93</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-91</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-136</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-107</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-98</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-13-63</f>
        <v>-76</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-3654</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-2002</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-2002</v>
      </c>
      <c r="AA128" s="96"/>
      <c r="AB128" s="96">
        <f>SUM(AB87:AB126)</f>
        <v>-6267</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MAY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21'!AB144</f>
        <v>9935.14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-98</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9837.14</v>
      </c>
      <c r="AC144" s="43"/>
      <c r="AD144" s="22"/>
    </row>
    <row r="145" spans="1:30"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0"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0"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0"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21'!AB157</f>
        <v>594.95999999999992</v>
      </c>
      <c r="AC148" s="43"/>
      <c r="AD148" s="22"/>
    </row>
    <row r="149" spans="1:30"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0"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0"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0"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0"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0"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0"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0"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0"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0"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0"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0"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21'!AB163</f>
        <v>854</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-148</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706</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21'!AB212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21'!Y219</f>
        <v>0</v>
      </c>
      <c r="Z217" s="97">
        <f>+'February 21'!Z219</f>
        <v>197</v>
      </c>
      <c r="AA217" s="40"/>
      <c r="AB217" s="97">
        <f>Y217+Z217</f>
        <v>197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148</v>
      </c>
      <c r="AA218" s="40"/>
      <c r="AB218" s="97">
        <f>Y218+Z218</f>
        <v>148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345</v>
      </c>
      <c r="AA219" s="40"/>
      <c r="AB219" s="97">
        <f>Y219+Z219</f>
        <v>345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117008.76000000001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720000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710761</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9239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3.8473921442369607</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3.59</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31.585714285714285</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28.89</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46.043010752688176</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42.09</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46.032967032967036</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41.86</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30.132352941176471</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27.41</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MAY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44344</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1.1182272269240545E-2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2.3287727730759454E-2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8.8931185903320803E-3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20.79</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2.8101974426502476E-3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2.2700000000000001E-2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21'!Z273</f>
        <v>1</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3764</v>
      </c>
      <c r="Y286" s="189">
        <f>X286/$X$295</f>
        <v>1</v>
      </c>
      <c r="Z286" s="106">
        <f t="shared" ref="Z286:Z293" si="1">+Z298+Z310+Z332</f>
        <v>710761</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3764</v>
      </c>
      <c r="Y295" s="195">
        <f>SUM(Y286:Y294)</f>
        <v>1</v>
      </c>
      <c r="Z295" s="97">
        <f>SUM(Z286:Z294)</f>
        <v>710761</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3764</v>
      </c>
      <c r="Y298" s="189">
        <f>X298/$X$307</f>
        <v>1</v>
      </c>
      <c r="Z298" s="106">
        <v>710761</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3764</v>
      </c>
      <c r="Y307" s="195">
        <f>SUM(Y298:Y306)</f>
        <v>1</v>
      </c>
      <c r="Z307" s="97">
        <f>SUM(Z298:Z306)</f>
        <v>710761</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5">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4</v>
      </c>
      <c r="Y344" s="260">
        <f>+X344/X353</f>
        <v>1</v>
      </c>
      <c r="Z344" s="212">
        <v>1209</v>
      </c>
      <c r="AA344" s="260">
        <f>+Z344/Z353</f>
        <v>1</v>
      </c>
      <c r="AB344" s="276"/>
      <c r="AC344" s="278"/>
      <c r="AD344" s="22"/>
    </row>
    <row r="345" spans="1:30" s="23" customFormat="1" x14ac:dyDescent="0.35">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f>+X345/X353</f>
        <v>0</v>
      </c>
      <c r="Z345" s="97">
        <v>0</v>
      </c>
      <c r="AA345" s="263">
        <f>+Z345/Z353</f>
        <v>0</v>
      </c>
      <c r="AB345" s="40"/>
      <c r="AC345" s="43"/>
      <c r="AD345" s="22"/>
    </row>
    <row r="346" spans="1:30" s="23" customFormat="1" x14ac:dyDescent="0.35">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f>+X346/X353</f>
        <v>0</v>
      </c>
      <c r="Z346" s="97">
        <v>0</v>
      </c>
      <c r="AA346" s="263">
        <f>+Z346/Z353</f>
        <v>0</v>
      </c>
      <c r="AB346" s="40"/>
      <c r="AC346" s="43"/>
      <c r="AD346" s="22"/>
    </row>
    <row r="347" spans="1:30" s="23" customFormat="1" x14ac:dyDescent="0.35">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f>+X347/X353</f>
        <v>0</v>
      </c>
      <c r="Z347" s="97">
        <v>0</v>
      </c>
      <c r="AA347" s="263">
        <f>+Z347/Z353</f>
        <v>0</v>
      </c>
      <c r="AB347" s="40"/>
      <c r="AC347" s="43"/>
      <c r="AD347" s="22"/>
    </row>
    <row r="348" spans="1:30" s="23" customFormat="1" x14ac:dyDescent="0.35">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f>+X348/X353</f>
        <v>0</v>
      </c>
      <c r="Z348" s="97">
        <v>0</v>
      </c>
      <c r="AA348" s="263">
        <f>+Z348/Z353</f>
        <v>0</v>
      </c>
      <c r="AB348" s="40"/>
      <c r="AC348" s="43"/>
      <c r="AD348" s="22"/>
    </row>
    <row r="349" spans="1:30" s="23" customFormat="1" x14ac:dyDescent="0.35">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f>+X349/X353</f>
        <v>0</v>
      </c>
      <c r="Z349" s="97">
        <v>0</v>
      </c>
      <c r="AA349" s="263">
        <f>+Z349/Z353</f>
        <v>0</v>
      </c>
      <c r="AB349" s="40"/>
      <c r="AC349" s="43"/>
      <c r="AD349" s="22"/>
    </row>
    <row r="350" spans="1:30" s="23" customFormat="1" x14ac:dyDescent="0.35">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f>+X350/X353</f>
        <v>0</v>
      </c>
      <c r="Z350" s="97">
        <v>0</v>
      </c>
      <c r="AA350" s="263">
        <f>+Z350/Z353</f>
        <v>0</v>
      </c>
      <c r="AB350" s="40"/>
      <c r="AC350" s="43"/>
      <c r="AD350" s="22"/>
    </row>
    <row r="351" spans="1:30" s="23" customFormat="1" x14ac:dyDescent="0.35">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f>+X351/X353</f>
        <v>0</v>
      </c>
      <c r="Z351" s="97">
        <v>0</v>
      </c>
      <c r="AA351" s="263">
        <f>+Z351/Z353</f>
        <v>0</v>
      </c>
      <c r="AB351" s="40"/>
      <c r="AC351" s="43"/>
      <c r="AD351" s="22"/>
    </row>
    <row r="352" spans="1:30" s="23" customFormat="1" x14ac:dyDescent="0.35">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5">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4</v>
      </c>
      <c r="Y353" s="263">
        <f>SUM(Y344:Y351)</f>
        <v>1</v>
      </c>
      <c r="Z353" s="97">
        <f>SUM(Z344:Z351)</f>
        <v>1209</v>
      </c>
      <c r="AA353" s="263">
        <f>SUM(AA344:AA351)</f>
        <v>1</v>
      </c>
      <c r="AB353" s="40"/>
      <c r="AC353" s="43"/>
      <c r="AD353" s="22"/>
    </row>
    <row r="354" spans="1:30" s="23" customFormat="1" ht="16" thickBot="1" x14ac:dyDescent="0.4">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1.0626992561105207E-3</v>
      </c>
      <c r="Z354" s="281"/>
      <c r="AA354" s="280">
        <f>+Z353/Z358</f>
        <v>1.7009937236286178E-3</v>
      </c>
      <c r="AB354" s="282"/>
      <c r="AC354" s="43"/>
      <c r="AD354" s="22"/>
    </row>
    <row r="355" spans="1:30" s="23" customFormat="1" ht="16" thickTop="1" x14ac:dyDescent="0.35">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1</v>
      </c>
      <c r="Y355" s="286">
        <f>X355/X353</f>
        <v>0.25</v>
      </c>
      <c r="Z355" s="287">
        <v>80</v>
      </c>
      <c r="AA355" s="286">
        <f>Z355/Z353</f>
        <v>6.6170388751033912E-2</v>
      </c>
      <c r="AB355" s="288">
        <v>0</v>
      </c>
      <c r="AC355" s="43"/>
      <c r="AD355" s="22"/>
    </row>
    <row r="356" spans="1:30" s="23" customFormat="1" ht="16" thickBot="1" x14ac:dyDescent="0.4">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3</v>
      </c>
      <c r="Y356" s="290">
        <f>X356/X353</f>
        <v>0.75</v>
      </c>
      <c r="Z356" s="291">
        <v>1129</v>
      </c>
      <c r="AA356" s="290">
        <f>Z356/Z353</f>
        <v>0.93382961124896613</v>
      </c>
      <c r="AB356" s="292">
        <v>1.6344086021505375</v>
      </c>
      <c r="AC356" s="43"/>
      <c r="AD356" s="22"/>
    </row>
    <row r="357" spans="1:30" s="23" customFormat="1" ht="16" thickTop="1" x14ac:dyDescent="0.35">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5">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3764</v>
      </c>
      <c r="Y358" s="195"/>
      <c r="Z358" s="208">
        <f>+Z341+Z319+Z307</f>
        <v>710761</v>
      </c>
      <c r="AA358" s="195"/>
      <c r="AB358" s="40"/>
      <c r="AC358" s="43"/>
      <c r="AD358" s="22"/>
    </row>
    <row r="359" spans="1:30" s="23" customFormat="1" x14ac:dyDescent="0.35">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710</v>
      </c>
      <c r="AA359" s="195"/>
      <c r="AB359" s="40"/>
      <c r="AC359" s="43"/>
      <c r="AD359" s="22"/>
    </row>
    <row r="360" spans="1:30" s="23" customFormat="1" x14ac:dyDescent="0.35">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711471</v>
      </c>
      <c r="AA360" s="195"/>
      <c r="AB360" s="40"/>
      <c r="AC360" s="43"/>
      <c r="AD360" s="22"/>
    </row>
    <row r="361" spans="1:30" s="23" customFormat="1" x14ac:dyDescent="0.35">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711471</v>
      </c>
      <c r="AA361" s="195"/>
      <c r="AB361" s="40"/>
      <c r="AC361" s="43"/>
      <c r="AD361" s="22"/>
    </row>
    <row r="362" spans="1:30" s="23" customFormat="1" x14ac:dyDescent="0.35">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5">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5">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5">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5">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5">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5">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5">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5">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5">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5" x14ac:dyDescent="0.4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5" x14ac:dyDescent="0.4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9" thickBot="1" x14ac:dyDescent="0.5">
      <c r="A374" s="215"/>
      <c r="B374" s="219" t="str">
        <f>B243</f>
        <v>PM28 INVESTOR REPORT QUARTER ENDING MAY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5">
      <c r="B377" s="273" t="s">
        <v>277</v>
      </c>
    </row>
    <row r="378" spans="1:30" x14ac:dyDescent="0.35">
      <c r="B378" s="265" t="s">
        <v>278</v>
      </c>
    </row>
    <row r="379" spans="1:30" x14ac:dyDescent="0.35">
      <c r="B379" s="265" t="s">
        <v>279</v>
      </c>
    </row>
    <row r="380" spans="1:30" x14ac:dyDescent="0.35">
      <c r="B380" s="265" t="s">
        <v>280</v>
      </c>
    </row>
    <row r="381" spans="1:30" x14ac:dyDescent="0.35">
      <c r="B381" s="265" t="s">
        <v>281</v>
      </c>
    </row>
    <row r="382" spans="1:30" x14ac:dyDescent="0.35">
      <c r="B382" s="265" t="s">
        <v>282</v>
      </c>
    </row>
    <row r="383" spans="1:30" x14ac:dyDescent="0.35">
      <c r="B383" s="265" t="s">
        <v>283</v>
      </c>
    </row>
    <row r="384" spans="1:30" x14ac:dyDescent="0.35">
      <c r="B384" s="265" t="s">
        <v>284</v>
      </c>
    </row>
    <row r="385" spans="2:19" x14ac:dyDescent="0.35">
      <c r="B385" s="265"/>
    </row>
    <row r="386" spans="2:19" x14ac:dyDescent="0.35">
      <c r="B386" s="273" t="s">
        <v>300</v>
      </c>
    </row>
    <row r="387" spans="2:19" x14ac:dyDescent="0.35">
      <c r="B387" s="265" t="s">
        <v>339</v>
      </c>
    </row>
    <row r="388" spans="2:19" x14ac:dyDescent="0.35">
      <c r="B388" s="265" t="s">
        <v>343</v>
      </c>
    </row>
    <row r="389" spans="2:19" x14ac:dyDescent="0.35">
      <c r="B389" s="265"/>
    </row>
    <row r="390" spans="2:19" x14ac:dyDescent="0.35">
      <c r="B390" s="273" t="s">
        <v>285</v>
      </c>
    </row>
    <row r="391" spans="2:19" x14ac:dyDescent="0.35">
      <c r="B391" s="265" t="s">
        <v>286</v>
      </c>
    </row>
    <row r="392" spans="2:19" x14ac:dyDescent="0.35">
      <c r="B392" s="265" t="s">
        <v>330</v>
      </c>
      <c r="C392" s="266"/>
      <c r="D392" s="266"/>
      <c r="E392" s="266"/>
      <c r="F392" s="266"/>
      <c r="G392" s="266"/>
      <c r="H392" s="266"/>
      <c r="I392" s="266"/>
      <c r="J392" s="266"/>
      <c r="K392" s="266"/>
      <c r="L392" s="266"/>
      <c r="M392" s="266"/>
      <c r="N392" s="266"/>
      <c r="O392" s="266"/>
      <c r="P392" s="266"/>
      <c r="Q392" s="266"/>
      <c r="R392" s="266"/>
      <c r="S392" s="266"/>
    </row>
    <row r="393" spans="2:19" x14ac:dyDescent="0.35">
      <c r="B393" s="6" t="s">
        <v>331</v>
      </c>
      <c r="C393" s="266"/>
      <c r="D393" s="266"/>
      <c r="E393" s="266"/>
      <c r="F393" s="266"/>
      <c r="G393" s="266"/>
      <c r="H393" s="266"/>
      <c r="I393" s="266"/>
      <c r="J393" s="266"/>
      <c r="K393" s="266"/>
      <c r="L393" s="266"/>
      <c r="M393" s="266"/>
      <c r="N393" s="266"/>
      <c r="O393" s="266"/>
      <c r="P393" s="266"/>
      <c r="Q393" s="266"/>
      <c r="R393" s="266"/>
      <c r="S393" s="266"/>
    </row>
  </sheetData>
  <hyperlinks>
    <hyperlink ref="K9" r:id="rId1" display="http://www.paragon-group.co.uk" xr:uid="{9E1491F2-1E09-43BC-BB34-E889F0C7D566}"/>
    <hyperlink ref="P372" r:id="rId2" xr:uid="{79075029-0FB1-44FE-B965-ACDFCA8D7F1B}"/>
    <hyperlink ref="P283" r:id="rId3" xr:uid="{B78BE2B9-419A-4F79-81A7-7CCC6B0D5787}"/>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2" max="18" man="1"/>
    <brk id="243" max="18" man="1"/>
  </rowBreaks>
  <colBreaks count="1" manualBreakCount="1">
    <brk id="29" max="299"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88291-D33C-4DFC-980B-3FE63F8E2715}">
  <sheetPr>
    <tabColor rgb="FF2D2926"/>
  </sheetPr>
  <dimension ref="A1:JB399"/>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2.3400000000000001E-2</v>
      </c>
      <c r="Z17" s="299" t="s">
        <v>259</v>
      </c>
      <c r="AA17" s="299">
        <v>0.97660000000000002</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44461</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216</v>
      </c>
      <c r="I26" s="226"/>
      <c r="J26" s="226" t="s">
        <v>264</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614111.72340000002</v>
      </c>
      <c r="G30" s="54"/>
      <c r="H30" s="54">
        <f>H29</f>
        <v>39664</v>
      </c>
      <c r="I30" s="54"/>
      <c r="J30" s="54">
        <f>J29</f>
        <v>21635</v>
      </c>
      <c r="K30" s="54"/>
      <c r="L30" s="54">
        <f>L29</f>
        <v>18029</v>
      </c>
      <c r="M30" s="54"/>
      <c r="N30" s="54">
        <f>N29</f>
        <v>18031</v>
      </c>
      <c r="O30" s="54"/>
      <c r="P30" s="54">
        <f>P29*P33</f>
        <v>10431.62952</v>
      </c>
      <c r="Q30" s="54"/>
      <c r="R30" s="54">
        <v>0</v>
      </c>
      <c r="S30" s="54"/>
      <c r="T30" s="54" t="s">
        <v>83</v>
      </c>
      <c r="U30" s="54"/>
      <c r="V30" s="54" t="s">
        <v>83</v>
      </c>
      <c r="W30" s="54"/>
      <c r="X30" s="54" t="s">
        <v>83</v>
      </c>
      <c r="Y30" s="54" t="s">
        <v>83</v>
      </c>
      <c r="Z30" s="54"/>
      <c r="AA30" s="49"/>
      <c r="AB30" s="50">
        <f>SUM(F30:N30)</f>
        <v>711470.72340000002</v>
      </c>
      <c r="AC30" s="51"/>
      <c r="AD30" s="22"/>
    </row>
    <row r="31" spans="1:33" s="23" customFormat="1" x14ac:dyDescent="0.35">
      <c r="A31" s="47"/>
      <c r="B31" s="44" t="s">
        <v>92</v>
      </c>
      <c r="C31" s="49"/>
      <c r="D31" s="56"/>
      <c r="E31" s="56"/>
      <c r="F31" s="56">
        <f>F29*F32</f>
        <v>609090.0368</v>
      </c>
      <c r="G31" s="56"/>
      <c r="H31" s="56">
        <f>H29</f>
        <v>39664</v>
      </c>
      <c r="I31" s="56"/>
      <c r="J31" s="56">
        <f>J29</f>
        <v>21635</v>
      </c>
      <c r="K31" s="56"/>
      <c r="L31" s="56">
        <f>L29</f>
        <v>18029</v>
      </c>
      <c r="M31" s="56"/>
      <c r="N31" s="56">
        <f>N29</f>
        <v>18031</v>
      </c>
      <c r="O31" s="56"/>
      <c r="P31" s="56">
        <f>P29*P32</f>
        <v>10401.529919999999</v>
      </c>
      <c r="Q31" s="56"/>
      <c r="R31" s="56">
        <v>0</v>
      </c>
      <c r="S31" s="56"/>
      <c r="T31" s="56" t="s">
        <v>83</v>
      </c>
      <c r="U31" s="56"/>
      <c r="V31" s="56" t="s">
        <v>83</v>
      </c>
      <c r="W31" s="56"/>
      <c r="X31" s="56" t="s">
        <v>83</v>
      </c>
      <c r="Y31" s="56" t="s">
        <v>83</v>
      </c>
      <c r="Z31" s="56"/>
      <c r="AA31" s="49"/>
      <c r="AB31" s="55">
        <f>SUM(F31:N31)</f>
        <v>706449.0368</v>
      </c>
      <c r="AC31" s="51"/>
      <c r="AD31" s="22"/>
      <c r="AE31" s="231"/>
    </row>
    <row r="32" spans="1:33" s="64" customFormat="1" x14ac:dyDescent="0.35">
      <c r="A32" s="57"/>
      <c r="B32" s="163" t="s">
        <v>88</v>
      </c>
      <c r="C32" s="60"/>
      <c r="D32" s="59"/>
      <c r="E32" s="59"/>
      <c r="F32" s="59">
        <v>0.97640000000000005</v>
      </c>
      <c r="G32" s="59"/>
      <c r="H32" s="59">
        <v>1</v>
      </c>
      <c r="I32" s="59"/>
      <c r="J32" s="59">
        <v>1</v>
      </c>
      <c r="K32" s="59"/>
      <c r="L32" s="59">
        <v>1</v>
      </c>
      <c r="M32" s="59"/>
      <c r="N32" s="59">
        <v>1</v>
      </c>
      <c r="O32" s="59"/>
      <c r="P32" s="59">
        <v>0.93303999999999998</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0.98445000000000005</v>
      </c>
      <c r="G33" s="59"/>
      <c r="H33" s="59">
        <v>1</v>
      </c>
      <c r="I33" s="59"/>
      <c r="J33" s="59">
        <v>1</v>
      </c>
      <c r="K33" s="59"/>
      <c r="L33" s="59">
        <v>1</v>
      </c>
      <c r="M33" s="59"/>
      <c r="N33" s="59">
        <v>1</v>
      </c>
      <c r="O33" s="59"/>
      <c r="P33" s="59">
        <v>0.93574000000000002</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1.00032E-2</v>
      </c>
      <c r="G35" s="236"/>
      <c r="H35" s="236">
        <v>1.40032E-2</v>
      </c>
      <c r="I35" s="236"/>
      <c r="J35" s="236">
        <v>1.70032E-2</v>
      </c>
      <c r="K35" s="236"/>
      <c r="L35" s="236">
        <v>2.0003199999999999E-2</v>
      </c>
      <c r="M35" s="236"/>
      <c r="N35" s="236">
        <v>3.0003200000000001E-2</v>
      </c>
      <c r="O35" s="236"/>
      <c r="P35" s="236">
        <v>4.0503200000000003E-2</v>
      </c>
      <c r="Q35" s="236"/>
      <c r="R35" s="236">
        <v>4.0503200000000003E-2</v>
      </c>
      <c r="S35" s="67"/>
      <c r="T35" s="67" t="s">
        <v>83</v>
      </c>
      <c r="U35" s="67"/>
      <c r="V35" s="67" t="s">
        <v>83</v>
      </c>
      <c r="W35" s="67"/>
      <c r="X35" s="67" t="s">
        <v>83</v>
      </c>
      <c r="Y35" s="67" t="s">
        <v>83</v>
      </c>
      <c r="Z35" s="67"/>
      <c r="AA35" s="40"/>
      <c r="AB35" s="66">
        <f>SUMPRODUCT(D35:N35,D30:N30)/AB30</f>
        <v>1.1199329330428609E-2</v>
      </c>
      <c r="AC35" s="43"/>
      <c r="AD35" s="22"/>
    </row>
    <row r="36" spans="1:30" s="23" customFormat="1" x14ac:dyDescent="0.35">
      <c r="A36" s="47"/>
      <c r="B36" s="40" t="s">
        <v>10</v>
      </c>
      <c r="C36" s="68"/>
      <c r="D36" s="236"/>
      <c r="E36" s="236"/>
      <c r="F36" s="236">
        <v>9.9895000000000001E-3</v>
      </c>
      <c r="G36" s="236"/>
      <c r="H36" s="236">
        <v>1.39895E-2</v>
      </c>
      <c r="I36" s="236"/>
      <c r="J36" s="236">
        <v>1.6989500000000001E-2</v>
      </c>
      <c r="K36" s="236"/>
      <c r="L36" s="236">
        <v>1.99895E-2</v>
      </c>
      <c r="M36" s="236"/>
      <c r="N36" s="236">
        <v>2.9989499999999999E-2</v>
      </c>
      <c r="O36" s="236"/>
      <c r="P36" s="236">
        <v>4.0489499999999998E-2</v>
      </c>
      <c r="Q36" s="236"/>
      <c r="R36" s="236">
        <v>4.0489499999999998E-2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0.15984336324314014</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44454</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44270</v>
      </c>
      <c r="AA47" s="76"/>
      <c r="AB47" s="75">
        <v>44361</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44362</v>
      </c>
      <c r="AA48" s="76"/>
      <c r="AB48" s="75">
        <v>44453</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44453</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345</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710761</v>
      </c>
      <c r="S57" s="234"/>
      <c r="T57" s="233">
        <f>382+19</f>
        <v>401</v>
      </c>
      <c r="U57" s="234"/>
      <c r="V57" s="234">
        <v>4620</v>
      </c>
      <c r="W57" s="234"/>
      <c r="X57" s="234">
        <v>55</v>
      </c>
      <c r="Y57" s="234"/>
      <c r="Z57" s="234">
        <v>0</v>
      </c>
      <c r="AA57" s="234"/>
      <c r="AB57" s="233">
        <f>R57-T57-V57+X57-Z57</f>
        <v>705795</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710761</v>
      </c>
      <c r="S60" s="234"/>
      <c r="T60" s="234">
        <f>T57+T58</f>
        <v>401</v>
      </c>
      <c r="U60" s="234"/>
      <c r="V60" s="234">
        <f>SUM(V57:V59)</f>
        <v>4620</v>
      </c>
      <c r="W60" s="234"/>
      <c r="X60" s="234">
        <f>SUM(X57:X59)</f>
        <v>55</v>
      </c>
      <c r="Y60" s="234"/>
      <c r="Z60" s="234">
        <f>SUM(Z57:Z59)</f>
        <v>0</v>
      </c>
      <c r="AA60" s="234"/>
      <c r="AB60" s="234">
        <f>SUM(AB57:AB59)</f>
        <v>705795</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3</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706</v>
      </c>
      <c r="S64" s="234"/>
      <c r="T64" s="234"/>
      <c r="U64" s="234"/>
      <c r="V64" s="234"/>
      <c r="W64" s="234"/>
      <c r="X64" s="234">
        <f>-X57</f>
        <v>-55</v>
      </c>
      <c r="Y64" s="234"/>
      <c r="Z64" s="234"/>
      <c r="AA64" s="234"/>
      <c r="AB64" s="234">
        <f>+R64+X64</f>
        <v>651</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711471</v>
      </c>
      <c r="S66" s="234"/>
      <c r="T66" s="234"/>
      <c r="U66" s="234"/>
      <c r="V66" s="234"/>
      <c r="W66" s="234"/>
      <c r="X66" s="234"/>
      <c r="Y66" s="234"/>
      <c r="Z66" s="234"/>
      <c r="AA66" s="234"/>
      <c r="AB66" s="234">
        <f>SUM(AB60:AB65)</f>
        <v>706449</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44439</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55</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-55</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5020</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6329+171-392-20</f>
        <v>6088</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193</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0</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30</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0</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5024</v>
      </c>
      <c r="AA83" s="40"/>
      <c r="AB83" s="96">
        <f>SUM(AB70:AB82)</f>
        <v>6311</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5024</v>
      </c>
      <c r="AA86" s="40"/>
      <c r="AB86" s="96">
        <f>AB83+AB84+AB85</f>
        <v>6311</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-358-1-9</f>
        <v>-368</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80</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-1547</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-140</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-93</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-91</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-136</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-106</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-30</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-12-62</f>
        <v>-74</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-3776</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-5022</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-5022</v>
      </c>
      <c r="AA128" s="96"/>
      <c r="AB128" s="96">
        <f>SUM(AB87:AB126)</f>
        <v>-6311</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3</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AUGUST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21'!AB144</f>
        <v>9837.14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-30</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9807.14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21'!AB157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21'!AB163</f>
        <v>706</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-55</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651</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f>-AB186</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300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21'!AB212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21'!Y219</f>
        <v>0</v>
      </c>
      <c r="Z217" s="97">
        <f>+'May 21'!Z219</f>
        <v>345</v>
      </c>
      <c r="AA217" s="40"/>
      <c r="AB217" s="97">
        <f>Y217+Z217</f>
        <v>345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55</v>
      </c>
      <c r="AA218" s="40"/>
      <c r="AB218" s="97">
        <f>Y218+Z218</f>
        <v>55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400</v>
      </c>
      <c r="AA219" s="40"/>
      <c r="AB219" s="97">
        <f>Y219+Z219</f>
        <v>400</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116953.76000000001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715000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705795</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9205</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3.8920491273432449</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3.68</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31.957142857142856</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29.81</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46.602150537634408</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43.44</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46.604395604395606</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43.28</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30.514705882352942</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28.34</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AUGUST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44439</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3.4470000000000001E-2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1.1199329330428609E-2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2.3270670669571392E-2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8.9827976122709152E-3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20.54</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7.0572096403086005E-3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2.4299999999999999E-2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21'!Z273</f>
        <v>2</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3742</v>
      </c>
      <c r="Y286" s="189">
        <f>X286/$X$295</f>
        <v>1</v>
      </c>
      <c r="Z286" s="106">
        <f t="shared" ref="Z286:Z293" si="1">+Z298+Z310+Z332</f>
        <v>705795</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3742</v>
      </c>
      <c r="Y295" s="195">
        <f>SUM(Y286:Y294)</f>
        <v>1</v>
      </c>
      <c r="Z295" s="97">
        <f>SUM(Z286:Z294)</f>
        <v>705795</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3742</v>
      </c>
      <c r="Y298" s="189">
        <f>X298/$X$307</f>
        <v>1</v>
      </c>
      <c r="Z298" s="106">
        <v>705795</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3742</v>
      </c>
      <c r="Y307" s="195">
        <f>SUM(Y298:Y306)</f>
        <v>1</v>
      </c>
      <c r="Z307" s="97">
        <f>SUM(Z298:Z306)</f>
        <v>705795</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237" t="s">
        <v>275</v>
      </c>
      <c r="B343" s="238" t="s">
        <v>276</v>
      </c>
      <c r="C343" s="239"/>
      <c r="D343" s="239"/>
      <c r="E343" s="239"/>
      <c r="F343" s="239"/>
      <c r="G343" s="239"/>
      <c r="H343" s="240"/>
      <c r="I343" s="240"/>
      <c r="J343" s="240"/>
      <c r="K343" s="240"/>
      <c r="L343" s="240"/>
      <c r="M343" s="240"/>
      <c r="N343" s="240"/>
      <c r="O343" s="240"/>
      <c r="P343" s="241"/>
      <c r="Q343" s="241"/>
      <c r="R343" s="241"/>
      <c r="S343" s="241"/>
      <c r="T343" s="241"/>
      <c r="U343" s="241"/>
      <c r="V343" s="241"/>
      <c r="W343" s="241"/>
      <c r="X343" s="257" t="s">
        <v>69</v>
      </c>
      <c r="Y343" s="258" t="s">
        <v>70</v>
      </c>
      <c r="Z343" s="257" t="s">
        <v>75</v>
      </c>
      <c r="AA343" s="258" t="s">
        <v>70</v>
      </c>
      <c r="AB343" s="277" t="s">
        <v>304</v>
      </c>
      <c r="AC343" s="279"/>
      <c r="AD343" s="22"/>
    </row>
    <row r="344" spans="1:30" s="23" customFormat="1" x14ac:dyDescent="0.35">
      <c r="A344" s="242"/>
      <c r="B344" s="243" t="s">
        <v>59</v>
      </c>
      <c r="C344" s="244"/>
      <c r="D344" s="244"/>
      <c r="E344" s="244"/>
      <c r="F344" s="244"/>
      <c r="G344" s="244"/>
      <c r="H344" s="245"/>
      <c r="I344" s="245"/>
      <c r="J344" s="245"/>
      <c r="K344" s="245"/>
      <c r="L344" s="245"/>
      <c r="M344" s="245"/>
      <c r="N344" s="245"/>
      <c r="O344" s="245"/>
      <c r="P344" s="246"/>
      <c r="Q344" s="264"/>
      <c r="R344" s="264"/>
      <c r="S344" s="264"/>
      <c r="T344" s="264"/>
      <c r="U344" s="264"/>
      <c r="V344" s="264"/>
      <c r="W344" s="264"/>
      <c r="X344" s="259">
        <v>0</v>
      </c>
      <c r="Y344" s="260">
        <v>0</v>
      </c>
      <c r="Z344" s="212">
        <v>0</v>
      </c>
      <c r="AA344" s="260">
        <v>0</v>
      </c>
      <c r="AB344" s="276"/>
      <c r="AC344" s="278"/>
      <c r="AD344" s="22"/>
    </row>
    <row r="345" spans="1:30" s="23" customFormat="1" x14ac:dyDescent="0.35">
      <c r="A345" s="247"/>
      <c r="B345" s="248" t="s">
        <v>60</v>
      </c>
      <c r="C345" s="249"/>
      <c r="D345" s="249"/>
      <c r="E345" s="249"/>
      <c r="F345" s="249"/>
      <c r="G345" s="249"/>
      <c r="H345" s="250"/>
      <c r="I345" s="250"/>
      <c r="J345" s="250"/>
      <c r="K345" s="250"/>
      <c r="L345" s="250"/>
      <c r="M345" s="250"/>
      <c r="N345" s="250"/>
      <c r="O345" s="250"/>
      <c r="P345" s="251"/>
      <c r="Q345" s="201"/>
      <c r="R345" s="201"/>
      <c r="S345" s="201"/>
      <c r="T345" s="201"/>
      <c r="U345" s="201"/>
      <c r="V345" s="201"/>
      <c r="W345" s="201"/>
      <c r="X345" s="261">
        <v>0</v>
      </c>
      <c r="Y345" s="262">
        <v>0</v>
      </c>
      <c r="Z345" s="97">
        <v>0</v>
      </c>
      <c r="AA345" s="263">
        <v>0</v>
      </c>
      <c r="AB345" s="40"/>
      <c r="AC345" s="43"/>
      <c r="AD345" s="22"/>
    </row>
    <row r="346" spans="1:30" s="23" customFormat="1" x14ac:dyDescent="0.35">
      <c r="A346" s="247"/>
      <c r="B346" s="248" t="s">
        <v>61</v>
      </c>
      <c r="C346" s="249"/>
      <c r="D346" s="249"/>
      <c r="E346" s="249"/>
      <c r="F346" s="249"/>
      <c r="G346" s="249"/>
      <c r="H346" s="250"/>
      <c r="I346" s="250"/>
      <c r="J346" s="250"/>
      <c r="K346" s="250"/>
      <c r="L346" s="250"/>
      <c r="M346" s="250"/>
      <c r="N346" s="250"/>
      <c r="O346" s="250"/>
      <c r="P346" s="251"/>
      <c r="Q346" s="201"/>
      <c r="R346" s="201"/>
      <c r="S346" s="201"/>
      <c r="T346" s="201"/>
      <c r="U346" s="201"/>
      <c r="V346" s="201"/>
      <c r="W346" s="201"/>
      <c r="X346" s="261">
        <v>0</v>
      </c>
      <c r="Y346" s="262">
        <v>0</v>
      </c>
      <c r="Z346" s="97">
        <v>0</v>
      </c>
      <c r="AA346" s="263">
        <v>0</v>
      </c>
      <c r="AB346" s="40"/>
      <c r="AC346" s="43"/>
      <c r="AD346" s="22"/>
    </row>
    <row r="347" spans="1:30" s="23" customFormat="1" x14ac:dyDescent="0.35">
      <c r="A347" s="247"/>
      <c r="B347" s="248" t="s">
        <v>100</v>
      </c>
      <c r="C347" s="249"/>
      <c r="D347" s="249"/>
      <c r="E347" s="249"/>
      <c r="F347" s="249"/>
      <c r="G347" s="249"/>
      <c r="H347" s="250"/>
      <c r="I347" s="250"/>
      <c r="J347" s="250"/>
      <c r="K347" s="250"/>
      <c r="L347" s="250"/>
      <c r="M347" s="250"/>
      <c r="N347" s="250"/>
      <c r="O347" s="250"/>
      <c r="P347" s="251"/>
      <c r="Q347" s="201"/>
      <c r="R347" s="201"/>
      <c r="S347" s="201"/>
      <c r="T347" s="201"/>
      <c r="U347" s="201"/>
      <c r="V347" s="201"/>
      <c r="W347" s="201"/>
      <c r="X347" s="261">
        <v>0</v>
      </c>
      <c r="Y347" s="262">
        <v>0</v>
      </c>
      <c r="Z347" s="97">
        <v>0</v>
      </c>
      <c r="AA347" s="263">
        <v>0</v>
      </c>
      <c r="AB347" s="40"/>
      <c r="AC347" s="43"/>
      <c r="AD347" s="22"/>
    </row>
    <row r="348" spans="1:30" s="23" customFormat="1" x14ac:dyDescent="0.35">
      <c r="A348" s="247"/>
      <c r="B348" s="248" t="s">
        <v>101</v>
      </c>
      <c r="C348" s="249"/>
      <c r="D348" s="249"/>
      <c r="E348" s="249"/>
      <c r="F348" s="249"/>
      <c r="G348" s="249"/>
      <c r="H348" s="250"/>
      <c r="I348" s="250"/>
      <c r="J348" s="250"/>
      <c r="K348" s="250"/>
      <c r="L348" s="250"/>
      <c r="M348" s="250"/>
      <c r="N348" s="250"/>
      <c r="O348" s="250"/>
      <c r="P348" s="251"/>
      <c r="Q348" s="201"/>
      <c r="R348" s="201"/>
      <c r="S348" s="201"/>
      <c r="T348" s="201"/>
      <c r="U348" s="201"/>
      <c r="V348" s="201"/>
      <c r="W348" s="201"/>
      <c r="X348" s="261">
        <v>0</v>
      </c>
      <c r="Y348" s="262">
        <v>0</v>
      </c>
      <c r="Z348" s="97">
        <v>0</v>
      </c>
      <c r="AA348" s="263">
        <v>0</v>
      </c>
      <c r="AB348" s="40"/>
      <c r="AC348" s="43"/>
      <c r="AD348" s="22"/>
    </row>
    <row r="349" spans="1:30" s="23" customFormat="1" x14ac:dyDescent="0.35">
      <c r="A349" s="247"/>
      <c r="B349" s="248" t="s">
        <v>102</v>
      </c>
      <c r="C349" s="249"/>
      <c r="D349" s="249"/>
      <c r="E349" s="249"/>
      <c r="F349" s="249"/>
      <c r="G349" s="249"/>
      <c r="H349" s="250"/>
      <c r="I349" s="250"/>
      <c r="J349" s="250"/>
      <c r="K349" s="250"/>
      <c r="L349" s="250"/>
      <c r="M349" s="250"/>
      <c r="N349" s="250"/>
      <c r="O349" s="250"/>
      <c r="P349" s="251"/>
      <c r="Q349" s="201"/>
      <c r="R349" s="201"/>
      <c r="S349" s="201"/>
      <c r="T349" s="201"/>
      <c r="U349" s="201"/>
      <c r="V349" s="201"/>
      <c r="W349" s="201"/>
      <c r="X349" s="261">
        <v>0</v>
      </c>
      <c r="Y349" s="262">
        <v>0</v>
      </c>
      <c r="Z349" s="97">
        <v>0</v>
      </c>
      <c r="AA349" s="263">
        <v>0</v>
      </c>
      <c r="AB349" s="40"/>
      <c r="AC349" s="43"/>
      <c r="AD349" s="22"/>
    </row>
    <row r="350" spans="1:30" s="23" customFormat="1" x14ac:dyDescent="0.35">
      <c r="A350" s="247"/>
      <c r="B350" s="248" t="s">
        <v>103</v>
      </c>
      <c r="C350" s="249"/>
      <c r="D350" s="249"/>
      <c r="E350" s="249"/>
      <c r="F350" s="249"/>
      <c r="G350" s="249"/>
      <c r="H350" s="250"/>
      <c r="I350" s="250"/>
      <c r="J350" s="250"/>
      <c r="K350" s="250"/>
      <c r="L350" s="250"/>
      <c r="M350" s="250"/>
      <c r="N350" s="250"/>
      <c r="O350" s="250"/>
      <c r="P350" s="251"/>
      <c r="Q350" s="201"/>
      <c r="R350" s="201"/>
      <c r="S350" s="201"/>
      <c r="T350" s="201"/>
      <c r="U350" s="201"/>
      <c r="V350" s="201"/>
      <c r="W350" s="201"/>
      <c r="X350" s="261">
        <v>0</v>
      </c>
      <c r="Y350" s="262">
        <v>0</v>
      </c>
      <c r="Z350" s="97">
        <v>0</v>
      </c>
      <c r="AA350" s="263">
        <v>0</v>
      </c>
      <c r="AB350" s="40"/>
      <c r="AC350" s="43"/>
      <c r="AD350" s="22"/>
    </row>
    <row r="351" spans="1:30" s="23" customFormat="1" x14ac:dyDescent="0.35">
      <c r="A351" s="247"/>
      <c r="B351" s="248" t="s">
        <v>104</v>
      </c>
      <c r="C351" s="249"/>
      <c r="D351" s="249"/>
      <c r="E351" s="249"/>
      <c r="F351" s="249"/>
      <c r="G351" s="249"/>
      <c r="H351" s="250"/>
      <c r="I351" s="250"/>
      <c r="J351" s="250"/>
      <c r="K351" s="250"/>
      <c r="L351" s="250"/>
      <c r="M351" s="250"/>
      <c r="N351" s="250"/>
      <c r="O351" s="250"/>
      <c r="P351" s="251"/>
      <c r="Q351" s="201"/>
      <c r="R351" s="201"/>
      <c r="S351" s="201"/>
      <c r="T351" s="201"/>
      <c r="U351" s="201"/>
      <c r="V351" s="201"/>
      <c r="W351" s="201"/>
      <c r="X351" s="261">
        <v>0</v>
      </c>
      <c r="Y351" s="260">
        <v>0</v>
      </c>
      <c r="Z351" s="97">
        <v>0</v>
      </c>
      <c r="AA351" s="263">
        <v>0</v>
      </c>
      <c r="AB351" s="40"/>
      <c r="AC351" s="43"/>
      <c r="AD351" s="22"/>
    </row>
    <row r="352" spans="1:30" s="23" customFormat="1" x14ac:dyDescent="0.35">
      <c r="A352" s="247"/>
      <c r="B352" s="248"/>
      <c r="C352" s="249"/>
      <c r="D352" s="249"/>
      <c r="E352" s="249"/>
      <c r="F352" s="249"/>
      <c r="G352" s="249"/>
      <c r="H352" s="250"/>
      <c r="I352" s="250"/>
      <c r="J352" s="250"/>
      <c r="K352" s="250"/>
      <c r="L352" s="250"/>
      <c r="M352" s="250"/>
      <c r="N352" s="250"/>
      <c r="O352" s="250"/>
      <c r="P352" s="251"/>
      <c r="Q352" s="201"/>
      <c r="R352" s="201"/>
      <c r="S352" s="201"/>
      <c r="T352" s="201"/>
      <c r="U352" s="201"/>
      <c r="V352" s="201"/>
      <c r="W352" s="201"/>
      <c r="X352" s="261"/>
      <c r="Y352" s="263"/>
      <c r="Z352" s="97"/>
      <c r="AA352" s="263"/>
      <c r="AB352" s="40"/>
      <c r="AC352" s="43"/>
      <c r="AD352" s="22"/>
    </row>
    <row r="353" spans="1:30" s="23" customFormat="1" x14ac:dyDescent="0.35">
      <c r="A353" s="247"/>
      <c r="B353" s="249" t="s">
        <v>80</v>
      </c>
      <c r="C353" s="249"/>
      <c r="D353" s="249"/>
      <c r="E353" s="249"/>
      <c r="F353" s="249"/>
      <c r="G353" s="249"/>
      <c r="H353" s="250"/>
      <c r="I353" s="250"/>
      <c r="J353" s="250"/>
      <c r="K353" s="250"/>
      <c r="L353" s="250"/>
      <c r="M353" s="250"/>
      <c r="N353" s="250"/>
      <c r="O353" s="250"/>
      <c r="P353" s="251"/>
      <c r="Q353" s="201"/>
      <c r="R353" s="201"/>
      <c r="S353" s="201"/>
      <c r="T353" s="201"/>
      <c r="U353" s="201"/>
      <c r="V353" s="201"/>
      <c r="W353" s="201"/>
      <c r="X353" s="261">
        <f>SUM(X344:X351)</f>
        <v>0</v>
      </c>
      <c r="Y353" s="263">
        <f>SUM(Y344:Y351)</f>
        <v>0</v>
      </c>
      <c r="Z353" s="97">
        <f>SUM(Z344:Z351)</f>
        <v>0</v>
      </c>
      <c r="AA353" s="263">
        <f>SUM(AA344:AA351)</f>
        <v>0</v>
      </c>
      <c r="AB353" s="40"/>
      <c r="AC353" s="43"/>
      <c r="AD353" s="22"/>
    </row>
    <row r="354" spans="1:30" s="23" customFormat="1" ht="16" thickBot="1" x14ac:dyDescent="0.4">
      <c r="A354" s="247"/>
      <c r="B354" s="249" t="s">
        <v>287</v>
      </c>
      <c r="C354" s="249"/>
      <c r="D354" s="249"/>
      <c r="E354" s="249"/>
      <c r="F354" s="249"/>
      <c r="G354" s="249"/>
      <c r="H354" s="250"/>
      <c r="I354" s="250"/>
      <c r="J354" s="250"/>
      <c r="K354" s="250"/>
      <c r="L354" s="250"/>
      <c r="M354" s="250"/>
      <c r="N354" s="250"/>
      <c r="O354" s="250"/>
      <c r="P354" s="251"/>
      <c r="Q354" s="201"/>
      <c r="R354" s="201"/>
      <c r="S354" s="201"/>
      <c r="T354" s="201"/>
      <c r="U354" s="201"/>
      <c r="V354" s="201"/>
      <c r="W354" s="201"/>
      <c r="X354" s="280"/>
      <c r="Y354" s="280">
        <f>+X353/X358</f>
        <v>0</v>
      </c>
      <c r="Z354" s="281"/>
      <c r="AA354" s="280">
        <f>+Z353/Z358</f>
        <v>0</v>
      </c>
      <c r="AB354" s="282"/>
      <c r="AC354" s="43"/>
      <c r="AD354" s="22"/>
    </row>
    <row r="355" spans="1:30" s="23" customFormat="1" ht="16" thickTop="1" x14ac:dyDescent="0.35">
      <c r="A355" s="247"/>
      <c r="B355" s="249" t="s">
        <v>305</v>
      </c>
      <c r="C355" s="249"/>
      <c r="D355" s="249"/>
      <c r="E355" s="249"/>
      <c r="F355" s="249"/>
      <c r="G355" s="249"/>
      <c r="H355" s="250"/>
      <c r="I355" s="250"/>
      <c r="J355" s="250"/>
      <c r="K355" s="250"/>
      <c r="L355" s="250"/>
      <c r="M355" s="250"/>
      <c r="N355" s="250"/>
      <c r="O355" s="250"/>
      <c r="P355" s="251"/>
      <c r="Q355" s="201"/>
      <c r="R355" s="201"/>
      <c r="S355" s="201"/>
      <c r="T355" s="201"/>
      <c r="U355" s="201"/>
      <c r="V355" s="201"/>
      <c r="W355" s="201"/>
      <c r="X355" s="285">
        <v>0</v>
      </c>
      <c r="Y355" s="286">
        <v>0</v>
      </c>
      <c r="Z355" s="287">
        <v>0</v>
      </c>
      <c r="AA355" s="286">
        <v>0</v>
      </c>
      <c r="AB355" s="288">
        <v>0</v>
      </c>
      <c r="AC355" s="43"/>
      <c r="AD355" s="22"/>
    </row>
    <row r="356" spans="1:30" s="23" customFormat="1" ht="16" thickBot="1" x14ac:dyDescent="0.4">
      <c r="A356" s="247"/>
      <c r="B356" s="249" t="s">
        <v>306</v>
      </c>
      <c r="C356" s="249"/>
      <c r="D356" s="249"/>
      <c r="E356" s="249"/>
      <c r="F356" s="249"/>
      <c r="G356" s="249"/>
      <c r="H356" s="250"/>
      <c r="I356" s="250"/>
      <c r="J356" s="250"/>
      <c r="K356" s="250"/>
      <c r="L356" s="250"/>
      <c r="M356" s="250"/>
      <c r="N356" s="250"/>
      <c r="O356" s="250"/>
      <c r="P356" s="251"/>
      <c r="Q356" s="201"/>
      <c r="R356" s="201"/>
      <c r="S356" s="201"/>
      <c r="T356" s="201"/>
      <c r="U356" s="201"/>
      <c r="V356" s="201"/>
      <c r="W356" s="201"/>
      <c r="X356" s="289">
        <v>0</v>
      </c>
      <c r="Y356" s="290">
        <v>0</v>
      </c>
      <c r="Z356" s="291">
        <v>0</v>
      </c>
      <c r="AA356" s="290">
        <v>0</v>
      </c>
      <c r="AB356" s="292">
        <v>0</v>
      </c>
      <c r="AC356" s="43"/>
      <c r="AD356" s="22"/>
    </row>
    <row r="357" spans="1:30" s="23" customFormat="1" ht="16" thickTop="1" x14ac:dyDescent="0.35">
      <c r="A357" s="247"/>
      <c r="B357" s="249"/>
      <c r="C357" s="249"/>
      <c r="D357" s="249"/>
      <c r="E357" s="249"/>
      <c r="F357" s="249"/>
      <c r="G357" s="249"/>
      <c r="H357" s="250"/>
      <c r="I357" s="250"/>
      <c r="J357" s="250"/>
      <c r="K357" s="250"/>
      <c r="L357" s="250"/>
      <c r="M357" s="250"/>
      <c r="N357" s="250"/>
      <c r="O357" s="250"/>
      <c r="P357" s="251"/>
      <c r="Q357" s="201"/>
      <c r="R357" s="201"/>
      <c r="S357" s="201"/>
      <c r="T357" s="201"/>
      <c r="U357" s="201"/>
      <c r="V357" s="201"/>
      <c r="W357" s="201"/>
      <c r="X357" s="283"/>
      <c r="Y357" s="199"/>
      <c r="Z357" s="284"/>
      <c r="AA357" s="199"/>
      <c r="AB357" s="276"/>
      <c r="AC357" s="43"/>
      <c r="AD357" s="22"/>
    </row>
    <row r="358" spans="1:30" s="23" customFormat="1" x14ac:dyDescent="0.35">
      <c r="A358" s="47"/>
      <c r="B358" s="44" t="s">
        <v>138</v>
      </c>
      <c r="C358" s="40"/>
      <c r="D358" s="201"/>
      <c r="E358" s="201"/>
      <c r="F358" s="201"/>
      <c r="G358" s="201"/>
      <c r="H358" s="201"/>
      <c r="I358" s="201"/>
      <c r="J358" s="201"/>
      <c r="K358" s="201"/>
      <c r="L358" s="201"/>
      <c r="M358" s="201"/>
      <c r="N358" s="201"/>
      <c r="O358" s="201"/>
      <c r="P358" s="201"/>
      <c r="Q358" s="201"/>
      <c r="R358" s="201"/>
      <c r="S358" s="201"/>
      <c r="T358" s="201"/>
      <c r="U358" s="201"/>
      <c r="V358" s="201"/>
      <c r="W358" s="201"/>
      <c r="X358" s="207">
        <f>X341+X319+X307</f>
        <v>3742</v>
      </c>
      <c r="Y358" s="195"/>
      <c r="Z358" s="208">
        <f>+Z341+Z319+Z307</f>
        <v>705795</v>
      </c>
      <c r="AA358" s="195"/>
      <c r="AB358" s="40"/>
      <c r="AC358" s="43"/>
      <c r="AD358" s="22"/>
    </row>
    <row r="359" spans="1:30" s="23" customFormat="1" x14ac:dyDescent="0.35">
      <c r="A359" s="47"/>
      <c r="B359" s="44" t="s">
        <v>273</v>
      </c>
      <c r="C359" s="44"/>
      <c r="D359" s="209"/>
      <c r="E359" s="209"/>
      <c r="F359" s="209"/>
      <c r="G359" s="209"/>
      <c r="H359" s="209"/>
      <c r="I359" s="209"/>
      <c r="J359" s="209"/>
      <c r="K359" s="209"/>
      <c r="L359" s="209"/>
      <c r="M359" s="209"/>
      <c r="N359" s="209"/>
      <c r="O359" s="209"/>
      <c r="P359" s="209"/>
      <c r="Q359" s="209"/>
      <c r="R359" s="209"/>
      <c r="S359" s="209"/>
      <c r="T359" s="209"/>
      <c r="U359" s="209"/>
      <c r="V359" s="209"/>
      <c r="W359" s="209"/>
      <c r="X359" s="207"/>
      <c r="Y359" s="210"/>
      <c r="Z359" s="208">
        <f>+AB64+AB63</f>
        <v>654</v>
      </c>
      <c r="AA359" s="195"/>
      <c r="AB359" s="40"/>
      <c r="AC359" s="43"/>
      <c r="AD359" s="22"/>
    </row>
    <row r="360" spans="1:30" s="23" customFormat="1" x14ac:dyDescent="0.35">
      <c r="A360" s="47"/>
      <c r="B360" s="44" t="s">
        <v>107</v>
      </c>
      <c r="C360" s="44"/>
      <c r="D360" s="209"/>
      <c r="E360" s="209"/>
      <c r="F360" s="209"/>
      <c r="G360" s="209"/>
      <c r="H360" s="209"/>
      <c r="I360" s="209"/>
      <c r="J360" s="209"/>
      <c r="K360" s="209"/>
      <c r="L360" s="209"/>
      <c r="M360" s="209"/>
      <c r="N360" s="209"/>
      <c r="O360" s="209"/>
      <c r="P360" s="209"/>
      <c r="Q360" s="209"/>
      <c r="R360" s="209"/>
      <c r="S360" s="209"/>
      <c r="T360" s="209"/>
      <c r="U360" s="209"/>
      <c r="V360" s="209"/>
      <c r="W360" s="209"/>
      <c r="X360" s="207"/>
      <c r="Y360" s="210"/>
      <c r="Z360" s="208">
        <f>+Z358+Z359</f>
        <v>706449</v>
      </c>
      <c r="AA360" s="195"/>
      <c r="AB360" s="40"/>
      <c r="AC360" s="43"/>
      <c r="AD360" s="22"/>
    </row>
    <row r="361" spans="1:30" s="23" customFormat="1" x14ac:dyDescent="0.35">
      <c r="A361" s="47"/>
      <c r="B361" s="44" t="s">
        <v>240</v>
      </c>
      <c r="C361" s="40"/>
      <c r="D361" s="201"/>
      <c r="E361" s="201"/>
      <c r="F361" s="201"/>
      <c r="G361" s="201"/>
      <c r="H361" s="201"/>
      <c r="I361" s="201"/>
      <c r="J361" s="201"/>
      <c r="K361" s="201"/>
      <c r="L361" s="201"/>
      <c r="M361" s="201"/>
      <c r="N361" s="201"/>
      <c r="O361" s="201"/>
      <c r="P361" s="201"/>
      <c r="Q361" s="201"/>
      <c r="R361" s="201"/>
      <c r="S361" s="201"/>
      <c r="T361" s="201"/>
      <c r="U361" s="201"/>
      <c r="V361" s="201"/>
      <c r="W361" s="201"/>
      <c r="X361" s="207"/>
      <c r="Y361" s="195"/>
      <c r="Z361" s="208">
        <f>+AB66</f>
        <v>706449</v>
      </c>
      <c r="AA361" s="195"/>
      <c r="AB361" s="40"/>
      <c r="AC361" s="43"/>
      <c r="AD361" s="22"/>
    </row>
    <row r="362" spans="1:30" s="23" customFormat="1" x14ac:dyDescent="0.35">
      <c r="A362" s="47"/>
      <c r="B362" s="44"/>
      <c r="C362" s="40"/>
      <c r="D362" s="201"/>
      <c r="E362" s="201"/>
      <c r="F362" s="201"/>
      <c r="G362" s="201"/>
      <c r="H362" s="201"/>
      <c r="I362" s="201"/>
      <c r="J362" s="201"/>
      <c r="K362" s="201"/>
      <c r="L362" s="201"/>
      <c r="M362" s="201"/>
      <c r="N362" s="201"/>
      <c r="O362" s="201"/>
      <c r="P362" s="201"/>
      <c r="Q362" s="201"/>
      <c r="R362" s="201"/>
      <c r="S362" s="201"/>
      <c r="T362" s="201"/>
      <c r="U362" s="201"/>
      <c r="V362" s="201"/>
      <c r="W362" s="201"/>
      <c r="X362" s="207"/>
      <c r="Y362" s="195"/>
      <c r="Z362" s="208"/>
      <c r="AA362" s="195"/>
      <c r="AB362" s="40"/>
      <c r="AC362" s="43"/>
      <c r="AD362" s="22"/>
    </row>
    <row r="363" spans="1:30" s="23" customFormat="1" x14ac:dyDescent="0.35">
      <c r="A363" s="47"/>
      <c r="B363" s="44" t="s">
        <v>299</v>
      </c>
      <c r="C363" s="40"/>
      <c r="D363" s="201"/>
      <c r="E363" s="201"/>
      <c r="F363" s="201"/>
      <c r="G363" s="201"/>
      <c r="H363" s="201"/>
      <c r="I363" s="201"/>
      <c r="J363" s="201"/>
      <c r="K363" s="201"/>
      <c r="L363" s="201"/>
      <c r="M363" s="201"/>
      <c r="N363" s="201"/>
      <c r="O363" s="201"/>
      <c r="P363" s="201"/>
      <c r="Q363" s="201"/>
      <c r="R363" s="201"/>
      <c r="S363" s="201"/>
      <c r="T363" s="201"/>
      <c r="U363" s="201"/>
      <c r="V363" s="201"/>
      <c r="W363" s="201"/>
      <c r="X363" s="207"/>
      <c r="Y363" s="195"/>
      <c r="Z363" s="232">
        <f>(F31+H31+J31+L31+N31)/AB31</f>
        <v>1</v>
      </c>
      <c r="AA363" s="195"/>
      <c r="AB363" s="40"/>
      <c r="AC363" s="43"/>
      <c r="AD363" s="22"/>
    </row>
    <row r="364" spans="1:30" s="23" customFormat="1" x14ac:dyDescent="0.35">
      <c r="A364" s="18"/>
      <c r="B364" s="20"/>
      <c r="C364" s="2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2"/>
      <c r="AA364" s="211"/>
      <c r="AB364" s="20"/>
      <c r="AC364" s="21"/>
      <c r="AD364" s="22"/>
    </row>
    <row r="365" spans="1:30" s="23" customFormat="1" x14ac:dyDescent="0.35">
      <c r="A365" s="18"/>
      <c r="B365" s="19" t="s">
        <v>62</v>
      </c>
      <c r="C365" s="20"/>
      <c r="D365" s="213" t="s">
        <v>66</v>
      </c>
      <c r="E365" s="19"/>
      <c r="F365" s="19" t="s">
        <v>67</v>
      </c>
      <c r="G365" s="20"/>
      <c r="H365" s="19"/>
      <c r="I365" s="20"/>
      <c r="J365" s="20"/>
      <c r="K365" s="20"/>
      <c r="L365" s="20"/>
      <c r="M365" s="20"/>
      <c r="N365" s="20"/>
      <c r="O365" s="20"/>
      <c r="P365" s="20"/>
      <c r="Q365" s="20"/>
      <c r="R365" s="20"/>
      <c r="S365" s="20"/>
      <c r="T365" s="20"/>
      <c r="U365" s="20"/>
      <c r="V365" s="20"/>
      <c r="W365" s="20"/>
      <c r="X365" s="20"/>
      <c r="Y365" s="20"/>
      <c r="Z365" s="20"/>
      <c r="AA365" s="20"/>
      <c r="AB365" s="20"/>
      <c r="AC365" s="21"/>
      <c r="AD365" s="22"/>
    </row>
    <row r="366" spans="1:30" s="23" customFormat="1" x14ac:dyDescent="0.35">
      <c r="A366" s="18"/>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1"/>
      <c r="AD366" s="22"/>
    </row>
    <row r="367" spans="1:30" s="23" customFormat="1" x14ac:dyDescent="0.35">
      <c r="A367" s="18"/>
      <c r="B367" s="19" t="s">
        <v>151</v>
      </c>
      <c r="C367" s="19"/>
      <c r="D367" s="214" t="s">
        <v>122</v>
      </c>
      <c r="E367" s="19"/>
      <c r="F367" s="19" t="s">
        <v>166</v>
      </c>
      <c r="G367" s="19"/>
      <c r="H367" s="19"/>
      <c r="I367" s="20"/>
      <c r="J367" s="20"/>
      <c r="K367" s="20"/>
      <c r="L367" s="20"/>
      <c r="M367" s="20"/>
      <c r="N367" s="20"/>
      <c r="O367" s="20"/>
      <c r="P367" s="20"/>
      <c r="Q367" s="20"/>
      <c r="R367" s="20"/>
      <c r="S367" s="20"/>
      <c r="T367" s="20"/>
      <c r="U367" s="20"/>
      <c r="V367" s="20"/>
      <c r="W367" s="20"/>
      <c r="X367" s="20"/>
      <c r="Y367" s="20"/>
      <c r="Z367" s="20"/>
      <c r="AA367" s="20"/>
      <c r="AB367" s="20"/>
      <c r="AC367" s="21"/>
      <c r="AD367" s="22"/>
    </row>
    <row r="368" spans="1:30" s="23" customFormat="1" x14ac:dyDescent="0.35">
      <c r="A368" s="18"/>
      <c r="B368" s="19" t="s">
        <v>152</v>
      </c>
      <c r="C368" s="19"/>
      <c r="D368" s="214" t="s">
        <v>98</v>
      </c>
      <c r="E368" s="19"/>
      <c r="F368" s="19" t="s">
        <v>167</v>
      </c>
      <c r="G368" s="19"/>
      <c r="H368" s="19"/>
      <c r="I368" s="20"/>
      <c r="J368" s="20"/>
      <c r="K368" s="20"/>
      <c r="L368" s="20"/>
      <c r="M368" s="20"/>
      <c r="N368" s="20"/>
      <c r="O368" s="20"/>
      <c r="P368" s="20"/>
      <c r="Q368" s="20"/>
      <c r="R368" s="20"/>
      <c r="S368" s="20"/>
      <c r="T368" s="20"/>
      <c r="U368" s="20"/>
      <c r="V368" s="20"/>
      <c r="W368" s="20"/>
      <c r="X368" s="20"/>
      <c r="Y368" s="20"/>
      <c r="Z368" s="20"/>
      <c r="AA368" s="20"/>
      <c r="AB368" s="20"/>
      <c r="AC368" s="21"/>
      <c r="AD368" s="22"/>
    </row>
    <row r="369" spans="1:30" s="23" customFormat="1" x14ac:dyDescent="0.35">
      <c r="A369" s="18"/>
      <c r="B369" s="19"/>
      <c r="C369" s="19"/>
      <c r="D369" s="214"/>
      <c r="E369" s="19"/>
      <c r="F369" s="19"/>
      <c r="G369" s="19"/>
      <c r="H369" s="19"/>
      <c r="I369" s="20"/>
      <c r="J369" s="20"/>
      <c r="K369" s="20"/>
      <c r="L369" s="20"/>
      <c r="M369" s="20"/>
      <c r="N369" s="20"/>
      <c r="O369" s="20"/>
      <c r="P369" s="20"/>
      <c r="Q369" s="20"/>
      <c r="R369" s="20"/>
      <c r="S369" s="20"/>
      <c r="T369" s="20"/>
      <c r="U369" s="20"/>
      <c r="V369" s="20"/>
      <c r="W369" s="20"/>
      <c r="X369" s="20"/>
      <c r="Y369" s="20"/>
      <c r="Z369" s="20"/>
      <c r="AA369" s="20"/>
      <c r="AB369" s="20"/>
      <c r="AC369" s="21"/>
      <c r="AD369" s="22"/>
    </row>
    <row r="370" spans="1:30" s="23" customFormat="1" x14ac:dyDescent="0.35">
      <c r="A370" s="18"/>
      <c r="B370" s="252" t="s">
        <v>332</v>
      </c>
      <c r="C370" s="19"/>
      <c r="D370" s="214"/>
      <c r="E370" s="19"/>
      <c r="F370" s="19"/>
      <c r="G370" s="19"/>
      <c r="H370" s="19"/>
      <c r="I370" s="20"/>
      <c r="J370" s="20"/>
      <c r="K370" s="20"/>
      <c r="L370" s="20"/>
      <c r="M370" s="20"/>
      <c r="N370" s="20"/>
      <c r="O370" s="20"/>
      <c r="P370" s="20"/>
      <c r="Q370" s="20"/>
      <c r="R370" s="20"/>
      <c r="S370" s="20"/>
      <c r="T370" s="20"/>
      <c r="U370" s="20"/>
      <c r="V370" s="20"/>
      <c r="W370" s="20"/>
      <c r="X370" s="20"/>
      <c r="Y370" s="20"/>
      <c r="Z370" s="20"/>
      <c r="AA370" s="20"/>
      <c r="AB370" s="20"/>
      <c r="AC370" s="21"/>
      <c r="AD370" s="22"/>
    </row>
    <row r="371" spans="1:30" x14ac:dyDescent="0.35">
      <c r="A371" s="215"/>
      <c r="B371" s="253"/>
      <c r="C371" s="216"/>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8"/>
      <c r="AD371" s="5"/>
    </row>
    <row r="372" spans="1:30" ht="18.5" x14ac:dyDescent="0.45">
      <c r="A372" s="215"/>
      <c r="B372" s="254" t="s">
        <v>109</v>
      </c>
      <c r="C372" s="216"/>
      <c r="D372" s="217"/>
      <c r="E372" s="217"/>
      <c r="F372" s="217"/>
      <c r="G372" s="217"/>
      <c r="H372" s="217"/>
      <c r="I372" s="217"/>
      <c r="J372" s="217"/>
      <c r="K372" s="217"/>
      <c r="L372" s="217"/>
      <c r="M372" s="217"/>
      <c r="N372" s="217"/>
      <c r="O372" s="217"/>
      <c r="P372" s="255" t="s">
        <v>165</v>
      </c>
      <c r="Q372" s="217"/>
      <c r="R372" s="217"/>
      <c r="S372" s="217"/>
      <c r="T372" s="217"/>
      <c r="U372" s="217"/>
      <c r="V372" s="217"/>
      <c r="W372" s="217"/>
      <c r="X372" s="217"/>
      <c r="Y372" s="217"/>
      <c r="Z372" s="217"/>
      <c r="AA372" s="217"/>
      <c r="AB372" s="217"/>
      <c r="AC372" s="218"/>
      <c r="AD372" s="5"/>
    </row>
    <row r="373" spans="1:30" ht="18.5" x14ac:dyDescent="0.45">
      <c r="A373" s="215"/>
      <c r="B373" s="254"/>
      <c r="C373" s="216"/>
      <c r="D373" s="217"/>
      <c r="E373" s="217"/>
      <c r="F373" s="217"/>
      <c r="G373" s="217"/>
      <c r="H373" s="217"/>
      <c r="I373" s="217"/>
      <c r="J373" s="217"/>
      <c r="K373" s="217"/>
      <c r="L373" s="217"/>
      <c r="M373" s="217"/>
      <c r="N373" s="217"/>
      <c r="O373" s="217"/>
      <c r="P373" s="255"/>
      <c r="Q373" s="217"/>
      <c r="R373" s="217"/>
      <c r="S373" s="217"/>
      <c r="T373" s="217"/>
      <c r="U373" s="217"/>
      <c r="V373" s="217"/>
      <c r="W373" s="217"/>
      <c r="X373" s="217"/>
      <c r="Y373" s="217"/>
      <c r="Z373" s="217"/>
      <c r="AA373" s="217"/>
      <c r="AB373" s="217"/>
      <c r="AC373" s="218"/>
      <c r="AD373" s="5"/>
    </row>
    <row r="374" spans="1:30" ht="19" thickBot="1" x14ac:dyDescent="0.5">
      <c r="A374" s="215"/>
      <c r="B374" s="219" t="str">
        <f>B243</f>
        <v>PM28 INVESTOR REPORT QUARTER ENDING AUGUST 2021</v>
      </c>
      <c r="C374" s="216"/>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20"/>
      <c r="AD374" s="5"/>
    </row>
    <row r="375" spans="1:30" x14ac:dyDescent="0.3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row>
    <row r="377" spans="1:30" x14ac:dyDescent="0.35">
      <c r="B377" s="273" t="s">
        <v>277</v>
      </c>
    </row>
    <row r="378" spans="1:30" x14ac:dyDescent="0.35">
      <c r="B378" s="265" t="s">
        <v>278</v>
      </c>
    </row>
    <row r="379" spans="1:30" x14ac:dyDescent="0.35">
      <c r="B379" s="265" t="s">
        <v>279</v>
      </c>
    </row>
    <row r="380" spans="1:30" x14ac:dyDescent="0.35">
      <c r="B380" s="265" t="s">
        <v>280</v>
      </c>
    </row>
    <row r="381" spans="1:30" x14ac:dyDescent="0.35">
      <c r="B381" s="265" t="s">
        <v>281</v>
      </c>
    </row>
    <row r="382" spans="1:30" x14ac:dyDescent="0.35">
      <c r="B382" s="265" t="s">
        <v>282</v>
      </c>
    </row>
    <row r="383" spans="1:30" x14ac:dyDescent="0.35">
      <c r="B383" s="265" t="s">
        <v>283</v>
      </c>
    </row>
    <row r="384" spans="1:30" x14ac:dyDescent="0.35">
      <c r="B384" s="265" t="s">
        <v>284</v>
      </c>
    </row>
    <row r="385" spans="2:19" x14ac:dyDescent="0.35">
      <c r="B385" s="265"/>
    </row>
    <row r="386" spans="2:19" x14ac:dyDescent="0.35">
      <c r="B386" s="273" t="s">
        <v>300</v>
      </c>
    </row>
    <row r="387" spans="2:19" x14ac:dyDescent="0.35">
      <c r="B387" s="265" t="s">
        <v>339</v>
      </c>
    </row>
    <row r="388" spans="2:19" x14ac:dyDescent="0.35">
      <c r="B388" s="265" t="s">
        <v>347</v>
      </c>
    </row>
    <row r="389" spans="2:19" x14ac:dyDescent="0.35">
      <c r="B389" s="265"/>
    </row>
    <row r="390" spans="2:19" x14ac:dyDescent="0.35">
      <c r="B390" s="265" t="s">
        <v>346</v>
      </c>
    </row>
    <row r="391" spans="2:19" x14ac:dyDescent="0.35">
      <c r="B391" s="265"/>
    </row>
    <row r="392" spans="2:19" x14ac:dyDescent="0.35">
      <c r="B392" s="273" t="s">
        <v>285</v>
      </c>
    </row>
    <row r="393" spans="2:19" x14ac:dyDescent="0.35">
      <c r="B393" s="265" t="s">
        <v>286</v>
      </c>
    </row>
    <row r="394" spans="2:19" x14ac:dyDescent="0.35">
      <c r="B394" s="265" t="s">
        <v>330</v>
      </c>
      <c r="C394" s="266"/>
      <c r="D394" s="266"/>
      <c r="E394" s="266"/>
      <c r="F394" s="266"/>
      <c r="G394" s="266"/>
      <c r="H394" s="266"/>
      <c r="I394" s="266"/>
      <c r="J394" s="266"/>
      <c r="K394" s="266"/>
      <c r="L394" s="266"/>
      <c r="M394" s="266"/>
      <c r="N394" s="266"/>
      <c r="O394" s="266"/>
      <c r="P394" s="266"/>
      <c r="Q394" s="266"/>
      <c r="R394" s="266"/>
      <c r="S394" s="266"/>
    </row>
    <row r="395" spans="2:19" x14ac:dyDescent="0.35">
      <c r="B395" s="6" t="s">
        <v>331</v>
      </c>
      <c r="C395" s="266"/>
      <c r="D395" s="266"/>
      <c r="E395" s="266"/>
      <c r="F395" s="266"/>
      <c r="G395" s="266"/>
      <c r="H395" s="266"/>
      <c r="I395" s="266"/>
      <c r="J395" s="266"/>
      <c r="K395" s="266"/>
      <c r="L395" s="266"/>
      <c r="M395" s="266"/>
      <c r="N395" s="266"/>
      <c r="O395" s="266"/>
      <c r="P395" s="266"/>
      <c r="Q395" s="266"/>
      <c r="R395" s="266"/>
      <c r="S395" s="266"/>
    </row>
    <row r="397" spans="2:19" x14ac:dyDescent="0.35">
      <c r="B397" s="273" t="s">
        <v>349</v>
      </c>
    </row>
    <row r="398" spans="2:19" x14ac:dyDescent="0.35">
      <c r="B398" s="265" t="s">
        <v>352</v>
      </c>
    </row>
    <row r="399" spans="2:19" x14ac:dyDescent="0.35">
      <c r="B399" s="305" t="s">
        <v>348</v>
      </c>
    </row>
  </sheetData>
  <hyperlinks>
    <hyperlink ref="K9" r:id="rId1" display="http://www.paragon-group.co.uk" xr:uid="{C6CE827F-A257-4E5E-BB08-B2BFBAC5FC85}"/>
    <hyperlink ref="P372" r:id="rId2" xr:uid="{BAE237FB-733B-4176-81E4-B0A4EB82A061}"/>
    <hyperlink ref="P283" r:id="rId3" xr:uid="{44885512-CD83-4179-8400-1EAC83925AE6}"/>
    <hyperlink ref="B399" r:id="rId4" display="https://investorreporting.paragonbankinggroup.co.uk/bondinvestor_viewer/resources/bondinvestor/pdf/investornews/2021/libor-mortgages-transition-july-19" xr:uid="{FB73A473-E2C4-4EF8-9185-AD4277AA5D6F}"/>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99FA-DE79-4A16-BE4D-D8FC46467D21}">
  <sheetPr>
    <tabColor rgb="FF89CB31"/>
  </sheetPr>
  <dimension ref="A1:JB366"/>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2.3300000000000001E-2</v>
      </c>
      <c r="Z17" s="299" t="s">
        <v>259</v>
      </c>
      <c r="AA17" s="299">
        <v>0.97670000000000001</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44552</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609090.0368</v>
      </c>
      <c r="G30" s="54"/>
      <c r="H30" s="54">
        <f>H29</f>
        <v>39664</v>
      </c>
      <c r="I30" s="54"/>
      <c r="J30" s="54">
        <f>J29</f>
        <v>21635</v>
      </c>
      <c r="K30" s="54"/>
      <c r="L30" s="54">
        <f>L29</f>
        <v>18029</v>
      </c>
      <c r="M30" s="54"/>
      <c r="N30" s="54">
        <f>N29</f>
        <v>18031</v>
      </c>
      <c r="O30" s="54"/>
      <c r="P30" s="54">
        <f>P29*P33</f>
        <v>10401.529919999999</v>
      </c>
      <c r="Q30" s="54"/>
      <c r="R30" s="54">
        <v>0</v>
      </c>
      <c r="S30" s="54"/>
      <c r="T30" s="54" t="s">
        <v>83</v>
      </c>
      <c r="U30" s="54"/>
      <c r="V30" s="54" t="s">
        <v>83</v>
      </c>
      <c r="W30" s="54"/>
      <c r="X30" s="54" t="s">
        <v>83</v>
      </c>
      <c r="Y30" s="54" t="s">
        <v>83</v>
      </c>
      <c r="Z30" s="54"/>
      <c r="AA30" s="49"/>
      <c r="AB30" s="50">
        <f>SUM(F30:N30)</f>
        <v>706449.0368</v>
      </c>
      <c r="AC30" s="51"/>
      <c r="AD30" s="22"/>
    </row>
    <row r="31" spans="1:33" s="23" customFormat="1" x14ac:dyDescent="0.35">
      <c r="A31" s="47"/>
      <c r="B31" s="44" t="s">
        <v>92</v>
      </c>
      <c r="C31" s="49"/>
      <c r="D31" s="56"/>
      <c r="E31" s="56"/>
      <c r="F31" s="56">
        <f>F29*F32</f>
        <v>605596.68960000004</v>
      </c>
      <c r="G31" s="56"/>
      <c r="H31" s="56">
        <f>H29</f>
        <v>39664</v>
      </c>
      <c r="I31" s="56"/>
      <c r="J31" s="56">
        <f>J29</f>
        <v>21635</v>
      </c>
      <c r="K31" s="56"/>
      <c r="L31" s="56">
        <f>L29</f>
        <v>18029</v>
      </c>
      <c r="M31" s="56"/>
      <c r="N31" s="56">
        <f>N29</f>
        <v>18031</v>
      </c>
      <c r="O31" s="56"/>
      <c r="P31" s="56">
        <f>P29*P32</f>
        <v>10326.280919999999</v>
      </c>
      <c r="Q31" s="56"/>
      <c r="R31" s="56">
        <v>0</v>
      </c>
      <c r="S31" s="56"/>
      <c r="T31" s="56" t="s">
        <v>83</v>
      </c>
      <c r="U31" s="56"/>
      <c r="V31" s="56" t="s">
        <v>83</v>
      </c>
      <c r="W31" s="56"/>
      <c r="X31" s="56" t="s">
        <v>83</v>
      </c>
      <c r="Y31" s="56" t="s">
        <v>83</v>
      </c>
      <c r="Z31" s="56"/>
      <c r="AA31" s="49"/>
      <c r="AB31" s="55">
        <f>SUM(F31:N31)</f>
        <v>702955.68960000004</v>
      </c>
      <c r="AC31" s="51"/>
      <c r="AD31" s="22"/>
      <c r="AE31" s="231"/>
    </row>
    <row r="32" spans="1:33" s="64" customFormat="1" x14ac:dyDescent="0.35">
      <c r="A32" s="57"/>
      <c r="B32" s="163" t="s">
        <v>88</v>
      </c>
      <c r="C32" s="60"/>
      <c r="D32" s="59"/>
      <c r="E32" s="59"/>
      <c r="F32" s="59">
        <v>0.9708</v>
      </c>
      <c r="G32" s="59"/>
      <c r="H32" s="59">
        <v>1</v>
      </c>
      <c r="I32" s="59"/>
      <c r="J32" s="59">
        <v>1</v>
      </c>
      <c r="K32" s="59"/>
      <c r="L32" s="59">
        <v>1</v>
      </c>
      <c r="M32" s="59"/>
      <c r="N32" s="59">
        <v>1</v>
      </c>
      <c r="O32" s="59"/>
      <c r="P32" s="59">
        <v>0.92628999999999995</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0.97640000000000005</v>
      </c>
      <c r="G33" s="59"/>
      <c r="H33" s="59">
        <v>1</v>
      </c>
      <c r="I33" s="59"/>
      <c r="J33" s="59">
        <v>1</v>
      </c>
      <c r="K33" s="59"/>
      <c r="L33" s="59">
        <v>1</v>
      </c>
      <c r="M33" s="59"/>
      <c r="N33" s="59">
        <v>1</v>
      </c>
      <c r="O33" s="59"/>
      <c r="P33" s="59">
        <v>0.93303999999999998</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9.9868000000000005E-3</v>
      </c>
      <c r="G35" s="236"/>
      <c r="H35" s="236">
        <v>1.3986800000000001E-2</v>
      </c>
      <c r="I35" s="236"/>
      <c r="J35" s="236">
        <v>1.69868E-2</v>
      </c>
      <c r="K35" s="236"/>
      <c r="L35" s="236">
        <v>1.9986799999999999E-2</v>
      </c>
      <c r="M35" s="236"/>
      <c r="N35" s="236">
        <v>2.9986800000000001E-2</v>
      </c>
      <c r="O35" s="236"/>
      <c r="P35" s="236">
        <v>4.0486800000000003E-2</v>
      </c>
      <c r="Q35" s="236"/>
      <c r="R35" s="236">
        <v>4.0486800000000003E-2</v>
      </c>
      <c r="S35" s="67"/>
      <c r="T35" s="67" t="s">
        <v>83</v>
      </c>
      <c r="U35" s="67"/>
      <c r="V35" s="67" t="s">
        <v>83</v>
      </c>
      <c r="W35" s="67"/>
      <c r="X35" s="67" t="s">
        <v>83</v>
      </c>
      <c r="Y35" s="67" t="s">
        <v>83</v>
      </c>
      <c r="Z35" s="67"/>
      <c r="AA35" s="40"/>
      <c r="AB35" s="66">
        <f>SUMPRODUCT(D35:N35,D30:N30)/AB30</f>
        <v>1.1191431835659118E-2</v>
      </c>
      <c r="AC35" s="43"/>
      <c r="AD35" s="22"/>
    </row>
    <row r="36" spans="1:30" s="23" customFormat="1" x14ac:dyDescent="0.35">
      <c r="A36" s="47"/>
      <c r="B36" s="40" t="s">
        <v>10</v>
      </c>
      <c r="C36" s="68"/>
      <c r="D36" s="236"/>
      <c r="E36" s="236"/>
      <c r="F36" s="236">
        <v>1.00032E-2</v>
      </c>
      <c r="G36" s="236"/>
      <c r="H36" s="236">
        <v>1.40032E-2</v>
      </c>
      <c r="I36" s="236"/>
      <c r="J36" s="236">
        <v>1.70032E-2</v>
      </c>
      <c r="K36" s="236"/>
      <c r="L36" s="236">
        <v>2.0003199999999999E-2</v>
      </c>
      <c r="M36" s="236"/>
      <c r="N36" s="236">
        <v>3.0003200000000001E-2</v>
      </c>
      <c r="O36" s="236"/>
      <c r="P36" s="236">
        <v>4.0503200000000003E-2</v>
      </c>
      <c r="Q36" s="236"/>
      <c r="R36" s="236">
        <v>4.0503200000000003E-2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0.16076540983786777</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44545</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44362</v>
      </c>
      <c r="AA47" s="76"/>
      <c r="AB47" s="75">
        <v>44453</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44454</v>
      </c>
      <c r="AA48" s="76"/>
      <c r="AB48" s="75">
        <v>44544</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44544</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359</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705795</v>
      </c>
      <c r="S57" s="234"/>
      <c r="T57" s="233">
        <f>380+19</f>
        <v>399</v>
      </c>
      <c r="U57" s="234"/>
      <c r="V57" s="234">
        <v>3095</v>
      </c>
      <c r="W57" s="234"/>
      <c r="X57" s="234">
        <v>39</v>
      </c>
      <c r="Y57" s="234"/>
      <c r="Z57" s="234">
        <v>0</v>
      </c>
      <c r="AA57" s="234"/>
      <c r="AB57" s="233">
        <f>R57-T57-V57+X57-Z57</f>
        <v>702340</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705795</v>
      </c>
      <c r="S60" s="234"/>
      <c r="T60" s="234">
        <f>T57+T58</f>
        <v>399</v>
      </c>
      <c r="U60" s="234"/>
      <c r="V60" s="234">
        <f>SUM(V57:V59)</f>
        <v>3095</v>
      </c>
      <c r="W60" s="234"/>
      <c r="X60" s="234">
        <f>SUM(X57:X59)</f>
        <v>39</v>
      </c>
      <c r="Y60" s="234"/>
      <c r="Z60" s="234">
        <f>SUM(Z57:Z59)</f>
        <v>0</v>
      </c>
      <c r="AA60" s="234"/>
      <c r="AB60" s="234">
        <f>SUM(AB57:AB59)</f>
        <v>702340</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3</v>
      </c>
      <c r="S63" s="234"/>
      <c r="T63" s="234">
        <v>0</v>
      </c>
      <c r="U63" s="234"/>
      <c r="V63" s="234">
        <v>1</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651</v>
      </c>
      <c r="S64" s="234"/>
      <c r="T64" s="234"/>
      <c r="U64" s="234"/>
      <c r="V64" s="234"/>
      <c r="W64" s="234"/>
      <c r="X64" s="234">
        <f>-X57</f>
        <v>-39</v>
      </c>
      <c r="Y64" s="234"/>
      <c r="Z64" s="234"/>
      <c r="AA64" s="234"/>
      <c r="AB64" s="234">
        <f>+R64+X64</f>
        <v>612</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706449</v>
      </c>
      <c r="S66" s="234"/>
      <c r="T66" s="234"/>
      <c r="U66" s="234"/>
      <c r="V66" s="234"/>
      <c r="W66" s="234"/>
      <c r="X66" s="234"/>
      <c r="Y66" s="234"/>
      <c r="Z66" s="234"/>
      <c r="AA66" s="234"/>
      <c r="AB66" s="234">
        <f>SUM(AB60:AB65)</f>
        <v>702956</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44530</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3</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39</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-39</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f>
        <v>3494</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6345+187-422-20</f>
        <v>6090</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132+4</f>
        <v>136</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2</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75</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3497</v>
      </c>
      <c r="AA83" s="40"/>
      <c r="AB83" s="96">
        <f>SUM(AB70:AB82)</f>
        <v>6304</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3497</v>
      </c>
      <c r="AA86" s="40"/>
      <c r="AB86" s="96">
        <f>AB83+AB84+AB85</f>
        <v>6304</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-352-2-9</f>
        <v>-363</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76</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-1516</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-138</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-92</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-90</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-1</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0</v>
      </c>
      <c r="AA99" s="111"/>
      <c r="AB99" s="97">
        <v>0</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-700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-21</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-135</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-105</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-75</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-11-62</f>
        <v>-73</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-3064</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-3493</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-3493</v>
      </c>
      <c r="AA128" s="96"/>
      <c r="AB128" s="96">
        <f>SUM(AB87:AB126)</f>
        <v>-6304</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NOVEMBER 2021</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21'!AB144</f>
        <v>9807.14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-75</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9732.14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21'!AB157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21'!AB163</f>
        <v>651</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-39</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612</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0</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0</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0</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21'!AB196</f>
        <v>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3</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21'!AB204</f>
        <v>300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3</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700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997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21'!AB212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21'!Y219</f>
        <v>0</v>
      </c>
      <c r="Z217" s="97">
        <f>+'August 21'!Z219</f>
        <v>400</v>
      </c>
      <c r="AA217" s="40"/>
      <c r="AB217" s="97">
        <f>Y217+Z217</f>
        <v>400</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39</v>
      </c>
      <c r="AA218" s="40"/>
      <c r="AB218" s="97">
        <f>Y218+Z218</f>
        <v>39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439</v>
      </c>
      <c r="AA219" s="40"/>
      <c r="AB219" s="97">
        <f>Y219+Z219</f>
        <v>439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116914.76000000001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711000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702340</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8660</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3.9676781002638521</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3.74</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32.60144927536232</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30.44</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47.402173913043477</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44.34</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47.43333333333333</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44.22</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30.955555555555556</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28.94</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NOVEMBER 2021</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44530</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3.4480542506087369E-2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1.1191431835659118E-2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2.3289110670428249E-2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9.031083630948589E-3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20.29750860134936</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4.9458630417765475E-3</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2.3199999999999998E-2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0</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21'!Z273</f>
        <v>2</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3722</v>
      </c>
      <c r="Y286" s="189">
        <f>X286/$X$295</f>
        <v>1</v>
      </c>
      <c r="Z286" s="106">
        <f t="shared" ref="Z286:Z293" si="1">+Z298+Z310+Z332</f>
        <v>702340</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3722</v>
      </c>
      <c r="Y295" s="195">
        <f>SUM(Y286:Y294)</f>
        <v>1</v>
      </c>
      <c r="Z295" s="97">
        <f>SUM(Z286:Z294)</f>
        <v>702340</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3722</v>
      </c>
      <c r="Y298" s="189">
        <f>X298/$X$307</f>
        <v>1</v>
      </c>
      <c r="Z298" s="106">
        <v>702340</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3722</v>
      </c>
      <c r="Y307" s="195">
        <f>SUM(Y298:Y306)</f>
        <v>1</v>
      </c>
      <c r="Z307" s="97">
        <f>SUM(Z298:Z306)</f>
        <v>702340</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3722</v>
      </c>
      <c r="Y343" s="195"/>
      <c r="Z343" s="208">
        <f>+Z341+Z319+Z307</f>
        <v>702340</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616</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702956</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702956</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NOVEMBER 2021</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285</v>
      </c>
    </row>
    <row r="360" spans="1:30" x14ac:dyDescent="0.35">
      <c r="B360" s="265" t="s">
        <v>286</v>
      </c>
    </row>
    <row r="361" spans="1:30" x14ac:dyDescent="0.35">
      <c r="B361" s="265" t="s">
        <v>330</v>
      </c>
      <c r="C361" s="266"/>
      <c r="D361" s="266"/>
      <c r="E361" s="266"/>
      <c r="F361" s="266"/>
      <c r="G361" s="266"/>
      <c r="H361" s="266"/>
      <c r="I361" s="266"/>
      <c r="J361" s="266"/>
      <c r="K361" s="266"/>
      <c r="L361" s="266"/>
      <c r="M361" s="266"/>
      <c r="N361" s="266"/>
      <c r="O361" s="266"/>
      <c r="P361" s="266"/>
      <c r="Q361" s="266"/>
      <c r="R361" s="266"/>
      <c r="S361" s="266"/>
    </row>
    <row r="362" spans="1:30" x14ac:dyDescent="0.35">
      <c r="B362" s="6" t="s">
        <v>331</v>
      </c>
      <c r="C362" s="266"/>
      <c r="D362" s="266"/>
      <c r="E362" s="266"/>
      <c r="F362" s="266"/>
      <c r="G362" s="266"/>
      <c r="H362" s="266"/>
      <c r="I362" s="266"/>
      <c r="J362" s="266"/>
      <c r="K362" s="266"/>
      <c r="L362" s="266"/>
      <c r="M362" s="266"/>
      <c r="N362" s="266"/>
      <c r="O362" s="266"/>
      <c r="P362" s="266"/>
      <c r="Q362" s="266"/>
      <c r="R362" s="266"/>
      <c r="S362" s="266"/>
    </row>
    <row r="364" spans="1:30" x14ac:dyDescent="0.35">
      <c r="B364" s="273" t="s">
        <v>349</v>
      </c>
    </row>
    <row r="365" spans="1:30" x14ac:dyDescent="0.35">
      <c r="B365" s="265" t="s">
        <v>352</v>
      </c>
    </row>
    <row r="366" spans="1:30" x14ac:dyDescent="0.35">
      <c r="B366" s="305" t="s">
        <v>348</v>
      </c>
    </row>
  </sheetData>
  <hyperlinks>
    <hyperlink ref="K9" r:id="rId1" display="http://www.paragon-group.co.uk" xr:uid="{0A764648-E70E-4080-9930-01707A5CADCF}"/>
    <hyperlink ref="P355" r:id="rId2" xr:uid="{97C0F55A-EA96-4255-B80B-FC18BBC3F922}"/>
    <hyperlink ref="P283" r:id="rId3" xr:uid="{843137BA-054C-4C0D-AB20-44A137B0B36E}"/>
    <hyperlink ref="B366" r:id="rId4" display="https://investorreporting.paragonbankinggroup.co.uk/bondinvestor_viewer/resources/bondinvestor/pdf/investornews/2021/libor-mortgages-transition-july-19" xr:uid="{E9DEEEE1-3034-412F-88F3-E0CF6318F63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188D-5405-4D70-B360-AC6933A11009}">
  <sheetPr>
    <tabColor rgb="FF2D2926"/>
  </sheetPr>
  <dimension ref="A1:JB361"/>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2.35E-2</v>
      </c>
      <c r="Z17" s="299" t="s">
        <v>259</v>
      </c>
      <c r="AA17" s="299">
        <v>0.97650000000000003</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44638</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605596.68960000004</v>
      </c>
      <c r="G30" s="54"/>
      <c r="H30" s="54">
        <f>H29</f>
        <v>39664</v>
      </c>
      <c r="I30" s="54"/>
      <c r="J30" s="54">
        <f>J29</f>
        <v>21635</v>
      </c>
      <c r="K30" s="54"/>
      <c r="L30" s="54">
        <f>L29</f>
        <v>18029</v>
      </c>
      <c r="M30" s="54"/>
      <c r="N30" s="54">
        <f>N29</f>
        <v>18031</v>
      </c>
      <c r="O30" s="54"/>
      <c r="P30" s="54">
        <f>P29*P33</f>
        <v>10326.280919999999</v>
      </c>
      <c r="Q30" s="54"/>
      <c r="R30" s="54">
        <v>0</v>
      </c>
      <c r="S30" s="54"/>
      <c r="T30" s="54" t="s">
        <v>83</v>
      </c>
      <c r="U30" s="54"/>
      <c r="V30" s="54" t="s">
        <v>83</v>
      </c>
      <c r="W30" s="54"/>
      <c r="X30" s="54" t="s">
        <v>83</v>
      </c>
      <c r="Y30" s="54" t="s">
        <v>83</v>
      </c>
      <c r="Z30" s="54"/>
      <c r="AA30" s="49"/>
      <c r="AB30" s="50">
        <f>SUM(F30:N30)</f>
        <v>702955.68960000004</v>
      </c>
      <c r="AC30" s="51"/>
      <c r="AD30" s="22"/>
    </row>
    <row r="31" spans="1:33" s="23" customFormat="1" x14ac:dyDescent="0.35">
      <c r="A31" s="47"/>
      <c r="B31" s="44" t="s">
        <v>92</v>
      </c>
      <c r="C31" s="49"/>
      <c r="D31" s="56"/>
      <c r="E31" s="56"/>
      <c r="F31" s="56">
        <f>F29*F32</f>
        <v>598298.08919999993</v>
      </c>
      <c r="G31" s="56"/>
      <c r="H31" s="56">
        <f>H29</f>
        <v>39664</v>
      </c>
      <c r="I31" s="56"/>
      <c r="J31" s="56">
        <f>J29</f>
        <v>21635</v>
      </c>
      <c r="K31" s="56"/>
      <c r="L31" s="56">
        <f>L29</f>
        <v>18029</v>
      </c>
      <c r="M31" s="56"/>
      <c r="N31" s="56">
        <f>N29</f>
        <v>18031</v>
      </c>
      <c r="O31" s="56"/>
      <c r="P31" s="56">
        <f>P29*P32</f>
        <v>10273.77384</v>
      </c>
      <c r="Q31" s="56"/>
      <c r="R31" s="56">
        <v>0</v>
      </c>
      <c r="S31" s="56"/>
      <c r="T31" s="56" t="s">
        <v>83</v>
      </c>
      <c r="U31" s="56"/>
      <c r="V31" s="56" t="s">
        <v>83</v>
      </c>
      <c r="W31" s="56"/>
      <c r="X31" s="56" t="s">
        <v>83</v>
      </c>
      <c r="Y31" s="56" t="s">
        <v>83</v>
      </c>
      <c r="Z31" s="56"/>
      <c r="AA31" s="49"/>
      <c r="AB31" s="55">
        <f>SUM(F31:N31)</f>
        <v>695657.08919999993</v>
      </c>
      <c r="AC31" s="51"/>
      <c r="AD31" s="22"/>
      <c r="AE31" s="231"/>
    </row>
    <row r="32" spans="1:33" s="64" customFormat="1" x14ac:dyDescent="0.35">
      <c r="A32" s="57"/>
      <c r="B32" s="163" t="s">
        <v>88</v>
      </c>
      <c r="C32" s="60"/>
      <c r="D32" s="59"/>
      <c r="E32" s="59"/>
      <c r="F32" s="59">
        <v>0.95909999999999995</v>
      </c>
      <c r="G32" s="59"/>
      <c r="H32" s="59">
        <v>1</v>
      </c>
      <c r="I32" s="59"/>
      <c r="J32" s="59">
        <v>1</v>
      </c>
      <c r="K32" s="59"/>
      <c r="L32" s="59">
        <v>1</v>
      </c>
      <c r="M32" s="59"/>
      <c r="N32" s="59">
        <v>1</v>
      </c>
      <c r="O32" s="59"/>
      <c r="P32" s="59">
        <v>0.92157999999999995</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0.9708</v>
      </c>
      <c r="G33" s="59"/>
      <c r="H33" s="59">
        <v>1</v>
      </c>
      <c r="I33" s="59"/>
      <c r="J33" s="59">
        <v>1</v>
      </c>
      <c r="K33" s="59"/>
      <c r="L33" s="59">
        <v>1</v>
      </c>
      <c r="M33" s="59"/>
      <c r="N33" s="59">
        <v>1</v>
      </c>
      <c r="O33" s="59"/>
      <c r="P33" s="59">
        <v>0.92628999999999995</v>
      </c>
      <c r="Q33" s="222"/>
      <c r="R33" s="222">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1.22288E-2</v>
      </c>
      <c r="G35" s="236"/>
      <c r="H35" s="236">
        <v>1.6228800000000002E-2</v>
      </c>
      <c r="I35" s="236"/>
      <c r="J35" s="236">
        <v>1.9228800000000001E-2</v>
      </c>
      <c r="K35" s="236"/>
      <c r="L35" s="236">
        <v>2.22288E-2</v>
      </c>
      <c r="M35" s="236"/>
      <c r="N35" s="236">
        <v>3.2228800000000002E-2</v>
      </c>
      <c r="O35" s="236"/>
      <c r="P35" s="236">
        <v>4.2728799999999997E-2</v>
      </c>
      <c r="Q35" s="236"/>
      <c r="R35" s="236">
        <v>4.2728799999999997E-2</v>
      </c>
      <c r="S35" s="67"/>
      <c r="T35" s="67" t="s">
        <v>83</v>
      </c>
      <c r="U35" s="67"/>
      <c r="V35" s="67" t="s">
        <v>83</v>
      </c>
      <c r="W35" s="67"/>
      <c r="X35" s="67" t="s">
        <v>83</v>
      </c>
      <c r="Y35" s="67" t="s">
        <v>83</v>
      </c>
      <c r="Z35" s="67"/>
      <c r="AA35" s="40"/>
      <c r="AB35" s="66">
        <f>SUMPRODUCT(D35:N35,D30:N30)/AB30</f>
        <v>1.3439418268818972E-2</v>
      </c>
      <c r="AC35" s="43"/>
      <c r="AD35" s="22"/>
    </row>
    <row r="36" spans="1:30" s="23" customFormat="1" x14ac:dyDescent="0.35">
      <c r="A36" s="47"/>
      <c r="B36" s="40" t="s">
        <v>10</v>
      </c>
      <c r="C36" s="68"/>
      <c r="D36" s="236"/>
      <c r="E36" s="236"/>
      <c r="F36" s="236">
        <v>9.9868000000000005E-3</v>
      </c>
      <c r="G36" s="236"/>
      <c r="H36" s="236">
        <v>1.3986800000000001E-2</v>
      </c>
      <c r="I36" s="236"/>
      <c r="J36" s="236">
        <v>1.69868E-2</v>
      </c>
      <c r="K36" s="236"/>
      <c r="L36" s="236">
        <v>1.9986799999999999E-2</v>
      </c>
      <c r="M36" s="236"/>
      <c r="N36" s="236">
        <v>2.9986800000000001E-2</v>
      </c>
      <c r="O36" s="236"/>
      <c r="P36" s="236">
        <v>4.0486800000000003E-2</v>
      </c>
      <c r="Q36" s="236"/>
      <c r="R36" s="236">
        <v>4.0486800000000003E-2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0.16272657686435416</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44635</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91</v>
      </c>
      <c r="Y47" s="40"/>
      <c r="Z47" s="75">
        <v>44454</v>
      </c>
      <c r="AA47" s="76"/>
      <c r="AB47" s="75">
        <v>44544</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90</v>
      </c>
      <c r="Y48" s="40"/>
      <c r="Z48" s="75">
        <v>44545</v>
      </c>
      <c r="AA48" s="76"/>
      <c r="AB48" s="75">
        <v>44634</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44634</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362</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702340</v>
      </c>
      <c r="S57" s="234"/>
      <c r="T57" s="233">
        <f>384+19</f>
        <v>403</v>
      </c>
      <c r="U57" s="234"/>
      <c r="V57" s="234">
        <v>6896</v>
      </c>
      <c r="W57" s="234"/>
      <c r="X57" s="234">
        <v>8</v>
      </c>
      <c r="Y57" s="234"/>
      <c r="Z57" s="234">
        <v>0</v>
      </c>
      <c r="AA57" s="234"/>
      <c r="AB57" s="233">
        <f>R57-T57-V57+X57-Z57</f>
        <v>695049</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702340</v>
      </c>
      <c r="S60" s="234"/>
      <c r="T60" s="234">
        <f>T57+T58</f>
        <v>403</v>
      </c>
      <c r="U60" s="234"/>
      <c r="V60" s="234">
        <f>SUM(V57:V59)</f>
        <v>6896</v>
      </c>
      <c r="W60" s="234"/>
      <c r="X60" s="234">
        <f>SUM(X57:X59)</f>
        <v>8</v>
      </c>
      <c r="Y60" s="234"/>
      <c r="Z60" s="234">
        <f>SUM(Z57:Z59)</f>
        <v>0</v>
      </c>
      <c r="AA60" s="234"/>
      <c r="AB60" s="234">
        <f>SUM(AB57:AB59)</f>
        <v>695049</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0</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612</v>
      </c>
      <c r="S64" s="234"/>
      <c r="T64" s="234"/>
      <c r="U64" s="234"/>
      <c r="V64" s="234"/>
      <c r="W64" s="234"/>
      <c r="X64" s="234">
        <f>-X57</f>
        <v>-8</v>
      </c>
      <c r="Y64" s="234"/>
      <c r="Z64" s="234"/>
      <c r="AA64" s="234"/>
      <c r="AB64" s="234">
        <f>+R64+X64</f>
        <v>604</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702956</v>
      </c>
      <c r="S66" s="234"/>
      <c r="T66" s="234"/>
      <c r="U66" s="234"/>
      <c r="V66" s="234"/>
      <c r="W66" s="234"/>
      <c r="X66" s="234"/>
      <c r="Y66" s="234"/>
      <c r="Z66" s="234"/>
      <c r="AA66" s="234"/>
      <c r="AB66" s="234">
        <f>SUM(AB60:AB65)</f>
        <v>695657</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44620</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8</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-8</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+T57+V57+Z57-2</f>
        <v>7297</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6414+170-532-20</f>
        <v>6032</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v>289</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5</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53</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7301</v>
      </c>
      <c r="AA83" s="40"/>
      <c r="AB83" s="96">
        <f>SUM(AB70:AB82)</f>
        <v>6380</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7301</v>
      </c>
      <c r="AA86" s="40"/>
      <c r="AB86" s="96">
        <f>AB83+AB84+AB85</f>
        <v>6380</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-346-2-9</f>
        <v>-357</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f>457+128</f>
        <v>585</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-1828</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-159</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-102</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-99</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2</v>
      </c>
      <c r="AA99" s="111"/>
      <c r="AB99" s="97">
        <v>-2</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-1500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-26</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-143</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-109</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-53</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-11-63</f>
        <v>-74</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-2506</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-7299</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-7299</v>
      </c>
      <c r="AA128" s="96"/>
      <c r="AB128" s="96">
        <f>SUM(AB87:AB126)</f>
        <v>-6380</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FEBRUARY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+'November 21'!AB144</f>
        <v>9732.14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-53</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9679.14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+'November 21'!AB157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+'November 21'!AB163</f>
        <v>612</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-8</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604</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2</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2</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-2</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+'November 21'!AB180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+'November 21'!AB188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+'November 21'!AB196</f>
        <v>3</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+'November 21'!AB204</f>
        <v>997</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1500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2478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+'November 21'!AB212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+'November 21'!Y219</f>
        <v>0</v>
      </c>
      <c r="Z217" s="97">
        <f>+'November 21'!Z219</f>
        <v>439</v>
      </c>
      <c r="AA217" s="40"/>
      <c r="AB217" s="97">
        <f>Y217+Z217</f>
        <v>439</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8</v>
      </c>
      <c r="AA218" s="40"/>
      <c r="AB218" s="97">
        <f>Y218+Z218</f>
        <v>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447</v>
      </c>
      <c r="AA219" s="40"/>
      <c r="AB219" s="97">
        <f>Y219+Z219</f>
        <v>447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116906.76000000001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678000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685439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-7439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6.0000000000000002E-5</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3.613785557986871</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3.72</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30.050314465408807</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30.36</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45.284313725490193</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44.54</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45.626262626262623</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44.51</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30.895104895104897</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29.32</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FEBRUARY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44620</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3.4487538410136999E-2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1.3439418268818972E-2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2.1048120141318027E-2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9.9081592589009837E-3</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20.05</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1.0383295682802338E-2</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2.6499999999999999E-2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2</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Z272+'November 21'!Z273</f>
        <v>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3685</v>
      </c>
      <c r="Y286" s="189">
        <f>X286/$X$295</f>
        <v>1</v>
      </c>
      <c r="Z286" s="106">
        <f t="shared" ref="Z286:Z293" si="1">+Z298+Z310+Z332</f>
        <v>695049</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3685</v>
      </c>
      <c r="Y295" s="195">
        <f>SUM(Y286:Y294)</f>
        <v>1</v>
      </c>
      <c r="Z295" s="97">
        <f>SUM(Z286:Z294)</f>
        <v>695049</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3685</v>
      </c>
      <c r="Y298" s="189">
        <f>X298/$X$307</f>
        <v>1</v>
      </c>
      <c r="Z298" s="106">
        <v>695049</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3685</v>
      </c>
      <c r="Y307" s="195">
        <f>SUM(Y298:Y306)</f>
        <v>1</v>
      </c>
      <c r="Z307" s="97">
        <f>SUM(Z298:Z306)</f>
        <v>695049</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3685</v>
      </c>
      <c r="Y343" s="195"/>
      <c r="Z343" s="208">
        <f>+Z341+Z319+Z307</f>
        <v>695049</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608</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695657</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695657</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FEBRUARY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sheetData>
  <hyperlinks>
    <hyperlink ref="K9" r:id="rId1" display="http://www.paragon-group.co.uk" xr:uid="{6D22AD58-725B-41B7-AAC8-7283E8A23CDF}"/>
    <hyperlink ref="P355" r:id="rId2" xr:uid="{BDA2F165-BBED-4CA0-86C5-DB950BD06AEF}"/>
    <hyperlink ref="P283" r:id="rId3" xr:uid="{7AE7F918-CD6D-44E5-9CEE-6B72A415FD7E}"/>
    <hyperlink ref="B361" r:id="rId4" display="https://investorreporting.paragonbankinggroup.co.uk/bondinvestor_viewer/resources/bondinvestor/pdf/investornews/2021/libor-mortgages-transition-july-19" xr:uid="{6596E069-9329-4375-9CAA-198723C9D174}"/>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0710-2F56-486D-9028-F87889B98A95}">
  <sheetPr>
    <tabColor rgb="FF89CB31"/>
  </sheetPr>
  <dimension ref="A1:JB361"/>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2.2528949037691322E-2</v>
      </c>
      <c r="Z17" s="299" t="s">
        <v>259</v>
      </c>
      <c r="AA17" s="299">
        <v>0.97747105096230869</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44734</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598298.08919999993</v>
      </c>
      <c r="G30" s="54"/>
      <c r="H30" s="54">
        <f>H29</f>
        <v>39664</v>
      </c>
      <c r="I30" s="54"/>
      <c r="J30" s="54">
        <f>J29</f>
        <v>21635</v>
      </c>
      <c r="K30" s="54"/>
      <c r="L30" s="54">
        <f>L29</f>
        <v>18029</v>
      </c>
      <c r="M30" s="54"/>
      <c r="N30" s="54">
        <f>N29</f>
        <v>18031</v>
      </c>
      <c r="O30" s="54"/>
      <c r="P30" s="54">
        <f>P29*P33</f>
        <v>10273.77384</v>
      </c>
      <c r="Q30" s="54"/>
      <c r="R30" s="54">
        <v>0</v>
      </c>
      <c r="S30" s="54"/>
      <c r="T30" s="54" t="s">
        <v>83</v>
      </c>
      <c r="U30" s="54"/>
      <c r="V30" s="54" t="s">
        <v>83</v>
      </c>
      <c r="W30" s="54"/>
      <c r="X30" s="54" t="s">
        <v>83</v>
      </c>
      <c r="Y30" s="54" t="s">
        <v>83</v>
      </c>
      <c r="Z30" s="54"/>
      <c r="AA30" s="49"/>
      <c r="AB30" s="50">
        <f>SUM(F30:N30)</f>
        <v>695657.08919999993</v>
      </c>
      <c r="AC30" s="51"/>
      <c r="AD30" s="22"/>
    </row>
    <row r="31" spans="1:33" s="23" customFormat="1" x14ac:dyDescent="0.35">
      <c r="A31" s="47"/>
      <c r="B31" s="44" t="s">
        <v>92</v>
      </c>
      <c r="C31" s="49"/>
      <c r="D31" s="56"/>
      <c r="E31" s="56"/>
      <c r="F31" s="56">
        <f>F29*F32</f>
        <v>580419.63728000002</v>
      </c>
      <c r="G31" s="56"/>
      <c r="H31" s="56">
        <f>H29</f>
        <v>39664</v>
      </c>
      <c r="I31" s="56"/>
      <c r="J31" s="56">
        <f>J29</f>
        <v>21635</v>
      </c>
      <c r="K31" s="56"/>
      <c r="L31" s="56">
        <f>L29</f>
        <v>18029</v>
      </c>
      <c r="M31" s="56"/>
      <c r="N31" s="56">
        <f>N29</f>
        <v>18031</v>
      </c>
      <c r="O31" s="56"/>
      <c r="P31" s="56">
        <f>P29*P32</f>
        <v>10164.30048</v>
      </c>
      <c r="Q31" s="56"/>
      <c r="R31" s="56">
        <v>0</v>
      </c>
      <c r="S31" s="56"/>
      <c r="T31" s="56" t="s">
        <v>83</v>
      </c>
      <c r="U31" s="56"/>
      <c r="V31" s="56" t="s">
        <v>83</v>
      </c>
      <c r="W31" s="56"/>
      <c r="X31" s="56" t="s">
        <v>83</v>
      </c>
      <c r="Y31" s="56" t="s">
        <v>83</v>
      </c>
      <c r="Z31" s="56"/>
      <c r="AA31" s="49"/>
      <c r="AB31" s="55">
        <f>SUM(F31:N31)</f>
        <v>677778.63728000002</v>
      </c>
      <c r="AC31" s="51"/>
      <c r="AD31" s="22"/>
      <c r="AE31" s="231"/>
    </row>
    <row r="32" spans="1:33" s="64" customFormat="1" x14ac:dyDescent="0.35">
      <c r="A32" s="57"/>
      <c r="B32" s="163" t="s">
        <v>88</v>
      </c>
      <c r="C32" s="60"/>
      <c r="D32" s="59"/>
      <c r="E32" s="59"/>
      <c r="F32" s="59">
        <v>0.93044000000000004</v>
      </c>
      <c r="G32" s="59"/>
      <c r="H32" s="59">
        <v>1</v>
      </c>
      <c r="I32" s="59"/>
      <c r="J32" s="59">
        <v>1</v>
      </c>
      <c r="K32" s="59"/>
      <c r="L32" s="59">
        <v>1</v>
      </c>
      <c r="M32" s="59"/>
      <c r="N32" s="59">
        <v>1</v>
      </c>
      <c r="O32" s="59"/>
      <c r="P32" s="59">
        <v>0.91176000000000001</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0.95909999999999995</v>
      </c>
      <c r="G33" s="59"/>
      <c r="H33" s="59">
        <v>1</v>
      </c>
      <c r="I33" s="59"/>
      <c r="J33" s="59">
        <v>1</v>
      </c>
      <c r="K33" s="59"/>
      <c r="L33" s="59">
        <v>1</v>
      </c>
      <c r="M33" s="59"/>
      <c r="N33" s="59">
        <v>1</v>
      </c>
      <c r="O33" s="59"/>
      <c r="P33" s="59">
        <v>0.92157999999999995</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1.7092099999999999E-2</v>
      </c>
      <c r="G35" s="236"/>
      <c r="H35" s="236">
        <v>2.1092099999999999E-2</v>
      </c>
      <c r="I35" s="236"/>
      <c r="J35" s="236">
        <v>2.4092100000000002E-2</v>
      </c>
      <c r="K35" s="236"/>
      <c r="L35" s="236">
        <v>2.7092100000000001E-2</v>
      </c>
      <c r="M35" s="236"/>
      <c r="N35" s="236">
        <v>3.7092100000000003E-2</v>
      </c>
      <c r="O35" s="236"/>
      <c r="P35" s="236">
        <v>4.7592099999999998E-2</v>
      </c>
      <c r="Q35" s="236"/>
      <c r="R35" s="236">
        <v>4.7592099999999998E-2</v>
      </c>
      <c r="S35" s="67"/>
      <c r="T35" s="67" t="s">
        <v>83</v>
      </c>
      <c r="U35" s="67"/>
      <c r="V35" s="67" t="s">
        <v>83</v>
      </c>
      <c r="W35" s="67"/>
      <c r="X35" s="67" t="s">
        <v>83</v>
      </c>
      <c r="Y35" s="67" t="s">
        <v>83</v>
      </c>
      <c r="Z35" s="67"/>
      <c r="AA35" s="40"/>
      <c r="AB35" s="66">
        <f>SUMPRODUCT(D35:N35,D30:N30)/AB30</f>
        <v>1.8315419668859627E-2</v>
      </c>
      <c r="AC35" s="43"/>
      <c r="AD35" s="22"/>
    </row>
    <row r="36" spans="1:30" s="23" customFormat="1" x14ac:dyDescent="0.35">
      <c r="A36" s="47"/>
      <c r="B36" s="40" t="s">
        <v>10</v>
      </c>
      <c r="C36" s="68"/>
      <c r="D36" s="236"/>
      <c r="E36" s="236"/>
      <c r="F36" s="236">
        <v>1.22288E-2</v>
      </c>
      <c r="G36" s="236"/>
      <c r="H36" s="236">
        <v>1.6228800000000002E-2</v>
      </c>
      <c r="I36" s="236"/>
      <c r="J36" s="236">
        <v>1.9228800000000001E-2</v>
      </c>
      <c r="K36" s="236"/>
      <c r="L36" s="236">
        <v>2.22288E-2</v>
      </c>
      <c r="M36" s="236"/>
      <c r="N36" s="236">
        <v>3.2228800000000002E-2</v>
      </c>
      <c r="O36" s="236"/>
      <c r="P36" s="236">
        <v>4.2728799999999997E-2</v>
      </c>
      <c r="Q36" s="236"/>
      <c r="R36" s="236">
        <v>4.2728799999999997E-2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0.16773898356756162</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44727</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90</v>
      </c>
      <c r="Y47" s="40"/>
      <c r="Z47" s="75">
        <v>44545</v>
      </c>
      <c r="AA47" s="76"/>
      <c r="AB47" s="75">
        <v>44634</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44635</v>
      </c>
      <c r="AA48" s="76"/>
      <c r="AB48" s="75">
        <v>44726</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44726</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363</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695049</v>
      </c>
      <c r="S57" s="234"/>
      <c r="T57" s="233">
        <f>381+19</f>
        <v>400</v>
      </c>
      <c r="U57" s="234"/>
      <c r="V57" s="234">
        <v>17478</v>
      </c>
      <c r="W57" s="234"/>
      <c r="X57" s="234">
        <v>20</v>
      </c>
      <c r="Y57" s="234"/>
      <c r="Z57" s="234">
        <v>0</v>
      </c>
      <c r="AA57" s="234"/>
      <c r="AB57" s="233">
        <f>R57-T57-V57+X57-Z57</f>
        <v>677191</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695049</v>
      </c>
      <c r="S60" s="234"/>
      <c r="T60" s="234">
        <f>T57+T58</f>
        <v>400</v>
      </c>
      <c r="U60" s="234"/>
      <c r="V60" s="234">
        <f>SUM(V57:V59)</f>
        <v>17478</v>
      </c>
      <c r="W60" s="234"/>
      <c r="X60" s="234">
        <f>SUM(X57:X59)</f>
        <v>20</v>
      </c>
      <c r="Y60" s="234"/>
      <c r="Z60" s="234">
        <f>SUM(Z57:Z59)</f>
        <v>0</v>
      </c>
      <c r="AA60" s="234"/>
      <c r="AB60" s="234">
        <f>SUM(AB57:AB59)</f>
        <v>677191</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0</v>
      </c>
      <c r="W63" s="234"/>
      <c r="X63" s="234"/>
      <c r="Y63" s="234"/>
      <c r="Z63" s="234"/>
      <c r="AA63" s="234"/>
      <c r="AB63" s="234">
        <f>R63+V63</f>
        <v>4</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604</v>
      </c>
      <c r="S64" s="234"/>
      <c r="T64" s="234"/>
      <c r="U64" s="234"/>
      <c r="V64" s="234"/>
      <c r="W64" s="234"/>
      <c r="X64" s="234">
        <f>-X57</f>
        <v>-20</v>
      </c>
      <c r="Y64" s="234"/>
      <c r="Z64" s="234"/>
      <c r="AA64" s="234"/>
      <c r="AB64" s="234">
        <f>+R64+X64</f>
        <v>584</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695657</v>
      </c>
      <c r="S66" s="234"/>
      <c r="T66" s="234"/>
      <c r="U66" s="234"/>
      <c r="V66" s="234"/>
      <c r="W66" s="234"/>
      <c r="X66" s="234"/>
      <c r="Y66" s="234"/>
      <c r="Z66" s="234"/>
      <c r="AA66" s="234"/>
      <c r="AB66" s="234">
        <f>SUM(AB60:AB65)</f>
        <v>677779</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44712</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20</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-20</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+T57+V57+Z57-6</f>
        <v>17872</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6319+256-367-102</f>
        <v>6106</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187+9</f>
        <v>196</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31</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110</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117</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17876</v>
      </c>
      <c r="AA83" s="40"/>
      <c r="AB83" s="96">
        <f>SUM(AB70:AB82)</f>
        <v>6560</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17876</v>
      </c>
      <c r="AA86" s="40"/>
      <c r="AB86" s="96">
        <f>AB83+AB84+AB85</f>
        <v>6560</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-350-7-9</f>
        <v>-366</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1100</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-2576</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-211</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-131</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-123</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6</v>
      </c>
      <c r="AA99" s="111"/>
      <c r="AB99" s="97">
        <v>-6</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-1900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-24</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-169</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-123</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-110</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-12-63</f>
        <v>-75</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-1839</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-17878</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-17878</v>
      </c>
      <c r="AA128" s="96"/>
      <c r="AB128" s="96">
        <f>SUM(AB87:AB126)</f>
        <v>-6560</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4</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MAY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+'February 22'!AB144</f>
        <v>9679.14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-110</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9569.14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+'February 22'!AB157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+'February 22'!AB163</f>
        <v>604</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-20</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584</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6</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6</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-6</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+'February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+'February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+'February 22'!AB196</f>
        <v>21</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2418</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117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2322</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+'February 22'!AB204</f>
        <v>2478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2418</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1900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1960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+'February 22'!AB212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+'February 22'!Y219</f>
        <v>0</v>
      </c>
      <c r="Z217" s="97">
        <f>+'February 22'!Z219</f>
        <v>447</v>
      </c>
      <c r="AA217" s="40"/>
      <c r="AB217" s="97">
        <f>Y217+Z217</f>
        <v>447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20</v>
      </c>
      <c r="AA218" s="40"/>
      <c r="AB218" s="97">
        <f>Y218+Z218</f>
        <v>20</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467</v>
      </c>
      <c r="AA219" s="40"/>
      <c r="AB219" s="97">
        <f>Y219+Z219</f>
        <v>467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116886.76000000001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661000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662271</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-1271</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1.2774886535552199E-3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2.8307453416149069</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3.51</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22.350710900473935</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28.63</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34.389312977099237</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42.45</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35.560975609756099</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42.72</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25.153846153846153</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28.54</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MAY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44712</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3.5181666545931842E-2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1.8315419668859627E-2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1.6866246877072215E-2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1.1011173609983081E-2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19.81569845637895</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2.5699446710088447E-2</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3.8199999999999998E-2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6</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Z272+'February 22'!Z273</f>
        <v>10</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3570</v>
      </c>
      <c r="Y286" s="189">
        <f>X286/$X$295</f>
        <v>0.99944008958566632</v>
      </c>
      <c r="Z286" s="106">
        <f t="shared" ref="Z286:Z293" si="1">+Z298+Z310+Z332</f>
        <v>676465</v>
      </c>
      <c r="AA286" s="189">
        <f>Z286/$Z$295</f>
        <v>0.99892792432267996</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2</v>
      </c>
      <c r="Y287" s="193">
        <f t="shared" ref="Y287:Y293" si="2">X287/$X$295</f>
        <v>5.5991041433370661E-4</v>
      </c>
      <c r="Z287" s="194">
        <f t="shared" si="1"/>
        <v>726</v>
      </c>
      <c r="AA287" s="195">
        <f>Z287/$Z$295</f>
        <v>1.0720756773199881E-3</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3572</v>
      </c>
      <c r="Y295" s="195">
        <f>SUM(Y286:Y294)</f>
        <v>1</v>
      </c>
      <c r="Z295" s="97">
        <f>SUM(Z286:Z294)</f>
        <v>677191</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3570</v>
      </c>
      <c r="Y298" s="189">
        <f>X298/$X$307</f>
        <v>0.99944008958566632</v>
      </c>
      <c r="Z298" s="106">
        <v>676465</v>
      </c>
      <c r="AA298" s="189">
        <f>Z298/$Z$307</f>
        <v>0.99892792432267996</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2</v>
      </c>
      <c r="Y299" s="195">
        <f t="shared" ref="Y299:Y305" si="4">X299/$X$307</f>
        <v>5.5991041433370661E-4</v>
      </c>
      <c r="Z299" s="97">
        <v>726</v>
      </c>
      <c r="AA299" s="195">
        <f t="shared" ref="AA299:AA305" si="5">Z299/$Z$307</f>
        <v>1.0720756773199881E-3</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3572</v>
      </c>
      <c r="Y307" s="195">
        <f>SUM(Y298:Y306)</f>
        <v>1</v>
      </c>
      <c r="Z307" s="97">
        <f>SUM(Z298:Z306)</f>
        <v>677191</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3572</v>
      </c>
      <c r="Y343" s="195"/>
      <c r="Z343" s="208">
        <f>+Z341+Z319+Z307</f>
        <v>677191</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588</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677779</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677779</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MAY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sheetData>
  <hyperlinks>
    <hyperlink ref="K9" r:id="rId1" display="http://www.paragon-group.co.uk" xr:uid="{D1713C96-71B6-4BC7-93A2-1A3238717465}"/>
    <hyperlink ref="P355" r:id="rId2" xr:uid="{EB395334-655F-4EAC-A59B-5F70B98178F4}"/>
    <hyperlink ref="P283" r:id="rId3" xr:uid="{BF1EB126-2CE6-4061-B60D-402A8F8EDD93}"/>
    <hyperlink ref="B361" r:id="rId4" display="https://investorreporting.paragonbankinggroup.co.uk/bondinvestor_viewer/resources/bondinvestor/pdf/investornews/2021/libor-mortgages-transition-july-19" xr:uid="{93178EA0-68F9-4DE5-93B3-EF1F26AF3D8B}"/>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FFCD-204A-47BD-B293-4784D22978EA}">
  <sheetPr>
    <tabColor rgb="FF2D2926"/>
  </sheetPr>
  <dimension ref="A1:JB361"/>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2.2284159096070073E-2</v>
      </c>
      <c r="Z17" s="299" t="s">
        <v>259</v>
      </c>
      <c r="AA17" s="299">
        <v>0.97771584090392982</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44824</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266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580419.63728000002</v>
      </c>
      <c r="G30" s="54"/>
      <c r="H30" s="54">
        <f>H29</f>
        <v>39664</v>
      </c>
      <c r="I30" s="54"/>
      <c r="J30" s="54">
        <f>J29</f>
        <v>21635</v>
      </c>
      <c r="K30" s="54"/>
      <c r="L30" s="54">
        <f>L29</f>
        <v>18029</v>
      </c>
      <c r="M30" s="54"/>
      <c r="N30" s="54">
        <f>N29</f>
        <v>18031</v>
      </c>
      <c r="O30" s="54"/>
      <c r="P30" s="54">
        <f>P29*P33</f>
        <v>10164.30048</v>
      </c>
      <c r="Q30" s="54"/>
      <c r="R30" s="54">
        <v>0</v>
      </c>
      <c r="S30" s="54"/>
      <c r="T30" s="54" t="s">
        <v>83</v>
      </c>
      <c r="U30" s="54"/>
      <c r="V30" s="54" t="s">
        <v>83</v>
      </c>
      <c r="W30" s="54"/>
      <c r="X30" s="54" t="s">
        <v>83</v>
      </c>
      <c r="Y30" s="54" t="s">
        <v>83</v>
      </c>
      <c r="Z30" s="54"/>
      <c r="AA30" s="49"/>
      <c r="AB30" s="50">
        <f>SUM(F30:N30)</f>
        <v>677778.63728000002</v>
      </c>
      <c r="AC30" s="51"/>
      <c r="AD30" s="22"/>
    </row>
    <row r="31" spans="1:33" s="23" customFormat="1" x14ac:dyDescent="0.35">
      <c r="A31" s="47"/>
      <c r="B31" s="44" t="s">
        <v>92</v>
      </c>
      <c r="C31" s="49"/>
      <c r="D31" s="56"/>
      <c r="E31" s="56"/>
      <c r="F31" s="56">
        <f>F29*F32</f>
        <v>561156.32272000005</v>
      </c>
      <c r="G31" s="56"/>
      <c r="H31" s="56">
        <f>H29</f>
        <v>39664</v>
      </c>
      <c r="I31" s="56"/>
      <c r="J31" s="56">
        <f>J29</f>
        <v>21635</v>
      </c>
      <c r="K31" s="56"/>
      <c r="L31" s="56">
        <f>L29</f>
        <v>18029</v>
      </c>
      <c r="M31" s="56"/>
      <c r="N31" s="56">
        <f>N29</f>
        <v>18031</v>
      </c>
      <c r="O31" s="56"/>
      <c r="P31" s="56">
        <f>P29*P32</f>
        <v>9896.0796000000009</v>
      </c>
      <c r="Q31" s="56"/>
      <c r="R31" s="56">
        <v>0</v>
      </c>
      <c r="S31" s="56"/>
      <c r="T31" s="56" t="s">
        <v>83</v>
      </c>
      <c r="U31" s="56"/>
      <c r="V31" s="56" t="s">
        <v>83</v>
      </c>
      <c r="W31" s="56"/>
      <c r="X31" s="56" t="s">
        <v>83</v>
      </c>
      <c r="Y31" s="56" t="s">
        <v>83</v>
      </c>
      <c r="Z31" s="56"/>
      <c r="AA31" s="49"/>
      <c r="AB31" s="55">
        <f>SUM(F31:N31)</f>
        <v>658515.32272000005</v>
      </c>
      <c r="AC31" s="51"/>
      <c r="AD31" s="22"/>
      <c r="AE31" s="231"/>
    </row>
    <row r="32" spans="1:33" s="64" customFormat="1" x14ac:dyDescent="0.35">
      <c r="A32" s="57"/>
      <c r="B32" s="163" t="s">
        <v>88</v>
      </c>
      <c r="C32" s="60"/>
      <c r="D32" s="59"/>
      <c r="E32" s="59"/>
      <c r="F32" s="59">
        <v>0.89956000000000003</v>
      </c>
      <c r="G32" s="59"/>
      <c r="H32" s="59">
        <v>1</v>
      </c>
      <c r="I32" s="59"/>
      <c r="J32" s="59">
        <v>1</v>
      </c>
      <c r="K32" s="59"/>
      <c r="L32" s="59">
        <v>1</v>
      </c>
      <c r="M32" s="59"/>
      <c r="N32" s="59">
        <v>1</v>
      </c>
      <c r="O32" s="59"/>
      <c r="P32" s="59">
        <v>0.88770000000000004</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0.93044000000000004</v>
      </c>
      <c r="G33" s="59"/>
      <c r="H33" s="59">
        <v>1</v>
      </c>
      <c r="I33" s="59"/>
      <c r="J33" s="59">
        <v>1</v>
      </c>
      <c r="K33" s="59"/>
      <c r="L33" s="59">
        <v>1</v>
      </c>
      <c r="M33" s="59"/>
      <c r="N33" s="59">
        <v>1</v>
      </c>
      <c r="O33" s="59"/>
      <c r="P33" s="59">
        <v>0.91176000000000001</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2.3109299999999999E-2</v>
      </c>
      <c r="G35" s="236"/>
      <c r="H35" s="236">
        <v>2.7109299999999999E-2</v>
      </c>
      <c r="I35" s="236"/>
      <c r="J35" s="236">
        <v>3.0109299999999999E-2</v>
      </c>
      <c r="K35" s="236"/>
      <c r="L35" s="236">
        <v>3.3109300000000001E-2</v>
      </c>
      <c r="M35" s="236"/>
      <c r="N35" s="236">
        <v>4.3109300000000003E-2</v>
      </c>
      <c r="O35" s="236"/>
      <c r="P35" s="236">
        <v>5.3609299999999999E-2</v>
      </c>
      <c r="Q35" s="236"/>
      <c r="R35" s="236">
        <v>5.3609299999999999E-2</v>
      </c>
      <c r="S35" s="67"/>
      <c r="T35" s="67" t="s">
        <v>83</v>
      </c>
      <c r="U35" s="67"/>
      <c r="V35" s="67" t="s">
        <v>83</v>
      </c>
      <c r="W35" s="67"/>
      <c r="X35" s="67" t="s">
        <v>83</v>
      </c>
      <c r="Y35" s="67" t="s">
        <v>83</v>
      </c>
      <c r="Z35" s="67"/>
      <c r="AA35" s="40"/>
      <c r="AB35" s="66">
        <f>SUMPRODUCT(D35:N35,D30:N30)/AB30</f>
        <v>2.4364888407765697E-2</v>
      </c>
      <c r="AC35" s="43"/>
      <c r="AD35" s="22"/>
    </row>
    <row r="36" spans="1:30" s="23" customFormat="1" x14ac:dyDescent="0.35">
      <c r="A36" s="47"/>
      <c r="B36" s="40" t="s">
        <v>10</v>
      </c>
      <c r="C36" s="68"/>
      <c r="D36" s="236"/>
      <c r="E36" s="236"/>
      <c r="F36" s="236">
        <v>1.7092099999999999E-2</v>
      </c>
      <c r="G36" s="236"/>
      <c r="H36" s="236">
        <v>2.1092099999999999E-2</v>
      </c>
      <c r="I36" s="236"/>
      <c r="J36" s="236">
        <v>2.4092100000000002E-2</v>
      </c>
      <c r="K36" s="236"/>
      <c r="L36" s="236">
        <v>2.7092100000000001E-2</v>
      </c>
      <c r="M36" s="236"/>
      <c r="N36" s="236">
        <v>3.7092100000000003E-2</v>
      </c>
      <c r="O36" s="236"/>
      <c r="P36" s="236">
        <v>4.7592099999999998E-2</v>
      </c>
      <c r="Q36" s="236"/>
      <c r="R36" s="236">
        <v>4.7592099999999998E-2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0.17349710955422876</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44819</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44635</v>
      </c>
      <c r="AA47" s="76"/>
      <c r="AB47" s="75">
        <v>44726</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92</v>
      </c>
      <c r="Y48" s="40"/>
      <c r="Z48" s="75">
        <v>44727</v>
      </c>
      <c r="AA48" s="76"/>
      <c r="AB48" s="75">
        <v>44818</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44818</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364</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677191</v>
      </c>
      <c r="S57" s="234"/>
      <c r="T57" s="233">
        <f>378+18</f>
        <v>396</v>
      </c>
      <c r="U57" s="234"/>
      <c r="V57" s="234">
        <v>18867</v>
      </c>
      <c r="W57" s="234"/>
      <c r="X57" s="234">
        <v>5</v>
      </c>
      <c r="Y57" s="234"/>
      <c r="Z57" s="234">
        <v>0</v>
      </c>
      <c r="AA57" s="234"/>
      <c r="AB57" s="233">
        <f>R57-T57-V57+X57-Z57</f>
        <v>657933</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677191</v>
      </c>
      <c r="S60" s="234"/>
      <c r="T60" s="234">
        <f>T57+T58</f>
        <v>396</v>
      </c>
      <c r="U60" s="234"/>
      <c r="V60" s="234">
        <f>SUM(V57:V59)</f>
        <v>18867</v>
      </c>
      <c r="W60" s="234"/>
      <c r="X60" s="234">
        <f>SUM(X57:X59)</f>
        <v>5</v>
      </c>
      <c r="Y60" s="234"/>
      <c r="Z60" s="234">
        <f>SUM(Z57:Z59)</f>
        <v>0</v>
      </c>
      <c r="AA60" s="234"/>
      <c r="AB60" s="234">
        <f>SUM(AB57:AB59)</f>
        <v>657933</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4</v>
      </c>
      <c r="S63" s="234"/>
      <c r="T63" s="234">
        <v>0</v>
      </c>
      <c r="U63" s="234"/>
      <c r="V63" s="234">
        <v>-1</v>
      </c>
      <c r="W63" s="234"/>
      <c r="X63" s="234"/>
      <c r="Y63" s="234"/>
      <c r="Z63" s="234"/>
      <c r="AA63" s="234"/>
      <c r="AB63" s="234">
        <f>R63+V63</f>
        <v>3</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584</v>
      </c>
      <c r="S64" s="234"/>
      <c r="T64" s="234"/>
      <c r="U64" s="234"/>
      <c r="V64" s="234"/>
      <c r="W64" s="234"/>
      <c r="X64" s="234">
        <f>-X57</f>
        <v>-5</v>
      </c>
      <c r="Y64" s="234"/>
      <c r="Z64" s="234"/>
      <c r="AA64" s="234"/>
      <c r="AB64" s="234">
        <f>+R64+X64</f>
        <v>579</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677779</v>
      </c>
      <c r="S66" s="234"/>
      <c r="T66" s="234"/>
      <c r="U66" s="234"/>
      <c r="V66" s="234"/>
      <c r="W66" s="234"/>
      <c r="X66" s="234"/>
      <c r="Y66" s="234"/>
      <c r="Z66" s="234"/>
      <c r="AA66" s="234"/>
      <c r="AB66" s="234">
        <f>SUM(AB60:AB65)</f>
        <v>658515</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44804</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4</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5</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f>
        <v>-5</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+T57+V57+Z57-3-1</f>
        <v>19259</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6634+199-684-34</f>
        <v>6115</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303+1</f>
        <v>304</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94</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268</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241</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672</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19263</v>
      </c>
      <c r="AA83" s="40"/>
      <c r="AB83" s="96">
        <f>SUM(AB70:AB82)</f>
        <v>7453</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19263</v>
      </c>
      <c r="AA86" s="40"/>
      <c r="AB86" s="96">
        <f>AB83+AB84+AB85</f>
        <v>7453</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-341-14-9</f>
        <v>-364</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1782</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-3381</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-271</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-164</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-151</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3</v>
      </c>
      <c r="AA99" s="111"/>
      <c r="AB99" s="97">
        <v>-3</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-24</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-196</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-138</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-268</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-12-63</f>
        <v>-75</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-1693</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-19263</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-19263</v>
      </c>
      <c r="AA128" s="96"/>
      <c r="AB128" s="96">
        <f>SUM(AB87:AB126)</f>
        <v>-7453</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3</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AUGUST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+'May 22'!AB144</f>
        <v>9569.14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-268</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9301.14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+'May 22'!AB157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+'May 22'!AB163</f>
        <v>584</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f>
        <v>-5</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0</v>
      </c>
      <c r="AC162" s="131"/>
      <c r="AD162" s="22"/>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f>
        <v>579</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3</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3</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-3</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+'May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+'May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+'May 22'!AB196</f>
        <v>2322</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1916</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672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3566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+'May 22'!AB204</f>
        <v>1960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1916</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2544</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+'May 22'!AB212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+'May 22'!Y219</f>
        <v>0</v>
      </c>
      <c r="Z217" s="97">
        <f>+'May 22'!Z219</f>
        <v>467</v>
      </c>
      <c r="AA217" s="40"/>
      <c r="AB217" s="97">
        <f>Y217+Z217</f>
        <v>467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5</v>
      </c>
      <c r="AA218" s="40"/>
      <c r="AB218" s="97">
        <f>Y218+Z218</f>
        <v>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472</v>
      </c>
      <c r="AA219" s="40"/>
      <c r="AB219" s="97">
        <f>Y219+Z219</f>
        <v>472</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116881.76000000001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638400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641789</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-3389</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2.82873746867168E-3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2.6231884057971016</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3.3</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20.250922509225092</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26.81</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31.810975609756099</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40.270000000000003</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33.463576158940398</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40.9</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25.010204081632654</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27.91</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AUGUST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44804</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3.5734459307974031E-2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2.4364888407765697E-2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1.1369570900208334E-2</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1.3625385265698701E-2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19.52</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2.8420768421565143E-2</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4.8099999999999997E-2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3</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Z272+'May 22'!Z273</f>
        <v>13</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3458</v>
      </c>
      <c r="Y286" s="189">
        <f>X286/$X$295</f>
        <v>1</v>
      </c>
      <c r="Z286" s="106">
        <f t="shared" ref="Z286:Z293" si="1">+Z298+Z310+Z332</f>
        <v>657933</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3458</v>
      </c>
      <c r="Y295" s="195">
        <f>SUM(Y286:Y294)</f>
        <v>1</v>
      </c>
      <c r="Z295" s="97">
        <f>SUM(Z286:Z294)</f>
        <v>657933</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3458</v>
      </c>
      <c r="Y298" s="189">
        <f>X298/$X$307</f>
        <v>1</v>
      </c>
      <c r="Z298" s="106">
        <v>657933</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3458</v>
      </c>
      <c r="Y307" s="195">
        <f>SUM(Y298:Y306)</f>
        <v>1</v>
      </c>
      <c r="Z307" s="97">
        <f>SUM(Z298:Z306)</f>
        <v>657933</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3458</v>
      </c>
      <c r="Y343" s="195"/>
      <c r="Z343" s="208">
        <f>+Z341+Z319+Z307</f>
        <v>657933</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582</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658515</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658515</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AUGUST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sheetData>
  <hyperlinks>
    <hyperlink ref="K9" r:id="rId1" display="http://www.paragon-group.co.uk" xr:uid="{6A2F316A-EA2C-4C03-AF1F-E47BCF76D61D}"/>
    <hyperlink ref="P355" r:id="rId2" xr:uid="{6A630F33-59A7-424A-94AD-65EC222FCBB6}"/>
    <hyperlink ref="P283" r:id="rId3" xr:uid="{98E9ABD1-AA08-438D-8CB0-1E43C41CAA91}"/>
    <hyperlink ref="B361" r:id="rId4" display="https://investorreporting.paragonbankinggroup.co.uk/bondinvestor_viewer/resources/bondinvestor/pdf/investornews/2021/libor-mortgages-transition-july-19" xr:uid="{4EA265A0-2A1C-4533-BF40-0AB4C3816BE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DCAD-D9CC-40DC-9B73-AAEF17C47A9B}">
  <sheetPr>
    <tabColor rgb="FF89CB31"/>
  </sheetPr>
  <dimension ref="A1:JB361"/>
  <sheetViews>
    <sheetView showGridLines="0" showOutlineSymbols="0" zoomScale="70" zoomScaleNormal="70" workbookViewId="0"/>
  </sheetViews>
  <sheetFormatPr defaultColWidth="9.69140625" defaultRowHeight="15.5" x14ac:dyDescent="0.35"/>
  <cols>
    <col min="1" max="1" width="4" style="6" customWidth="1"/>
    <col min="2" max="2" width="71.07421875" style="6" customWidth="1"/>
    <col min="3" max="3" width="2.07421875" style="6" customWidth="1"/>
    <col min="4" max="4" width="16.07421875" style="6" customWidth="1"/>
    <col min="5" max="5" width="2.84375" style="6" customWidth="1"/>
    <col min="6" max="6" width="16.07421875" style="6" customWidth="1"/>
    <col min="7" max="7" width="2.07421875" style="6" customWidth="1"/>
    <col min="8" max="8" width="17.84375" style="6" customWidth="1"/>
    <col min="9" max="9" width="2.23046875" style="6" customWidth="1"/>
    <col min="10" max="10" width="14.84375" style="6" customWidth="1"/>
    <col min="11" max="11" width="2.23046875" style="6" customWidth="1"/>
    <col min="12" max="12" width="15.53515625" style="6" customWidth="1"/>
    <col min="13" max="13" width="2.23046875" style="6" customWidth="1"/>
    <col min="14" max="14" width="15.53515625" style="6" customWidth="1"/>
    <col min="15" max="15" width="2.23046875" style="6" customWidth="1"/>
    <col min="16" max="16" width="15.53515625" style="6" customWidth="1"/>
    <col min="17" max="17" width="2.07421875" style="6" customWidth="1"/>
    <col min="18" max="18" width="15.53515625" style="6" customWidth="1"/>
    <col min="19" max="19" width="2.07421875" style="6" customWidth="1"/>
    <col min="20" max="20" width="15.53515625" style="6" customWidth="1"/>
    <col min="21" max="21" width="2.23046875" style="6" customWidth="1"/>
    <col min="22" max="22" width="15.53515625" style="6" customWidth="1"/>
    <col min="23" max="23" width="2.07421875" style="6" customWidth="1"/>
    <col min="24" max="24" width="15.53515625" style="6" customWidth="1"/>
    <col min="25" max="25" width="12.69140625" style="6" customWidth="1"/>
    <col min="26" max="26" width="18.07421875" style="6" customWidth="1"/>
    <col min="27" max="27" width="8.69140625" style="6" bestFit="1" customWidth="1"/>
    <col min="28" max="28" width="14.69140625" style="6" customWidth="1"/>
    <col min="29" max="29" width="11.84375" style="6" customWidth="1"/>
    <col min="30" max="16384" width="9.69140625" style="6"/>
  </cols>
  <sheetData>
    <row r="1" spans="1:30" ht="21" x14ac:dyDescent="0.5">
      <c r="A1" s="1"/>
      <c r="B1" s="2" t="s">
        <v>307</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5">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5">
      <c r="A3" s="11"/>
      <c r="B3" s="12" t="s">
        <v>308</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5">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5">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5">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5">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5">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5" x14ac:dyDescent="0.45">
      <c r="A9" s="7"/>
      <c r="B9" s="12" t="s">
        <v>108</v>
      </c>
      <c r="C9" s="9"/>
      <c r="D9" s="9"/>
      <c r="E9" s="15"/>
      <c r="F9" s="9"/>
      <c r="G9" s="9"/>
      <c r="H9" s="15"/>
      <c r="I9" s="9"/>
      <c r="J9" s="15"/>
      <c r="K9" s="16" t="s">
        <v>165</v>
      </c>
      <c r="L9" s="15"/>
      <c r="M9" s="15"/>
      <c r="N9" s="15"/>
      <c r="O9" s="15"/>
      <c r="P9" s="15"/>
      <c r="Q9" s="15"/>
      <c r="R9" s="15"/>
      <c r="S9" s="15"/>
      <c r="T9" s="15"/>
      <c r="U9" s="15"/>
      <c r="V9" s="15"/>
      <c r="W9" s="9"/>
      <c r="X9" s="9"/>
      <c r="Y9" s="9"/>
      <c r="Z9" s="9"/>
      <c r="AA9" s="9"/>
      <c r="AB9" s="9"/>
      <c r="AC9" s="10"/>
      <c r="AD9" s="5"/>
    </row>
    <row r="10" spans="1:30" x14ac:dyDescent="0.35">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4"/>
      <c r="AC10" s="10"/>
      <c r="AD10" s="5"/>
    </row>
    <row r="11" spans="1:30" s="23" customFormat="1" x14ac:dyDescent="0.35">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 thickBot="1" x14ac:dyDescent="0.4">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5">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5">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5" t="s">
        <v>309</v>
      </c>
      <c r="AC14" s="21"/>
      <c r="AD14" s="22"/>
    </row>
    <row r="15" spans="1:30" s="23" customFormat="1" x14ac:dyDescent="0.35">
      <c r="A15" s="18"/>
      <c r="B15" s="19" t="s">
        <v>271</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311</v>
      </c>
      <c r="AC15" s="21"/>
      <c r="AD15" s="22"/>
    </row>
    <row r="16" spans="1:30" s="23" customFormat="1" x14ac:dyDescent="0.35">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9">
        <v>2.3383291730074529E-2</v>
      </c>
      <c r="Z16" s="299" t="s">
        <v>259</v>
      </c>
      <c r="AA16" s="299">
        <v>0.97661670826992542</v>
      </c>
      <c r="AB16" s="27"/>
      <c r="AC16" s="21"/>
      <c r="AD16" s="22"/>
    </row>
    <row r="17" spans="1:33" s="23" customFormat="1" x14ac:dyDescent="0.35">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9">
        <v>2.2547486418320582E-2</v>
      </c>
      <c r="Z17" s="299" t="s">
        <v>259</v>
      </c>
      <c r="AA17" s="299">
        <v>0.97745251358167939</v>
      </c>
      <c r="AB17" s="27"/>
      <c r="AC17" s="21"/>
      <c r="AD17" s="22"/>
    </row>
    <row r="18" spans="1:33" s="23" customFormat="1" x14ac:dyDescent="0.35">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9"/>
      <c r="Z18" s="9"/>
      <c r="AA18" s="9"/>
      <c r="AB18" s="223">
        <v>44146</v>
      </c>
      <c r="AC18" s="21"/>
      <c r="AD18" s="22"/>
    </row>
    <row r="19" spans="1:33" s="23" customFormat="1" x14ac:dyDescent="0.35">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3">
        <v>44916</v>
      </c>
      <c r="AC19" s="21"/>
      <c r="AD19" s="22"/>
    </row>
    <row r="20" spans="1:33" s="23" customFormat="1" x14ac:dyDescent="0.35">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5">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5">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5" x14ac:dyDescent="0.35">
      <c r="A23" s="33"/>
      <c r="B23" s="34"/>
      <c r="C23" s="35"/>
      <c r="D23" s="35"/>
      <c r="E23" s="35"/>
      <c r="F23" s="35" t="s">
        <v>294</v>
      </c>
      <c r="G23" s="35"/>
      <c r="H23" s="35" t="s">
        <v>139</v>
      </c>
      <c r="I23" s="35"/>
      <c r="J23" s="35" t="s">
        <v>140</v>
      </c>
      <c r="K23" s="35"/>
      <c r="L23" s="35" t="s">
        <v>168</v>
      </c>
      <c r="M23" s="35"/>
      <c r="N23" s="35" t="s">
        <v>158</v>
      </c>
      <c r="O23" s="35"/>
      <c r="P23" s="35" t="s">
        <v>178</v>
      </c>
      <c r="Q23" s="35"/>
      <c r="R23" s="35" t="s">
        <v>179</v>
      </c>
      <c r="S23" s="35"/>
      <c r="T23" s="35" t="s">
        <v>180</v>
      </c>
      <c r="U23" s="35"/>
      <c r="V23" s="35" t="s">
        <v>181</v>
      </c>
      <c r="W23" s="35"/>
      <c r="X23" s="35" t="s">
        <v>182</v>
      </c>
      <c r="Y23" s="35" t="s">
        <v>183</v>
      </c>
      <c r="Z23" s="35"/>
      <c r="AA23" s="34"/>
      <c r="AB23" s="34"/>
      <c r="AC23" s="36"/>
      <c r="AD23" s="5"/>
    </row>
    <row r="24" spans="1:33" s="23" customFormat="1" x14ac:dyDescent="0.35">
      <c r="A24" s="18"/>
      <c r="B24" s="37" t="s">
        <v>155</v>
      </c>
      <c r="C24" s="38"/>
      <c r="D24" s="225"/>
      <c r="E24" s="225"/>
      <c r="F24" s="225" t="s">
        <v>215</v>
      </c>
      <c r="G24" s="225"/>
      <c r="H24" s="225" t="s">
        <v>216</v>
      </c>
      <c r="I24" s="225"/>
      <c r="J24" s="225" t="s">
        <v>264</v>
      </c>
      <c r="K24" s="225"/>
      <c r="L24" s="225" t="s">
        <v>266</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5">
      <c r="A25" s="39"/>
      <c r="B25" s="40" t="s">
        <v>153</v>
      </c>
      <c r="C25" s="41"/>
      <c r="D25" s="224"/>
      <c r="E25" s="224"/>
      <c r="F25" s="224" t="s">
        <v>217</v>
      </c>
      <c r="G25" s="224"/>
      <c r="H25" s="224" t="s">
        <v>218</v>
      </c>
      <c r="I25" s="224"/>
      <c r="J25" s="224" t="s">
        <v>265</v>
      </c>
      <c r="K25" s="224"/>
      <c r="L25" s="224" t="s">
        <v>297</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5">
      <c r="A26" s="39"/>
      <c r="B26" s="44" t="s">
        <v>156</v>
      </c>
      <c r="C26" s="41"/>
      <c r="D26" s="226"/>
      <c r="E26" s="226"/>
      <c r="F26" s="226" t="s">
        <v>215</v>
      </c>
      <c r="G26" s="226"/>
      <c r="H26" s="226" t="s">
        <v>360</v>
      </c>
      <c r="I26" s="226"/>
      <c r="J26" s="226" t="s">
        <v>361</v>
      </c>
      <c r="K26" s="226"/>
      <c r="L26" s="226" t="s">
        <v>365</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5">
      <c r="A27" s="47"/>
      <c r="B27" s="44" t="s">
        <v>154</v>
      </c>
      <c r="C27" s="42"/>
      <c r="D27" s="226"/>
      <c r="E27" s="226"/>
      <c r="F27" s="226" t="s">
        <v>217</v>
      </c>
      <c r="G27" s="226"/>
      <c r="H27" s="226" t="s">
        <v>218</v>
      </c>
      <c r="I27" s="226"/>
      <c r="J27" s="226" t="s">
        <v>265</v>
      </c>
      <c r="K27" s="226"/>
      <c r="L27" s="226" t="s">
        <v>297</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5">
      <c r="A28" s="47"/>
      <c r="B28" s="58" t="s">
        <v>7</v>
      </c>
      <c r="C28" s="49"/>
      <c r="D28" s="224"/>
      <c r="E28" s="224"/>
      <c r="F28" s="224" t="s">
        <v>312</v>
      </c>
      <c r="G28" s="224"/>
      <c r="H28" s="224" t="s">
        <v>313</v>
      </c>
      <c r="I28" s="224"/>
      <c r="J28" s="224" t="s">
        <v>314</v>
      </c>
      <c r="K28" s="224"/>
      <c r="L28" s="224" t="s">
        <v>315</v>
      </c>
      <c r="M28" s="224"/>
      <c r="N28" s="224" t="s">
        <v>316</v>
      </c>
      <c r="O28" s="224"/>
      <c r="P28" s="224" t="s">
        <v>317</v>
      </c>
      <c r="Q28" s="224"/>
      <c r="R28" s="224" t="s">
        <v>83</v>
      </c>
      <c r="S28" s="224"/>
      <c r="T28" s="224" t="s">
        <v>318</v>
      </c>
      <c r="U28" s="224"/>
      <c r="V28" s="224" t="s">
        <v>319</v>
      </c>
      <c r="W28" s="224"/>
      <c r="X28" s="224" t="s">
        <v>320</v>
      </c>
      <c r="Y28" s="224" t="s">
        <v>321</v>
      </c>
      <c r="Z28" s="224"/>
      <c r="AA28" s="49"/>
      <c r="AB28" s="50"/>
      <c r="AC28" s="51"/>
      <c r="AD28" s="22"/>
      <c r="AE28" s="45"/>
      <c r="AG28" s="46"/>
    </row>
    <row r="29" spans="1:33" s="23" customFormat="1" x14ac:dyDescent="0.35">
      <c r="A29" s="39"/>
      <c r="B29" s="40" t="s">
        <v>91</v>
      </c>
      <c r="C29" s="52"/>
      <c r="D29" s="54"/>
      <c r="E29" s="53"/>
      <c r="F29" s="296">
        <v>623812</v>
      </c>
      <c r="G29" s="297"/>
      <c r="H29" s="296">
        <v>39664</v>
      </c>
      <c r="I29" s="297"/>
      <c r="J29" s="296">
        <v>21635</v>
      </c>
      <c r="K29" s="297"/>
      <c r="L29" s="296">
        <v>18029</v>
      </c>
      <c r="M29" s="298"/>
      <c r="N29" s="296">
        <v>18031</v>
      </c>
      <c r="O29" s="296"/>
      <c r="P29" s="296">
        <v>11148</v>
      </c>
      <c r="Q29" s="296"/>
      <c r="R29" s="296">
        <v>1142</v>
      </c>
      <c r="S29" s="54"/>
      <c r="T29" s="54" t="s">
        <v>83</v>
      </c>
      <c r="U29" s="54"/>
      <c r="V29" s="54" t="s">
        <v>83</v>
      </c>
      <c r="W29" s="54"/>
      <c r="X29" s="54" t="s">
        <v>83</v>
      </c>
      <c r="Y29" s="54" t="s">
        <v>83</v>
      </c>
      <c r="Z29" s="54"/>
      <c r="AA29" s="52"/>
      <c r="AB29" s="50">
        <f>SUM(F29:N29)</f>
        <v>721171</v>
      </c>
      <c r="AC29" s="51"/>
      <c r="AD29" s="22"/>
    </row>
    <row r="30" spans="1:33" s="23" customFormat="1" x14ac:dyDescent="0.35">
      <c r="A30" s="47"/>
      <c r="B30" s="40" t="s">
        <v>90</v>
      </c>
      <c r="C30" s="49"/>
      <c r="D30" s="54"/>
      <c r="E30" s="54"/>
      <c r="F30" s="54">
        <f>F29*F33</f>
        <v>561156.32272000005</v>
      </c>
      <c r="G30" s="54"/>
      <c r="H30" s="54">
        <f>H29</f>
        <v>39664</v>
      </c>
      <c r="I30" s="54"/>
      <c r="J30" s="54">
        <f>J29</f>
        <v>21635</v>
      </c>
      <c r="K30" s="54"/>
      <c r="L30" s="54">
        <f>L29</f>
        <v>18029</v>
      </c>
      <c r="M30" s="54"/>
      <c r="N30" s="54">
        <f>N29</f>
        <v>18031</v>
      </c>
      <c r="O30" s="54"/>
      <c r="P30" s="54">
        <f>P29*P33</f>
        <v>9896.0796000000009</v>
      </c>
      <c r="Q30" s="54"/>
      <c r="R30" s="54">
        <v>0</v>
      </c>
      <c r="S30" s="54"/>
      <c r="T30" s="54" t="s">
        <v>83</v>
      </c>
      <c r="U30" s="54"/>
      <c r="V30" s="54" t="s">
        <v>83</v>
      </c>
      <c r="W30" s="54"/>
      <c r="X30" s="54" t="s">
        <v>83</v>
      </c>
      <c r="Y30" s="54" t="s">
        <v>83</v>
      </c>
      <c r="Z30" s="54"/>
      <c r="AA30" s="49"/>
      <c r="AB30" s="50">
        <f>SUM(F30:N30)</f>
        <v>658515.32272000005</v>
      </c>
      <c r="AC30" s="51"/>
      <c r="AD30" s="22"/>
    </row>
    <row r="31" spans="1:33" s="23" customFormat="1" x14ac:dyDescent="0.35">
      <c r="A31" s="47"/>
      <c r="B31" s="44" t="s">
        <v>92</v>
      </c>
      <c r="C31" s="49"/>
      <c r="D31" s="56"/>
      <c r="E31" s="56"/>
      <c r="F31" s="56">
        <f>F29*F32</f>
        <v>537301.75184000004</v>
      </c>
      <c r="G31" s="56"/>
      <c r="H31" s="56">
        <f>H29</f>
        <v>39664</v>
      </c>
      <c r="I31" s="56"/>
      <c r="J31" s="56">
        <f>J29</f>
        <v>21635</v>
      </c>
      <c r="K31" s="56"/>
      <c r="L31" s="56">
        <f>L29</f>
        <v>18029</v>
      </c>
      <c r="M31" s="56"/>
      <c r="N31" s="56">
        <f>N29</f>
        <v>18031</v>
      </c>
      <c r="O31" s="56"/>
      <c r="P31" s="56">
        <f>P29*P32</f>
        <v>9607.1234399999994</v>
      </c>
      <c r="Q31" s="56"/>
      <c r="R31" s="56">
        <v>0</v>
      </c>
      <c r="S31" s="56"/>
      <c r="T31" s="56" t="s">
        <v>83</v>
      </c>
      <c r="U31" s="56"/>
      <c r="V31" s="56" t="s">
        <v>83</v>
      </c>
      <c r="W31" s="56"/>
      <c r="X31" s="56" t="s">
        <v>83</v>
      </c>
      <c r="Y31" s="56" t="s">
        <v>83</v>
      </c>
      <c r="Z31" s="56"/>
      <c r="AA31" s="49"/>
      <c r="AB31" s="55">
        <f>SUM(F31:N31)</f>
        <v>634660.75184000004</v>
      </c>
      <c r="AC31" s="51"/>
      <c r="AD31" s="22"/>
      <c r="AE31" s="231"/>
    </row>
    <row r="32" spans="1:33" s="64" customFormat="1" x14ac:dyDescent="0.35">
      <c r="A32" s="57"/>
      <c r="B32" s="163" t="s">
        <v>88</v>
      </c>
      <c r="C32" s="60"/>
      <c r="D32" s="59"/>
      <c r="E32" s="59"/>
      <c r="F32" s="59">
        <v>0.86131999999999997</v>
      </c>
      <c r="G32" s="59"/>
      <c r="H32" s="59">
        <v>1</v>
      </c>
      <c r="I32" s="59"/>
      <c r="J32" s="59">
        <v>1</v>
      </c>
      <c r="K32" s="59"/>
      <c r="L32" s="59">
        <v>1</v>
      </c>
      <c r="M32" s="59"/>
      <c r="N32" s="59">
        <v>1</v>
      </c>
      <c r="O32" s="59"/>
      <c r="P32" s="59">
        <v>0.86177999999999999</v>
      </c>
      <c r="Q32" s="59"/>
      <c r="R32" s="59">
        <v>0</v>
      </c>
      <c r="S32" s="59"/>
      <c r="T32" s="59" t="s">
        <v>83</v>
      </c>
      <c r="U32" s="59"/>
      <c r="V32" s="59" t="s">
        <v>83</v>
      </c>
      <c r="W32" s="59"/>
      <c r="X32" s="59" t="s">
        <v>83</v>
      </c>
      <c r="Y32" s="59" t="s">
        <v>83</v>
      </c>
      <c r="Z32" s="59"/>
      <c r="AA32" s="60"/>
      <c r="AB32" s="61"/>
      <c r="AC32" s="62"/>
      <c r="AD32" s="63"/>
    </row>
    <row r="33" spans="1:30" s="64" customFormat="1" x14ac:dyDescent="0.35">
      <c r="A33" s="57"/>
      <c r="B33" s="60" t="s">
        <v>89</v>
      </c>
      <c r="C33" s="60"/>
      <c r="D33" s="59"/>
      <c r="E33" s="222"/>
      <c r="F33" s="59">
        <v>0.89956000000000003</v>
      </c>
      <c r="G33" s="59"/>
      <c r="H33" s="59">
        <v>1</v>
      </c>
      <c r="I33" s="59"/>
      <c r="J33" s="59">
        <v>1</v>
      </c>
      <c r="K33" s="59"/>
      <c r="L33" s="59">
        <v>1</v>
      </c>
      <c r="M33" s="59"/>
      <c r="N33" s="59">
        <v>1</v>
      </c>
      <c r="O33" s="59"/>
      <c r="P33" s="59">
        <v>0.88770000000000004</v>
      </c>
      <c r="Q33" s="59"/>
      <c r="R33" s="59">
        <v>0</v>
      </c>
      <c r="S33" s="222"/>
      <c r="T33" s="222" t="s">
        <v>83</v>
      </c>
      <c r="U33" s="222"/>
      <c r="V33" s="222" t="s">
        <v>83</v>
      </c>
      <c r="W33" s="222"/>
      <c r="X33" s="222" t="s">
        <v>83</v>
      </c>
      <c r="Y33" s="59" t="s">
        <v>83</v>
      </c>
      <c r="Z33" s="59"/>
      <c r="AA33" s="60"/>
      <c r="AB33" s="65"/>
      <c r="AC33" s="62"/>
      <c r="AD33" s="63"/>
    </row>
    <row r="34" spans="1:30" s="23" customFormat="1" x14ac:dyDescent="0.35">
      <c r="A34" s="47"/>
      <c r="B34" s="40" t="s">
        <v>8</v>
      </c>
      <c r="C34" s="40"/>
      <c r="D34" s="48"/>
      <c r="E34" s="48"/>
      <c r="F34" s="294" t="s">
        <v>322</v>
      </c>
      <c r="G34" s="294"/>
      <c r="H34" s="294" t="s">
        <v>323</v>
      </c>
      <c r="I34" s="294"/>
      <c r="J34" s="294" t="s">
        <v>295</v>
      </c>
      <c r="K34" s="294"/>
      <c r="L34" s="294" t="s">
        <v>324</v>
      </c>
      <c r="M34" s="294"/>
      <c r="N34" s="294" t="s">
        <v>325</v>
      </c>
      <c r="O34" s="294"/>
      <c r="P34" s="294" t="s">
        <v>249</v>
      </c>
      <c r="Q34" s="294"/>
      <c r="R34" s="294" t="s">
        <v>249</v>
      </c>
      <c r="S34" s="48"/>
      <c r="T34" s="48" t="s">
        <v>83</v>
      </c>
      <c r="U34" s="48"/>
      <c r="V34" s="48" t="s">
        <v>83</v>
      </c>
      <c r="W34" s="48"/>
      <c r="X34" s="48" t="s">
        <v>83</v>
      </c>
      <c r="Y34" s="48" t="s">
        <v>83</v>
      </c>
      <c r="Z34" s="48"/>
      <c r="AA34" s="40"/>
      <c r="AB34" s="40"/>
      <c r="AC34" s="43"/>
      <c r="AD34" s="22"/>
    </row>
    <row r="35" spans="1:30" s="23" customFormat="1" x14ac:dyDescent="0.35">
      <c r="A35" s="47"/>
      <c r="B35" s="40" t="s">
        <v>9</v>
      </c>
      <c r="C35" s="68"/>
      <c r="D35" s="236"/>
      <c r="E35" s="236"/>
      <c r="F35" s="236">
        <v>3.3522900000000001E-2</v>
      </c>
      <c r="G35" s="236"/>
      <c r="H35" s="236">
        <v>3.7522899999999998E-2</v>
      </c>
      <c r="I35" s="236"/>
      <c r="J35" s="236">
        <v>4.0522900000000001E-2</v>
      </c>
      <c r="K35" s="236"/>
      <c r="L35" s="236">
        <v>4.3522900000000003E-2</v>
      </c>
      <c r="M35" s="236"/>
      <c r="N35" s="236">
        <v>5.3522899999999998E-2</v>
      </c>
      <c r="O35" s="236"/>
      <c r="P35" s="236">
        <v>6.4022899999999994E-2</v>
      </c>
      <c r="Q35" s="236"/>
      <c r="R35" s="236">
        <v>6.4022899999999994E-2</v>
      </c>
      <c r="S35" s="67"/>
      <c r="T35" s="67" t="s">
        <v>83</v>
      </c>
      <c r="U35" s="67"/>
      <c r="V35" s="67" t="s">
        <v>83</v>
      </c>
      <c r="W35" s="67"/>
      <c r="X35" s="67" t="s">
        <v>83</v>
      </c>
      <c r="Y35" s="67" t="s">
        <v>83</v>
      </c>
      <c r="Z35" s="67"/>
      <c r="AA35" s="40"/>
      <c r="AB35" s="66">
        <f>SUMPRODUCT(D35:N35,D30:N30)/AB30</f>
        <v>3.4815217688956575E-2</v>
      </c>
      <c r="AC35" s="43"/>
      <c r="AD35" s="22"/>
    </row>
    <row r="36" spans="1:30" s="23" customFormat="1" x14ac:dyDescent="0.35">
      <c r="A36" s="47"/>
      <c r="B36" s="40" t="s">
        <v>10</v>
      </c>
      <c r="C36" s="68"/>
      <c r="D36" s="236"/>
      <c r="E36" s="236"/>
      <c r="F36" s="236">
        <v>2.3109299999999999E-2</v>
      </c>
      <c r="G36" s="236"/>
      <c r="H36" s="236">
        <v>2.7109299999999999E-2</v>
      </c>
      <c r="I36" s="236"/>
      <c r="J36" s="236">
        <v>3.0109299999999999E-2</v>
      </c>
      <c r="K36" s="236"/>
      <c r="L36" s="236">
        <v>3.3109300000000001E-2</v>
      </c>
      <c r="M36" s="236"/>
      <c r="N36" s="236">
        <v>4.3109300000000003E-2</v>
      </c>
      <c r="O36" s="236"/>
      <c r="P36" s="236">
        <v>5.3609299999999999E-2</v>
      </c>
      <c r="Q36" s="236"/>
      <c r="R36" s="236">
        <v>5.3609299999999999E-2</v>
      </c>
      <c r="S36" s="67"/>
      <c r="T36" s="67" t="s">
        <v>83</v>
      </c>
      <c r="U36" s="67"/>
      <c r="V36" s="67" t="s">
        <v>83</v>
      </c>
      <c r="W36" s="67"/>
      <c r="X36" s="67" t="s">
        <v>83</v>
      </c>
      <c r="Y36" s="67" t="s">
        <v>83</v>
      </c>
      <c r="Z36" s="67"/>
      <c r="AA36" s="40"/>
      <c r="AB36" s="40"/>
      <c r="AC36" s="43"/>
      <c r="AD36" s="22"/>
    </row>
    <row r="37" spans="1:30" s="23" customFormat="1" x14ac:dyDescent="0.35">
      <c r="A37" s="47"/>
      <c r="B37" s="40" t="s">
        <v>157</v>
      </c>
      <c r="C37" s="40"/>
      <c r="D37" s="68"/>
      <c r="E37" s="68"/>
      <c r="F37" s="293">
        <v>46006</v>
      </c>
      <c r="G37" s="293"/>
      <c r="H37" s="293">
        <v>46006</v>
      </c>
      <c r="I37" s="293"/>
      <c r="J37" s="293">
        <v>46006</v>
      </c>
      <c r="K37" s="293"/>
      <c r="L37" s="293">
        <v>46006</v>
      </c>
      <c r="M37" s="293"/>
      <c r="N37" s="293">
        <v>46006</v>
      </c>
      <c r="O37" s="293"/>
      <c r="P37" s="293">
        <v>46006</v>
      </c>
      <c r="Q37" s="293"/>
      <c r="R37" s="293">
        <v>46006</v>
      </c>
      <c r="S37" s="68"/>
      <c r="T37" s="68" t="s">
        <v>83</v>
      </c>
      <c r="U37" s="68"/>
      <c r="V37" s="68" t="s">
        <v>83</v>
      </c>
      <c r="W37" s="68"/>
      <c r="X37" s="68" t="s">
        <v>83</v>
      </c>
      <c r="Y37" s="68" t="s">
        <v>83</v>
      </c>
      <c r="Z37" s="68"/>
      <c r="AA37" s="40"/>
      <c r="AB37" s="40"/>
      <c r="AC37" s="43"/>
      <c r="AD37" s="22"/>
    </row>
    <row r="38" spans="1:30" s="23" customFormat="1" x14ac:dyDescent="0.35">
      <c r="A38" s="47"/>
      <c r="B38" s="40" t="s">
        <v>11</v>
      </c>
      <c r="C38" s="40"/>
      <c r="D38" s="68"/>
      <c r="E38" s="68"/>
      <c r="F38" s="293">
        <v>46006</v>
      </c>
      <c r="G38" s="294"/>
      <c r="H38" s="293">
        <v>46006</v>
      </c>
      <c r="I38" s="294"/>
      <c r="J38" s="293">
        <v>46006</v>
      </c>
      <c r="K38" s="294"/>
      <c r="L38" s="293">
        <v>46006</v>
      </c>
      <c r="M38" s="294"/>
      <c r="N38" s="293" t="s">
        <v>83</v>
      </c>
      <c r="O38" s="293"/>
      <c r="P38" s="293" t="s">
        <v>83</v>
      </c>
      <c r="Q38" s="293"/>
      <c r="R38" s="293" t="s">
        <v>83</v>
      </c>
      <c r="S38" s="68"/>
      <c r="T38" s="68" t="s">
        <v>83</v>
      </c>
      <c r="U38" s="68"/>
      <c r="V38" s="68" t="s">
        <v>83</v>
      </c>
      <c r="W38" s="68"/>
      <c r="X38" s="68" t="s">
        <v>83</v>
      </c>
      <c r="Y38" s="68" t="s">
        <v>83</v>
      </c>
      <c r="Z38" s="68"/>
      <c r="AA38" s="40"/>
      <c r="AB38" s="40"/>
      <c r="AC38" s="43"/>
      <c r="AD38" s="22"/>
    </row>
    <row r="39" spans="1:30" s="23" customFormat="1" x14ac:dyDescent="0.35">
      <c r="A39" s="47"/>
      <c r="B39" s="40" t="s">
        <v>84</v>
      </c>
      <c r="C39" s="40"/>
      <c r="D39" s="48"/>
      <c r="E39" s="48"/>
      <c r="F39" s="294" t="s">
        <v>326</v>
      </c>
      <c r="G39" s="294"/>
      <c r="H39" s="294" t="s">
        <v>327</v>
      </c>
      <c r="I39" s="294"/>
      <c r="J39" s="294" t="s">
        <v>328</v>
      </c>
      <c r="K39" s="294"/>
      <c r="L39" s="294" t="s">
        <v>329</v>
      </c>
      <c r="M39" s="48"/>
      <c r="N39" s="68" t="s">
        <v>83</v>
      </c>
      <c r="O39" s="68"/>
      <c r="P39" s="68" t="s">
        <v>83</v>
      </c>
      <c r="Q39" s="68"/>
      <c r="R39" s="68" t="s">
        <v>83</v>
      </c>
      <c r="S39" s="48"/>
      <c r="T39" s="48" t="s">
        <v>83</v>
      </c>
      <c r="U39" s="48"/>
      <c r="V39" s="48" t="s">
        <v>83</v>
      </c>
      <c r="W39" s="48"/>
      <c r="X39" s="48" t="s">
        <v>83</v>
      </c>
      <c r="Y39" s="48" t="s">
        <v>83</v>
      </c>
      <c r="Z39" s="48"/>
      <c r="AA39" s="69"/>
      <c r="AB39" s="69"/>
      <c r="AC39" s="43"/>
      <c r="AD39" s="22"/>
    </row>
    <row r="40" spans="1:30" s="23" customFormat="1" x14ac:dyDescent="0.35">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6" t="s">
        <v>110</v>
      </c>
      <c r="AC40" s="43"/>
      <c r="AD40" s="22"/>
    </row>
    <row r="41" spans="1:30" s="23" customFormat="1" x14ac:dyDescent="0.35">
      <c r="A41" s="47"/>
      <c r="B41" s="40" t="s">
        <v>248</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28">
        <f>SUM(G29:N29)/F29</f>
        <v>0.15607105987060205</v>
      </c>
      <c r="AC41" s="43"/>
      <c r="AD41" s="22"/>
    </row>
    <row r="42" spans="1:30" s="23" customFormat="1" x14ac:dyDescent="0.35">
      <c r="A42" s="47"/>
      <c r="B42" s="40" t="s">
        <v>247</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28">
        <f>SUM(G31:N31)/F31</f>
        <v>0.18119985588469098</v>
      </c>
      <c r="AC42" s="43"/>
      <c r="AD42" s="22"/>
    </row>
    <row r="43" spans="1:30" s="23" customFormat="1" x14ac:dyDescent="0.35">
      <c r="A43" s="47"/>
      <c r="B43" s="40" t="s">
        <v>194</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5">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0"/>
      <c r="AC44" s="43"/>
      <c r="AD44" s="22"/>
    </row>
    <row r="45" spans="1:30" s="23" customFormat="1" x14ac:dyDescent="0.35">
      <c r="A45" s="47"/>
      <c r="B45" s="40" t="s">
        <v>193</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t="s">
        <v>77</v>
      </c>
      <c r="AC45" s="43"/>
      <c r="AD45" s="22"/>
    </row>
    <row r="46" spans="1:30" s="23" customFormat="1" x14ac:dyDescent="0.35">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2"/>
      <c r="AA46" s="72"/>
      <c r="AB46" s="73">
        <v>44910</v>
      </c>
      <c r="AC46" s="43"/>
      <c r="AD46" s="22"/>
    </row>
    <row r="47" spans="1:30" s="23" customFormat="1" x14ac:dyDescent="0.35">
      <c r="A47" s="47"/>
      <c r="B47" s="40" t="s">
        <v>85</v>
      </c>
      <c r="C47" s="40"/>
      <c r="D47" s="74"/>
      <c r="E47" s="74"/>
      <c r="F47" s="74"/>
      <c r="G47" s="74"/>
      <c r="H47" s="74"/>
      <c r="I47" s="74"/>
      <c r="J47" s="74"/>
      <c r="K47" s="74"/>
      <c r="L47" s="74"/>
      <c r="M47" s="74"/>
      <c r="N47" s="74"/>
      <c r="O47" s="74"/>
      <c r="P47" s="74"/>
      <c r="Q47" s="74"/>
      <c r="R47" s="74"/>
      <c r="S47" s="74"/>
      <c r="T47" s="74"/>
      <c r="U47" s="74"/>
      <c r="V47" s="74"/>
      <c r="W47" s="74"/>
      <c r="X47" s="275">
        <f>+AB47-Z47+1</f>
        <v>92</v>
      </c>
      <c r="Y47" s="40"/>
      <c r="Z47" s="75">
        <v>44727</v>
      </c>
      <c r="AA47" s="76"/>
      <c r="AB47" s="75">
        <v>44818</v>
      </c>
      <c r="AC47" s="43"/>
      <c r="AD47" s="22"/>
    </row>
    <row r="48" spans="1:30" s="23" customFormat="1" x14ac:dyDescent="0.35">
      <c r="A48" s="47"/>
      <c r="B48" s="40" t="s">
        <v>86</v>
      </c>
      <c r="C48" s="40"/>
      <c r="D48" s="40"/>
      <c r="E48" s="40"/>
      <c r="F48" s="40"/>
      <c r="G48" s="40"/>
      <c r="H48" s="40"/>
      <c r="I48" s="40"/>
      <c r="J48" s="40"/>
      <c r="K48" s="40"/>
      <c r="L48" s="40"/>
      <c r="M48" s="40"/>
      <c r="N48" s="40"/>
      <c r="O48" s="40"/>
      <c r="P48" s="40"/>
      <c r="Q48" s="40"/>
      <c r="R48" s="40"/>
      <c r="S48" s="40"/>
      <c r="T48" s="40"/>
      <c r="U48" s="40"/>
      <c r="V48" s="40"/>
      <c r="W48" s="40"/>
      <c r="X48" s="275">
        <f>+AB48-Z48+1</f>
        <v>91</v>
      </c>
      <c r="Y48" s="40"/>
      <c r="Z48" s="75">
        <v>44819</v>
      </c>
      <c r="AA48" s="76"/>
      <c r="AB48" s="75">
        <v>44909</v>
      </c>
      <c r="AC48" s="43"/>
      <c r="AD48" s="22"/>
    </row>
    <row r="49" spans="1:31" s="23" customFormat="1" x14ac:dyDescent="0.35">
      <c r="A49" s="47"/>
      <c r="B49" s="40" t="s">
        <v>184</v>
      </c>
      <c r="C49" s="40"/>
      <c r="D49" s="40"/>
      <c r="E49" s="40"/>
      <c r="F49" s="40"/>
      <c r="G49" s="40"/>
      <c r="H49" s="40"/>
      <c r="I49" s="40"/>
      <c r="J49" s="40"/>
      <c r="K49" s="40"/>
      <c r="L49" s="40"/>
      <c r="M49" s="40"/>
      <c r="N49" s="40"/>
      <c r="O49" s="40"/>
      <c r="P49" s="40"/>
      <c r="Q49" s="40"/>
      <c r="R49" s="40"/>
      <c r="S49" s="40"/>
      <c r="T49" s="40"/>
      <c r="U49" s="40"/>
      <c r="V49" s="40"/>
      <c r="W49" s="40"/>
      <c r="X49" s="40"/>
      <c r="Y49" s="40"/>
      <c r="Z49" s="75"/>
      <c r="AA49" s="76"/>
      <c r="AB49" s="75" t="s">
        <v>99</v>
      </c>
      <c r="AC49" s="43"/>
      <c r="AD49" s="22"/>
      <c r="AE49" s="77"/>
    </row>
    <row r="50" spans="1:31" s="23" customFormat="1" x14ac:dyDescent="0.35">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5"/>
      <c r="AA50" s="76"/>
      <c r="AB50" s="75">
        <v>44909</v>
      </c>
      <c r="AC50" s="43"/>
      <c r="AD50" s="22"/>
    </row>
    <row r="51" spans="1:31" s="23" customFormat="1" x14ac:dyDescent="0.35">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8"/>
      <c r="AA51" s="79"/>
      <c r="AB51" s="78"/>
      <c r="AC51" s="21"/>
      <c r="AD51" s="22"/>
    </row>
    <row r="52" spans="1:31" s="23" customFormat="1" x14ac:dyDescent="0.35">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0"/>
      <c r="AA52" s="81"/>
      <c r="AB52" s="80"/>
      <c r="AC52" s="21"/>
      <c r="AD52" s="22"/>
    </row>
    <row r="53" spans="1:31" s="23" customFormat="1" ht="19" thickBot="1" x14ac:dyDescent="0.5">
      <c r="A53" s="82"/>
      <c r="B53" s="83" t="s">
        <v>366</v>
      </c>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c r="AC53" s="86"/>
      <c r="AD53" s="22"/>
    </row>
    <row r="54" spans="1:31" x14ac:dyDescent="0.35">
      <c r="A54" s="33"/>
      <c r="B54" s="87" t="s">
        <v>13</v>
      </c>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9"/>
      <c r="AC54" s="88"/>
      <c r="AD54" s="5"/>
    </row>
    <row r="55" spans="1:31" x14ac:dyDescent="0.35">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0"/>
      <c r="AC55" s="10"/>
      <c r="AD55" s="5"/>
    </row>
    <row r="56" spans="1:31" s="64" customFormat="1" ht="46.5" x14ac:dyDescent="0.35">
      <c r="A56" s="91"/>
      <c r="B56" s="92" t="s">
        <v>14</v>
      </c>
      <c r="C56" s="93"/>
      <c r="D56" s="93"/>
      <c r="E56" s="93"/>
      <c r="F56" s="93"/>
      <c r="G56" s="93"/>
      <c r="H56" s="93"/>
      <c r="I56" s="93"/>
      <c r="J56" s="93"/>
      <c r="K56" s="93"/>
      <c r="L56" s="93"/>
      <c r="M56" s="93"/>
      <c r="N56" s="93"/>
      <c r="O56" s="93"/>
      <c r="P56" s="93" t="s">
        <v>63</v>
      </c>
      <c r="Q56" s="93"/>
      <c r="R56" s="93" t="s">
        <v>65</v>
      </c>
      <c r="S56" s="93"/>
      <c r="T56" s="93" t="s">
        <v>135</v>
      </c>
      <c r="U56" s="93"/>
      <c r="V56" s="93" t="s">
        <v>136</v>
      </c>
      <c r="W56" s="93"/>
      <c r="X56" s="93" t="s">
        <v>68</v>
      </c>
      <c r="Y56" s="93"/>
      <c r="Z56" s="93" t="s">
        <v>72</v>
      </c>
      <c r="AA56" s="93"/>
      <c r="AB56" s="94" t="s">
        <v>78</v>
      </c>
      <c r="AC56" s="95"/>
      <c r="AD56" s="63"/>
    </row>
    <row r="57" spans="1:31" s="23" customFormat="1" x14ac:dyDescent="0.35">
      <c r="A57" s="47"/>
      <c r="B57" s="40" t="s">
        <v>15</v>
      </c>
      <c r="C57" s="96"/>
      <c r="D57" s="96"/>
      <c r="E57" s="96"/>
      <c r="F57" s="96"/>
      <c r="G57" s="96"/>
      <c r="H57" s="97"/>
      <c r="I57" s="96"/>
      <c r="J57" s="97"/>
      <c r="K57" s="96"/>
      <c r="L57" s="96"/>
      <c r="M57" s="96"/>
      <c r="N57" s="96"/>
      <c r="O57" s="96"/>
      <c r="P57" s="234">
        <v>720120</v>
      </c>
      <c r="Q57" s="234"/>
      <c r="R57" s="233">
        <v>657933</v>
      </c>
      <c r="S57" s="234"/>
      <c r="T57" s="233">
        <f>369+17</f>
        <v>386</v>
      </c>
      <c r="U57" s="234"/>
      <c r="V57" s="234">
        <v>23185</v>
      </c>
      <c r="W57" s="234"/>
      <c r="X57" s="234">
        <v>13</v>
      </c>
      <c r="Y57" s="234"/>
      <c r="Z57" s="234">
        <v>0</v>
      </c>
      <c r="AA57" s="234"/>
      <c r="AB57" s="233">
        <f>R57-T57-V57+X57-Z57</f>
        <v>634375</v>
      </c>
      <c r="AC57" s="43"/>
      <c r="AD57" s="22"/>
      <c r="AE57" s="266"/>
    </row>
    <row r="58" spans="1:31" s="23" customFormat="1" x14ac:dyDescent="0.35">
      <c r="A58" s="47"/>
      <c r="B58" s="40" t="s">
        <v>16</v>
      </c>
      <c r="C58" s="96"/>
      <c r="D58" s="96"/>
      <c r="E58" s="96"/>
      <c r="F58" s="96"/>
      <c r="G58" s="96"/>
      <c r="H58" s="97"/>
      <c r="I58" s="96"/>
      <c r="J58" s="97"/>
      <c r="K58" s="96"/>
      <c r="L58" s="96"/>
      <c r="M58" s="96"/>
      <c r="N58" s="96"/>
      <c r="O58" s="96"/>
      <c r="P58" s="234">
        <v>0</v>
      </c>
      <c r="Q58" s="234"/>
      <c r="R58" s="233">
        <v>0</v>
      </c>
      <c r="S58" s="234"/>
      <c r="T58" s="233">
        <v>0</v>
      </c>
      <c r="U58" s="234"/>
      <c r="V58" s="234">
        <v>0</v>
      </c>
      <c r="W58" s="234"/>
      <c r="X58" s="234">
        <v>0</v>
      </c>
      <c r="Y58" s="234"/>
      <c r="Z58" s="234">
        <v>0</v>
      </c>
      <c r="AA58" s="234"/>
      <c r="AB58" s="233">
        <f>F58-J58-L58</f>
        <v>0</v>
      </c>
      <c r="AC58" s="43"/>
      <c r="AD58" s="22"/>
    </row>
    <row r="59" spans="1:31" s="23" customFormat="1" x14ac:dyDescent="0.35">
      <c r="A59" s="47"/>
      <c r="B59" s="40"/>
      <c r="C59" s="96"/>
      <c r="D59" s="96"/>
      <c r="E59" s="96"/>
      <c r="F59" s="96"/>
      <c r="G59" s="96"/>
      <c r="H59" s="97"/>
      <c r="I59" s="96"/>
      <c r="J59" s="97"/>
      <c r="K59" s="96"/>
      <c r="L59" s="96"/>
      <c r="M59" s="96"/>
      <c r="N59" s="96"/>
      <c r="O59" s="96"/>
      <c r="P59" s="234"/>
      <c r="Q59" s="234"/>
      <c r="R59" s="233"/>
      <c r="S59" s="234"/>
      <c r="T59" s="233"/>
      <c r="U59" s="234"/>
      <c r="V59" s="234"/>
      <c r="W59" s="234"/>
      <c r="X59" s="234"/>
      <c r="Y59" s="234"/>
      <c r="Z59" s="234"/>
      <c r="AA59" s="234"/>
      <c r="AB59" s="233"/>
      <c r="AC59" s="43"/>
      <c r="AD59" s="22"/>
    </row>
    <row r="60" spans="1:31" s="23" customFormat="1" x14ac:dyDescent="0.35">
      <c r="A60" s="47"/>
      <c r="B60" s="40" t="s">
        <v>17</v>
      </c>
      <c r="C60" s="96"/>
      <c r="D60" s="96"/>
      <c r="E60" s="96"/>
      <c r="F60" s="96"/>
      <c r="G60" s="96"/>
      <c r="H60" s="96"/>
      <c r="I60" s="96"/>
      <c r="J60" s="96"/>
      <c r="K60" s="96"/>
      <c r="L60" s="96"/>
      <c r="M60" s="96"/>
      <c r="N60" s="96"/>
      <c r="O60" s="96"/>
      <c r="P60" s="234">
        <f>SUM(P57:P59)</f>
        <v>720120</v>
      </c>
      <c r="Q60" s="234"/>
      <c r="R60" s="234">
        <f>R57+R58</f>
        <v>657933</v>
      </c>
      <c r="S60" s="234"/>
      <c r="T60" s="234">
        <f>T57+T58</f>
        <v>386</v>
      </c>
      <c r="U60" s="234"/>
      <c r="V60" s="234">
        <f>SUM(V57:V59)</f>
        <v>23185</v>
      </c>
      <c r="W60" s="234"/>
      <c r="X60" s="234">
        <f>SUM(X57:X59)</f>
        <v>13</v>
      </c>
      <c r="Y60" s="234"/>
      <c r="Z60" s="234">
        <f>SUM(Z57:Z59)</f>
        <v>0</v>
      </c>
      <c r="AA60" s="234"/>
      <c r="AB60" s="234">
        <f>SUM(AB57:AB59)</f>
        <v>634375</v>
      </c>
      <c r="AC60" s="43"/>
      <c r="AD60" s="22"/>
    </row>
    <row r="61" spans="1:31" s="23" customFormat="1" ht="32.15" customHeight="1" x14ac:dyDescent="0.35">
      <c r="A61" s="47"/>
      <c r="B61" s="40"/>
      <c r="C61" s="96"/>
      <c r="D61" s="96"/>
      <c r="E61" s="96"/>
      <c r="F61" s="96"/>
      <c r="G61" s="96"/>
      <c r="H61" s="96"/>
      <c r="I61" s="96"/>
      <c r="J61" s="96"/>
      <c r="K61" s="96"/>
      <c r="L61" s="96"/>
      <c r="M61" s="96"/>
      <c r="N61" s="96"/>
      <c r="O61" s="96"/>
      <c r="P61" s="234"/>
      <c r="Q61" s="234"/>
      <c r="R61" s="234"/>
      <c r="S61" s="234"/>
      <c r="T61" s="234"/>
      <c r="U61" s="234"/>
      <c r="V61" s="234"/>
      <c r="W61" s="234"/>
      <c r="X61" s="234"/>
      <c r="Y61" s="234"/>
      <c r="Z61" s="234"/>
      <c r="AA61" s="234"/>
      <c r="AB61" s="234"/>
      <c r="AC61" s="43"/>
      <c r="AD61" s="22"/>
    </row>
    <row r="62" spans="1:31" s="23" customFormat="1" x14ac:dyDescent="0.35">
      <c r="A62" s="47"/>
      <c r="B62" s="40" t="s">
        <v>18</v>
      </c>
      <c r="C62" s="96"/>
      <c r="D62" s="96"/>
      <c r="E62" s="96"/>
      <c r="F62" s="96"/>
      <c r="G62" s="96"/>
      <c r="H62" s="96"/>
      <c r="I62" s="96"/>
      <c r="J62" s="96"/>
      <c r="K62" s="96"/>
      <c r="L62" s="96"/>
      <c r="M62" s="96"/>
      <c r="N62" s="96"/>
      <c r="O62" s="96"/>
      <c r="P62" s="234">
        <v>0</v>
      </c>
      <c r="Q62" s="234"/>
      <c r="R62" s="234">
        <v>0</v>
      </c>
      <c r="S62" s="234"/>
      <c r="T62" s="234"/>
      <c r="U62" s="234"/>
      <c r="V62" s="234"/>
      <c r="W62" s="234"/>
      <c r="X62" s="234"/>
      <c r="Y62" s="234"/>
      <c r="Z62" s="234"/>
      <c r="AA62" s="234"/>
      <c r="AB62" s="233">
        <v>0</v>
      </c>
      <c r="AC62" s="43"/>
      <c r="AD62" s="22"/>
    </row>
    <row r="63" spans="1:31" s="23" customFormat="1" x14ac:dyDescent="0.35">
      <c r="A63" s="47"/>
      <c r="B63" s="40" t="s">
        <v>267</v>
      </c>
      <c r="C63" s="96"/>
      <c r="D63" s="96"/>
      <c r="E63" s="96"/>
      <c r="F63" s="96"/>
      <c r="G63" s="96"/>
      <c r="H63" s="96"/>
      <c r="I63" s="96"/>
      <c r="J63" s="96"/>
      <c r="K63" s="96"/>
      <c r="L63" s="96"/>
      <c r="M63" s="96"/>
      <c r="N63" s="96"/>
      <c r="O63" s="96"/>
      <c r="P63" s="234">
        <v>0</v>
      </c>
      <c r="Q63" s="234"/>
      <c r="R63" s="234">
        <v>3</v>
      </c>
      <c r="S63" s="234"/>
      <c r="T63" s="234">
        <v>0</v>
      </c>
      <c r="U63" s="234"/>
      <c r="V63" s="234">
        <v>-1</v>
      </c>
      <c r="W63" s="234"/>
      <c r="X63" s="234"/>
      <c r="Y63" s="234"/>
      <c r="Z63" s="234"/>
      <c r="AA63" s="234"/>
      <c r="AB63" s="234">
        <f>R63+V63</f>
        <v>2</v>
      </c>
      <c r="AC63" s="43"/>
      <c r="AD63" s="22"/>
    </row>
    <row r="64" spans="1:31" s="23" customFormat="1" x14ac:dyDescent="0.35">
      <c r="A64" s="47"/>
      <c r="B64" s="40" t="s">
        <v>169</v>
      </c>
      <c r="C64" s="96"/>
      <c r="D64" s="96"/>
      <c r="E64" s="96"/>
      <c r="F64" s="96"/>
      <c r="G64" s="96"/>
      <c r="H64" s="96"/>
      <c r="I64" s="96"/>
      <c r="J64" s="96"/>
      <c r="K64" s="96"/>
      <c r="L64" s="96"/>
      <c r="M64" s="96"/>
      <c r="N64" s="96"/>
      <c r="O64" s="96"/>
      <c r="P64" s="234">
        <v>1051</v>
      </c>
      <c r="Q64" s="234"/>
      <c r="R64" s="234">
        <v>579</v>
      </c>
      <c r="S64" s="234"/>
      <c r="T64" s="234"/>
      <c r="U64" s="234"/>
      <c r="V64" s="234"/>
      <c r="W64" s="234"/>
      <c r="X64" s="234">
        <f>-X57-283</f>
        <v>-296</v>
      </c>
      <c r="Y64" s="234"/>
      <c r="Z64" s="234"/>
      <c r="AA64" s="234"/>
      <c r="AB64" s="234">
        <f>+R64+X64+1</f>
        <v>284</v>
      </c>
      <c r="AC64" s="43"/>
      <c r="AD64" s="22"/>
    </row>
    <row r="65" spans="1:30" s="23" customFormat="1" x14ac:dyDescent="0.35">
      <c r="A65" s="47"/>
      <c r="B65" s="40" t="s">
        <v>19</v>
      </c>
      <c r="C65" s="96"/>
      <c r="D65" s="96"/>
      <c r="E65" s="96"/>
      <c r="F65" s="96"/>
      <c r="G65" s="96"/>
      <c r="H65" s="96"/>
      <c r="I65" s="96"/>
      <c r="J65" s="96"/>
      <c r="K65" s="96"/>
      <c r="L65" s="96"/>
      <c r="M65" s="96"/>
      <c r="N65" s="96"/>
      <c r="O65" s="96"/>
      <c r="P65" s="234">
        <v>0</v>
      </c>
      <c r="Q65" s="234"/>
      <c r="R65" s="234">
        <v>0</v>
      </c>
      <c r="S65" s="234"/>
      <c r="T65" s="234"/>
      <c r="U65" s="234"/>
      <c r="V65" s="234"/>
      <c r="W65" s="234"/>
      <c r="X65" s="234"/>
      <c r="Y65" s="234"/>
      <c r="Z65" s="234"/>
      <c r="AA65" s="234"/>
      <c r="AB65" s="234">
        <v>0</v>
      </c>
      <c r="AC65" s="43"/>
      <c r="AD65" s="22"/>
    </row>
    <row r="66" spans="1:30" s="23" customFormat="1" x14ac:dyDescent="0.35">
      <c r="A66" s="47"/>
      <c r="B66" s="40" t="s">
        <v>20</v>
      </c>
      <c r="C66" s="96"/>
      <c r="D66" s="96"/>
      <c r="E66" s="96"/>
      <c r="F66" s="96"/>
      <c r="G66" s="96"/>
      <c r="H66" s="96"/>
      <c r="I66" s="96"/>
      <c r="J66" s="96"/>
      <c r="K66" s="96"/>
      <c r="L66" s="96"/>
      <c r="M66" s="96"/>
      <c r="N66" s="96"/>
      <c r="O66" s="96"/>
      <c r="P66" s="234">
        <f>SUM(P60:P65)</f>
        <v>721171</v>
      </c>
      <c r="Q66" s="234"/>
      <c r="R66" s="234">
        <f>SUM(R60:R65)</f>
        <v>658515</v>
      </c>
      <c r="S66" s="234"/>
      <c r="T66" s="234"/>
      <c r="U66" s="234"/>
      <c r="V66" s="234"/>
      <c r="W66" s="234"/>
      <c r="X66" s="234"/>
      <c r="Y66" s="234"/>
      <c r="Z66" s="234"/>
      <c r="AA66" s="234"/>
      <c r="AB66" s="234">
        <f>SUM(AB60:AB65)</f>
        <v>634661</v>
      </c>
      <c r="AC66" s="43"/>
      <c r="AD66" s="22"/>
    </row>
    <row r="67" spans="1:30" x14ac:dyDescent="0.35">
      <c r="A67" s="7"/>
      <c r="B67" s="98"/>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100"/>
      <c r="AC67" s="10"/>
      <c r="AD67" s="5"/>
    </row>
    <row r="68" spans="1:30" x14ac:dyDescent="0.35">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5">
      <c r="A69" s="33"/>
      <c r="B69" s="101" t="s">
        <v>21</v>
      </c>
      <c r="C69" s="101"/>
      <c r="D69" s="102"/>
      <c r="E69" s="102"/>
      <c r="F69" s="102"/>
      <c r="G69" s="102"/>
      <c r="H69" s="103"/>
      <c r="I69" s="102"/>
      <c r="J69" s="104"/>
      <c r="K69" s="102"/>
      <c r="L69" s="102"/>
      <c r="M69" s="102"/>
      <c r="N69" s="102"/>
      <c r="O69" s="102"/>
      <c r="P69" s="102"/>
      <c r="Q69" s="102"/>
      <c r="R69" s="103" t="s">
        <v>64</v>
      </c>
      <c r="S69" s="102"/>
      <c r="T69" s="104">
        <f>+Z244</f>
        <v>44895</v>
      </c>
      <c r="U69" s="102"/>
      <c r="V69" s="102"/>
      <c r="W69" s="102"/>
      <c r="X69" s="102"/>
      <c r="Y69" s="102"/>
      <c r="Z69" s="102" t="s">
        <v>73</v>
      </c>
      <c r="AA69" s="102"/>
      <c r="AB69" s="102" t="s">
        <v>79</v>
      </c>
      <c r="AC69" s="36"/>
      <c r="AD69" s="5"/>
    </row>
    <row r="70" spans="1:30" s="23" customFormat="1" x14ac:dyDescent="0.35">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99">
        <v>3</v>
      </c>
      <c r="AA70" s="37"/>
      <c r="AB70" s="106">
        <v>0</v>
      </c>
      <c r="AC70" s="21"/>
      <c r="AD70" s="22"/>
    </row>
    <row r="71" spans="1:30" s="23" customFormat="1" x14ac:dyDescent="0.35">
      <c r="A71" s="47"/>
      <c r="B71" s="40" t="s">
        <v>353</v>
      </c>
      <c r="C71" s="40"/>
      <c r="D71" s="69"/>
      <c r="E71" s="69"/>
      <c r="F71" s="69"/>
      <c r="G71" s="107"/>
      <c r="H71" s="69"/>
      <c r="I71" s="40"/>
      <c r="J71" s="108"/>
      <c r="K71" s="40"/>
      <c r="L71" s="40"/>
      <c r="M71" s="40"/>
      <c r="N71" s="40"/>
      <c r="O71" s="40"/>
      <c r="P71" s="40"/>
      <c r="Q71" s="40"/>
      <c r="R71" s="40"/>
      <c r="S71" s="40"/>
      <c r="T71" s="40"/>
      <c r="U71" s="40"/>
      <c r="V71" s="40"/>
      <c r="W71" s="40"/>
      <c r="X71" s="40"/>
      <c r="Y71" s="40"/>
      <c r="Z71" s="234">
        <f>-X64</f>
        <v>296</v>
      </c>
      <c r="AA71" s="40"/>
      <c r="AB71" s="97"/>
      <c r="AC71" s="43"/>
      <c r="AD71" s="22"/>
    </row>
    <row r="72" spans="1:30" s="23" customFormat="1" x14ac:dyDescent="0.35">
      <c r="A72" s="47"/>
      <c r="B72" s="40" t="s">
        <v>354</v>
      </c>
      <c r="C72" s="40"/>
      <c r="D72" s="69"/>
      <c r="E72" s="69"/>
      <c r="F72" s="69"/>
      <c r="G72" s="107"/>
      <c r="H72" s="69"/>
      <c r="I72" s="40"/>
      <c r="J72" s="108"/>
      <c r="K72" s="40"/>
      <c r="L72" s="40"/>
      <c r="M72" s="40"/>
      <c r="N72" s="40"/>
      <c r="O72" s="40"/>
      <c r="P72" s="40"/>
      <c r="Q72" s="40"/>
      <c r="R72" s="40"/>
      <c r="S72" s="40"/>
      <c r="T72" s="40"/>
      <c r="U72" s="40"/>
      <c r="V72" s="40"/>
      <c r="W72" s="40"/>
      <c r="X72" s="40"/>
      <c r="Y72" s="40"/>
      <c r="Z72" s="234">
        <f>-Z71+283</f>
        <v>-13</v>
      </c>
      <c r="AA72" s="40"/>
      <c r="AB72" s="97"/>
      <c r="AC72" s="43"/>
      <c r="AD72" s="22"/>
    </row>
    <row r="73" spans="1:30" s="23" customFormat="1" x14ac:dyDescent="0.35">
      <c r="A73" s="47"/>
      <c r="B73" s="40" t="s">
        <v>23</v>
      </c>
      <c r="C73" s="40"/>
      <c r="D73" s="69"/>
      <c r="E73" s="69"/>
      <c r="F73" s="69"/>
      <c r="G73" s="107"/>
      <c r="H73" s="69"/>
      <c r="I73" s="40"/>
      <c r="J73" s="108"/>
      <c r="K73" s="40"/>
      <c r="L73" s="40"/>
      <c r="M73" s="40"/>
      <c r="N73" s="40"/>
      <c r="O73" s="40"/>
      <c r="P73" s="40"/>
      <c r="Q73" s="40"/>
      <c r="R73" s="40"/>
      <c r="S73" s="40"/>
      <c r="T73" s="40"/>
      <c r="U73" s="40"/>
      <c r="V73" s="40"/>
      <c r="W73" s="40"/>
      <c r="X73" s="40"/>
      <c r="Y73" s="40"/>
      <c r="Z73" s="234">
        <f>+T57+V57+Z57-1</f>
        <v>23570</v>
      </c>
      <c r="AA73" s="40"/>
      <c r="AB73" s="97"/>
      <c r="AC73" s="43"/>
      <c r="AD73" s="22"/>
    </row>
    <row r="74" spans="1:30" s="23" customFormat="1" x14ac:dyDescent="0.35">
      <c r="A74" s="47"/>
      <c r="B74" s="40" t="s">
        <v>115</v>
      </c>
      <c r="C74" s="40"/>
      <c r="D74" s="69"/>
      <c r="E74" s="69"/>
      <c r="F74" s="69"/>
      <c r="G74" s="107"/>
      <c r="H74" s="69"/>
      <c r="I74" s="40"/>
      <c r="J74" s="108"/>
      <c r="K74" s="40"/>
      <c r="L74" s="40"/>
      <c r="M74" s="40"/>
      <c r="N74" s="40"/>
      <c r="O74" s="40"/>
      <c r="P74" s="40"/>
      <c r="Q74" s="40"/>
      <c r="R74" s="40"/>
      <c r="S74" s="40"/>
      <c r="T74" s="40"/>
      <c r="U74" s="40"/>
      <c r="V74" s="40"/>
      <c r="W74" s="40"/>
      <c r="X74" s="40"/>
      <c r="Y74" s="40"/>
      <c r="Z74" s="234"/>
      <c r="AA74" s="40"/>
      <c r="AB74" s="97">
        <f>6758+151-717-16</f>
        <v>6176</v>
      </c>
      <c r="AC74" s="43"/>
      <c r="AD74" s="22"/>
    </row>
    <row r="75" spans="1:30" s="23" customFormat="1" x14ac:dyDescent="0.35">
      <c r="A75" s="47"/>
      <c r="B75" s="40" t="s">
        <v>113</v>
      </c>
      <c r="C75" s="40"/>
      <c r="D75" s="69"/>
      <c r="E75" s="69"/>
      <c r="F75" s="69"/>
      <c r="G75" s="107"/>
      <c r="H75" s="69"/>
      <c r="I75" s="40"/>
      <c r="J75" s="108"/>
      <c r="K75" s="40"/>
      <c r="L75" s="40"/>
      <c r="M75" s="40"/>
      <c r="N75" s="40"/>
      <c r="O75" s="40"/>
      <c r="P75" s="40"/>
      <c r="Q75" s="40"/>
      <c r="R75" s="40"/>
      <c r="S75" s="40"/>
      <c r="T75" s="40"/>
      <c r="U75" s="40"/>
      <c r="V75" s="40"/>
      <c r="W75" s="40"/>
      <c r="X75" s="40"/>
      <c r="Y75" s="40"/>
      <c r="Z75" s="234"/>
      <c r="AA75" s="40"/>
      <c r="AB75" s="97">
        <f>498+1</f>
        <v>499</v>
      </c>
      <c r="AC75" s="43"/>
      <c r="AD75" s="22"/>
    </row>
    <row r="76" spans="1:30" s="23" customFormat="1" x14ac:dyDescent="0.35">
      <c r="A76" s="47"/>
      <c r="B76" s="40" t="s">
        <v>114</v>
      </c>
      <c r="C76" s="40"/>
      <c r="D76" s="69"/>
      <c r="E76" s="69"/>
      <c r="F76" s="69"/>
      <c r="G76" s="107"/>
      <c r="H76" s="69"/>
      <c r="I76" s="40"/>
      <c r="J76" s="108"/>
      <c r="K76" s="40"/>
      <c r="L76" s="40"/>
      <c r="M76" s="40"/>
      <c r="N76" s="40"/>
      <c r="O76" s="40"/>
      <c r="P76" s="40"/>
      <c r="Q76" s="40"/>
      <c r="R76" s="40"/>
      <c r="S76" s="40"/>
      <c r="T76" s="40"/>
      <c r="U76" s="40"/>
      <c r="V76" s="40"/>
      <c r="W76" s="40"/>
      <c r="X76" s="40"/>
      <c r="Y76" s="40"/>
      <c r="Z76" s="234"/>
      <c r="AA76" s="40"/>
      <c r="AB76" s="97">
        <v>116</v>
      </c>
      <c r="AC76" s="43"/>
      <c r="AD76" s="22"/>
    </row>
    <row r="77" spans="1:30" s="23" customFormat="1" x14ac:dyDescent="0.35">
      <c r="A77" s="47"/>
      <c r="B77" s="40" t="s">
        <v>120</v>
      </c>
      <c r="C77" s="40"/>
      <c r="D77" s="69"/>
      <c r="E77" s="69"/>
      <c r="F77" s="69"/>
      <c r="G77" s="107"/>
      <c r="H77" s="69"/>
      <c r="I77" s="40"/>
      <c r="J77" s="108"/>
      <c r="K77" s="40"/>
      <c r="L77" s="40"/>
      <c r="M77" s="40"/>
      <c r="N77" s="40"/>
      <c r="O77" s="40"/>
      <c r="P77" s="40"/>
      <c r="Q77" s="40"/>
      <c r="R77" s="40"/>
      <c r="S77" s="40"/>
      <c r="T77" s="40"/>
      <c r="U77" s="40"/>
      <c r="V77" s="40"/>
      <c r="W77" s="40"/>
      <c r="X77" s="40"/>
      <c r="Y77" s="40"/>
      <c r="Z77" s="234"/>
      <c r="AA77" s="40"/>
      <c r="AB77" s="97">
        <v>0</v>
      </c>
      <c r="AC77" s="43"/>
      <c r="AD77" s="22"/>
    </row>
    <row r="78" spans="1:30" s="23" customFormat="1" x14ac:dyDescent="0.35">
      <c r="A78" s="47"/>
      <c r="B78" s="58" t="s">
        <v>219</v>
      </c>
      <c r="C78" s="40"/>
      <c r="D78" s="69"/>
      <c r="E78" s="69"/>
      <c r="F78" s="69"/>
      <c r="G78" s="107"/>
      <c r="H78" s="69"/>
      <c r="I78" s="40"/>
      <c r="J78" s="108"/>
      <c r="K78" s="40"/>
      <c r="L78" s="40"/>
      <c r="M78" s="40"/>
      <c r="N78" s="40"/>
      <c r="O78" s="40"/>
      <c r="P78" s="40"/>
      <c r="Q78" s="40"/>
      <c r="R78" s="40"/>
      <c r="S78" s="40"/>
      <c r="T78" s="40"/>
      <c r="U78" s="40"/>
      <c r="V78" s="40"/>
      <c r="W78" s="40"/>
      <c r="X78" s="40"/>
      <c r="Y78" s="40"/>
      <c r="Z78" s="234"/>
      <c r="AA78" s="40"/>
      <c r="AB78" s="97">
        <v>289</v>
      </c>
      <c r="AC78" s="43"/>
      <c r="AD78" s="22"/>
    </row>
    <row r="79" spans="1:30" s="23" customFormat="1" x14ac:dyDescent="0.35">
      <c r="A79" s="47"/>
      <c r="B79" s="58" t="s">
        <v>220</v>
      </c>
      <c r="C79" s="40"/>
      <c r="D79" s="69"/>
      <c r="E79" s="69"/>
      <c r="F79" s="69"/>
      <c r="G79" s="107"/>
      <c r="H79" s="69"/>
      <c r="I79" s="40"/>
      <c r="J79" s="108"/>
      <c r="K79" s="40"/>
      <c r="L79" s="40"/>
      <c r="M79" s="40"/>
      <c r="N79" s="40"/>
      <c r="O79" s="40"/>
      <c r="P79" s="40"/>
      <c r="Q79" s="40"/>
      <c r="R79" s="40"/>
      <c r="S79" s="40"/>
      <c r="T79" s="40"/>
      <c r="U79" s="40"/>
      <c r="V79" s="40"/>
      <c r="W79" s="40"/>
      <c r="X79" s="40"/>
      <c r="Y79" s="40"/>
      <c r="Z79" s="234"/>
      <c r="AA79" s="40"/>
      <c r="AB79" s="97">
        <v>0</v>
      </c>
      <c r="AC79" s="43"/>
      <c r="AD79" s="22"/>
    </row>
    <row r="80" spans="1:30" s="23" customFormat="1" x14ac:dyDescent="0.35">
      <c r="A80" s="47"/>
      <c r="B80" s="40" t="s">
        <v>227</v>
      </c>
      <c r="C80" s="40"/>
      <c r="D80" s="69"/>
      <c r="E80" s="69"/>
      <c r="F80" s="69"/>
      <c r="G80" s="107"/>
      <c r="H80" s="69"/>
      <c r="I80" s="40"/>
      <c r="J80" s="108"/>
      <c r="K80" s="40"/>
      <c r="L80" s="40"/>
      <c r="M80" s="40"/>
      <c r="N80" s="40"/>
      <c r="O80" s="40"/>
      <c r="P80" s="40"/>
      <c r="Q80" s="40"/>
      <c r="R80" s="40"/>
      <c r="S80" s="40"/>
      <c r="T80" s="40"/>
      <c r="U80" s="40"/>
      <c r="V80" s="40"/>
      <c r="W80" s="40"/>
      <c r="X80" s="40"/>
      <c r="Y80" s="40"/>
      <c r="Z80" s="234"/>
      <c r="AA80" s="40"/>
      <c r="AB80" s="97">
        <f>+AB168</f>
        <v>0</v>
      </c>
      <c r="AC80" s="43"/>
      <c r="AD80" s="22"/>
    </row>
    <row r="81" spans="1:30" s="23" customFormat="1" x14ac:dyDescent="0.35">
      <c r="A81" s="47"/>
      <c r="B81" s="40" t="s">
        <v>367</v>
      </c>
      <c r="C81" s="40"/>
      <c r="D81" s="69"/>
      <c r="E81" s="69"/>
      <c r="F81" s="69"/>
      <c r="G81" s="107"/>
      <c r="H81" s="69"/>
      <c r="I81" s="40"/>
      <c r="J81" s="108"/>
      <c r="K81" s="40"/>
      <c r="L81" s="40"/>
      <c r="M81" s="40"/>
      <c r="N81" s="40"/>
      <c r="O81" s="40"/>
      <c r="P81" s="40"/>
      <c r="Q81" s="40"/>
      <c r="R81" s="40"/>
      <c r="S81" s="40"/>
      <c r="T81" s="40"/>
      <c r="U81" s="40"/>
      <c r="V81" s="40"/>
      <c r="W81" s="40"/>
      <c r="X81" s="40"/>
      <c r="Y81" s="40"/>
      <c r="Z81" s="234"/>
      <c r="AA81" s="40"/>
      <c r="AB81" s="97">
        <v>0</v>
      </c>
      <c r="AC81" s="43"/>
      <c r="AD81" s="22"/>
    </row>
    <row r="82" spans="1:30" s="23" customFormat="1" x14ac:dyDescent="0.35">
      <c r="A82" s="47"/>
      <c r="B82" s="58" t="s">
        <v>228</v>
      </c>
      <c r="C82" s="40"/>
      <c r="D82" s="69"/>
      <c r="E82" s="69"/>
      <c r="F82" s="69"/>
      <c r="G82" s="107"/>
      <c r="H82" s="69"/>
      <c r="I82" s="40"/>
      <c r="J82" s="108"/>
      <c r="K82" s="40"/>
      <c r="L82" s="40"/>
      <c r="M82" s="40"/>
      <c r="N82" s="40"/>
      <c r="O82" s="40"/>
      <c r="P82" s="40"/>
      <c r="Q82" s="40"/>
      <c r="R82" s="40"/>
      <c r="S82" s="40"/>
      <c r="T82" s="40"/>
      <c r="U82" s="40"/>
      <c r="V82" s="40"/>
      <c r="W82" s="40"/>
      <c r="X82" s="40"/>
      <c r="Y82" s="40"/>
      <c r="Z82" s="234"/>
      <c r="AA82" s="40"/>
      <c r="AB82" s="97">
        <v>1847</v>
      </c>
      <c r="AC82" s="43"/>
      <c r="AD82" s="22"/>
    </row>
    <row r="83" spans="1:30" s="23" customFormat="1" x14ac:dyDescent="0.35">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4">
        <f>SUM(Z70:Z82)</f>
        <v>23856</v>
      </c>
      <c r="AA83" s="40"/>
      <c r="AB83" s="96">
        <f>SUM(AB70:AB82)</f>
        <v>8927</v>
      </c>
      <c r="AC83" s="43"/>
      <c r="AD83" s="22"/>
    </row>
    <row r="84" spans="1:30" s="23" customFormat="1" x14ac:dyDescent="0.35">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4">
        <f>-AB84</f>
        <v>0</v>
      </c>
      <c r="AA84" s="40"/>
      <c r="AB84" s="97">
        <v>0</v>
      </c>
      <c r="AC84" s="43"/>
      <c r="AD84" s="22"/>
    </row>
    <row r="85" spans="1:30" s="23" customFormat="1" x14ac:dyDescent="0.35">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4"/>
      <c r="AA85" s="40"/>
      <c r="AB85" s="97">
        <v>0</v>
      </c>
      <c r="AC85" s="43"/>
      <c r="AD85" s="22"/>
    </row>
    <row r="86" spans="1:30" s="23" customFormat="1" x14ac:dyDescent="0.35">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4">
        <f>Z83+Z84</f>
        <v>23856</v>
      </c>
      <c r="AA86" s="40"/>
      <c r="AB86" s="96">
        <f>AB83+AB84+AB85</f>
        <v>8927</v>
      </c>
      <c r="AC86" s="43"/>
      <c r="AD86" s="22"/>
    </row>
    <row r="87" spans="1:30" x14ac:dyDescent="0.35">
      <c r="A87" s="109"/>
      <c r="B87" s="110" t="s">
        <v>27</v>
      </c>
      <c r="C87" s="58"/>
      <c r="D87" s="58"/>
      <c r="E87" s="58"/>
      <c r="F87" s="58"/>
      <c r="G87" s="58"/>
      <c r="H87" s="58"/>
      <c r="I87" s="58"/>
      <c r="J87" s="58"/>
      <c r="K87" s="58"/>
      <c r="L87" s="58"/>
      <c r="M87" s="58"/>
      <c r="N87" s="58"/>
      <c r="O87" s="58"/>
      <c r="P87" s="58"/>
      <c r="Q87" s="58"/>
      <c r="R87" s="58"/>
      <c r="S87" s="58"/>
      <c r="T87" s="58"/>
      <c r="U87" s="58"/>
      <c r="V87" s="58"/>
      <c r="W87" s="58"/>
      <c r="X87" s="58"/>
      <c r="Y87" s="58"/>
      <c r="Z87" s="234"/>
      <c r="AA87" s="111"/>
      <c r="AB87" s="112"/>
      <c r="AC87" s="113"/>
      <c r="AD87" s="5"/>
    </row>
    <row r="88" spans="1:30" x14ac:dyDescent="0.35">
      <c r="A88" s="109">
        <v>1</v>
      </c>
      <c r="B88" s="58" t="s">
        <v>340</v>
      </c>
      <c r="C88" s="58"/>
      <c r="D88" s="58"/>
      <c r="E88" s="58"/>
      <c r="F88" s="58"/>
      <c r="G88" s="58"/>
      <c r="H88" s="58"/>
      <c r="I88" s="58"/>
      <c r="J88" s="58"/>
      <c r="K88" s="58"/>
      <c r="L88" s="58"/>
      <c r="M88" s="58"/>
      <c r="N88" s="58"/>
      <c r="O88" s="58"/>
      <c r="P88" s="58"/>
      <c r="Q88" s="58"/>
      <c r="R88" s="58"/>
      <c r="S88" s="58"/>
      <c r="T88" s="58"/>
      <c r="U88" s="58"/>
      <c r="V88" s="58"/>
      <c r="W88" s="58"/>
      <c r="X88" s="58"/>
      <c r="Y88" s="58"/>
      <c r="Z88" s="234"/>
      <c r="AA88" s="111"/>
      <c r="AB88" s="97">
        <v>0</v>
      </c>
      <c r="AC88" s="113"/>
      <c r="AD88" s="5"/>
    </row>
    <row r="89" spans="1:30" x14ac:dyDescent="0.35">
      <c r="A89" s="109">
        <v>2</v>
      </c>
      <c r="B89" s="58" t="s">
        <v>268</v>
      </c>
      <c r="C89" s="58"/>
      <c r="D89" s="58"/>
      <c r="E89" s="58"/>
      <c r="F89" s="58"/>
      <c r="G89" s="58"/>
      <c r="H89" s="58"/>
      <c r="I89" s="58"/>
      <c r="J89" s="58"/>
      <c r="K89" s="58"/>
      <c r="L89" s="58"/>
      <c r="M89" s="58"/>
      <c r="N89" s="58"/>
      <c r="O89" s="58"/>
      <c r="P89" s="58"/>
      <c r="Q89" s="58"/>
      <c r="R89" s="58"/>
      <c r="S89" s="58"/>
      <c r="T89" s="58"/>
      <c r="U89" s="58"/>
      <c r="V89" s="58"/>
      <c r="W89" s="58"/>
      <c r="X89" s="58"/>
      <c r="Y89" s="58"/>
      <c r="Z89" s="234"/>
      <c r="AA89" s="111"/>
      <c r="AB89" s="97">
        <v>-2</v>
      </c>
      <c r="AC89" s="113"/>
      <c r="AD89" s="5"/>
    </row>
    <row r="90" spans="1:30" x14ac:dyDescent="0.35">
      <c r="A90" s="109">
        <v>3</v>
      </c>
      <c r="B90" s="58" t="s">
        <v>242</v>
      </c>
      <c r="C90" s="58"/>
      <c r="D90" s="58"/>
      <c r="E90" s="58"/>
      <c r="F90" s="58"/>
      <c r="G90" s="58"/>
      <c r="H90" s="58"/>
      <c r="I90" s="58"/>
      <c r="J90" s="58"/>
      <c r="K90" s="58"/>
      <c r="L90" s="58"/>
      <c r="M90" s="58"/>
      <c r="N90" s="58"/>
      <c r="O90" s="58"/>
      <c r="P90" s="58"/>
      <c r="Q90" s="58"/>
      <c r="R90" s="58"/>
      <c r="S90" s="58"/>
      <c r="T90" s="58"/>
      <c r="U90" s="58"/>
      <c r="V90" s="58"/>
      <c r="W90" s="58"/>
      <c r="X90" s="58"/>
      <c r="Y90" s="58"/>
      <c r="Z90" s="234"/>
      <c r="AA90" s="111"/>
      <c r="AB90" s="97">
        <f>-328-12-9</f>
        <v>-349</v>
      </c>
      <c r="AC90" s="113"/>
      <c r="AD90" s="5"/>
    </row>
    <row r="91" spans="1:30" x14ac:dyDescent="0.35">
      <c r="A91" s="109">
        <v>4</v>
      </c>
      <c r="B91" s="58" t="s">
        <v>82</v>
      </c>
      <c r="C91" s="58"/>
      <c r="D91" s="58"/>
      <c r="E91" s="58"/>
      <c r="F91" s="58"/>
      <c r="G91" s="58"/>
      <c r="H91" s="58"/>
      <c r="I91" s="58"/>
      <c r="J91" s="58"/>
      <c r="K91" s="58"/>
      <c r="L91" s="58"/>
      <c r="M91" s="58"/>
      <c r="N91" s="58"/>
      <c r="O91" s="58"/>
      <c r="P91" s="58"/>
      <c r="Q91" s="58"/>
      <c r="R91" s="58"/>
      <c r="S91" s="58"/>
      <c r="T91" s="58"/>
      <c r="U91" s="58"/>
      <c r="V91" s="58"/>
      <c r="W91" s="58"/>
      <c r="X91" s="58"/>
      <c r="Y91" s="58"/>
      <c r="Z91" s="234"/>
      <c r="AA91" s="111"/>
      <c r="AB91" s="97">
        <v>2925</v>
      </c>
      <c r="AC91" s="113"/>
      <c r="AD91" s="5"/>
    </row>
    <row r="92" spans="1:30" x14ac:dyDescent="0.35">
      <c r="A92" s="109">
        <v>5</v>
      </c>
      <c r="B92" s="58" t="s">
        <v>129</v>
      </c>
      <c r="C92" s="58"/>
      <c r="D92" s="58"/>
      <c r="E92" s="58"/>
      <c r="F92" s="58"/>
      <c r="G92" s="58"/>
      <c r="H92" s="58"/>
      <c r="I92" s="58"/>
      <c r="J92" s="58"/>
      <c r="K92" s="58"/>
      <c r="L92" s="58"/>
      <c r="M92" s="58"/>
      <c r="N92" s="58"/>
      <c r="O92" s="58"/>
      <c r="P92" s="58"/>
      <c r="Q92" s="58"/>
      <c r="R92" s="58"/>
      <c r="S92" s="58"/>
      <c r="T92" s="58"/>
      <c r="U92" s="58"/>
      <c r="V92" s="58"/>
      <c r="W92" s="58"/>
      <c r="X92" s="58"/>
      <c r="Y92" s="58"/>
      <c r="Z92" s="234"/>
      <c r="AA92" s="111"/>
      <c r="AB92" s="97">
        <v>-4691</v>
      </c>
      <c r="AC92" s="113"/>
      <c r="AD92" s="5"/>
    </row>
    <row r="93" spans="1:30" x14ac:dyDescent="0.35">
      <c r="A93" s="109">
        <v>6</v>
      </c>
      <c r="B93" s="58" t="s">
        <v>149</v>
      </c>
      <c r="C93" s="58"/>
      <c r="D93" s="58"/>
      <c r="E93" s="58"/>
      <c r="F93" s="58"/>
      <c r="G93" s="58"/>
      <c r="H93" s="58"/>
      <c r="I93" s="58"/>
      <c r="J93" s="58"/>
      <c r="K93" s="58"/>
      <c r="L93" s="58"/>
      <c r="M93" s="58"/>
      <c r="N93" s="58"/>
      <c r="O93" s="58"/>
      <c r="P93" s="58"/>
      <c r="Q93" s="58"/>
      <c r="R93" s="58"/>
      <c r="S93" s="58"/>
      <c r="T93" s="58"/>
      <c r="U93" s="58"/>
      <c r="V93" s="58"/>
      <c r="W93" s="58"/>
      <c r="X93" s="58"/>
      <c r="Y93" s="58"/>
      <c r="Z93" s="234"/>
      <c r="AA93" s="111"/>
      <c r="AB93" s="97">
        <v>-371</v>
      </c>
      <c r="AC93" s="113"/>
      <c r="AD93" s="5"/>
    </row>
    <row r="94" spans="1:30" x14ac:dyDescent="0.35">
      <c r="A94" s="109">
        <v>7</v>
      </c>
      <c r="B94" s="58" t="s">
        <v>198</v>
      </c>
      <c r="C94" s="58"/>
      <c r="D94" s="58"/>
      <c r="E94" s="58"/>
      <c r="F94" s="58"/>
      <c r="G94" s="58"/>
      <c r="H94" s="58"/>
      <c r="I94" s="58"/>
      <c r="J94" s="58"/>
      <c r="K94" s="58"/>
      <c r="L94" s="58"/>
      <c r="M94" s="58"/>
      <c r="N94" s="58"/>
      <c r="O94" s="58"/>
      <c r="P94" s="58"/>
      <c r="Q94" s="58"/>
      <c r="R94" s="58"/>
      <c r="S94" s="58"/>
      <c r="T94" s="58"/>
      <c r="U94" s="58"/>
      <c r="V94" s="58"/>
      <c r="W94" s="58"/>
      <c r="X94" s="58"/>
      <c r="Y94" s="58"/>
      <c r="Z94" s="234"/>
      <c r="AA94" s="111"/>
      <c r="AB94" s="97">
        <v>0</v>
      </c>
      <c r="AC94" s="113"/>
      <c r="AD94" s="5"/>
    </row>
    <row r="95" spans="1:30" x14ac:dyDescent="0.35">
      <c r="A95" s="109">
        <v>8</v>
      </c>
      <c r="B95" s="58" t="s">
        <v>150</v>
      </c>
      <c r="C95" s="58"/>
      <c r="D95" s="58"/>
      <c r="E95" s="58"/>
      <c r="F95" s="58"/>
      <c r="G95" s="58"/>
      <c r="H95" s="58"/>
      <c r="I95" s="58"/>
      <c r="J95" s="58"/>
      <c r="K95" s="58"/>
      <c r="L95" s="58"/>
      <c r="M95" s="58"/>
      <c r="N95" s="58"/>
      <c r="O95" s="58"/>
      <c r="P95" s="58"/>
      <c r="Q95" s="58"/>
      <c r="R95" s="58"/>
      <c r="S95" s="58"/>
      <c r="T95" s="58"/>
      <c r="U95" s="58"/>
      <c r="V95" s="58"/>
      <c r="W95" s="58"/>
      <c r="X95" s="58"/>
      <c r="Y95" s="58"/>
      <c r="Z95" s="234"/>
      <c r="AA95" s="111"/>
      <c r="AB95" s="97">
        <v>-219</v>
      </c>
      <c r="AC95" s="113"/>
      <c r="AD95" s="5"/>
    </row>
    <row r="96" spans="1:30" x14ac:dyDescent="0.35">
      <c r="A96" s="109">
        <v>9</v>
      </c>
      <c r="B96" s="58" t="s">
        <v>177</v>
      </c>
      <c r="C96" s="58"/>
      <c r="D96" s="58"/>
      <c r="E96" s="58"/>
      <c r="F96" s="58"/>
      <c r="G96" s="58"/>
      <c r="H96" s="58"/>
      <c r="I96" s="58"/>
      <c r="J96" s="58"/>
      <c r="K96" s="58"/>
      <c r="L96" s="58"/>
      <c r="M96" s="58"/>
      <c r="N96" s="58"/>
      <c r="O96" s="58"/>
      <c r="P96" s="58"/>
      <c r="Q96" s="58"/>
      <c r="R96" s="58"/>
      <c r="S96" s="58"/>
      <c r="T96" s="58"/>
      <c r="U96" s="58"/>
      <c r="V96" s="58"/>
      <c r="W96" s="58"/>
      <c r="X96" s="58"/>
      <c r="Y96" s="58"/>
      <c r="Z96" s="234"/>
      <c r="AA96" s="111"/>
      <c r="AB96" s="97">
        <v>-195</v>
      </c>
      <c r="AC96" s="113"/>
      <c r="AD96" s="5"/>
    </row>
    <row r="97" spans="1:30" x14ac:dyDescent="0.35">
      <c r="A97" s="109">
        <v>10</v>
      </c>
      <c r="B97" s="58" t="s">
        <v>130</v>
      </c>
      <c r="C97" s="58"/>
      <c r="D97" s="58"/>
      <c r="E97" s="58"/>
      <c r="F97" s="58"/>
      <c r="G97" s="58"/>
      <c r="H97" s="58"/>
      <c r="I97" s="58"/>
      <c r="J97" s="58"/>
      <c r="K97" s="58"/>
      <c r="L97" s="58"/>
      <c r="M97" s="58"/>
      <c r="N97" s="58"/>
      <c r="O97" s="58"/>
      <c r="P97" s="58"/>
      <c r="Q97" s="58"/>
      <c r="R97" s="58"/>
      <c r="S97" s="58"/>
      <c r="T97" s="58"/>
      <c r="U97" s="58"/>
      <c r="V97" s="58"/>
      <c r="W97" s="58"/>
      <c r="X97" s="58"/>
      <c r="Y97" s="58"/>
      <c r="Z97" s="234"/>
      <c r="AA97" s="111"/>
      <c r="AB97" s="97">
        <v>0</v>
      </c>
      <c r="AC97" s="113"/>
      <c r="AD97" s="5"/>
    </row>
    <row r="98" spans="1:30" x14ac:dyDescent="0.35">
      <c r="A98" s="109">
        <v>11</v>
      </c>
      <c r="B98" s="58" t="s">
        <v>197</v>
      </c>
      <c r="C98" s="58"/>
      <c r="D98" s="58"/>
      <c r="E98" s="58"/>
      <c r="F98" s="58"/>
      <c r="G98" s="58"/>
      <c r="H98" s="58"/>
      <c r="I98" s="58"/>
      <c r="J98" s="58"/>
      <c r="K98" s="58"/>
      <c r="L98" s="58"/>
      <c r="M98" s="58"/>
      <c r="N98" s="58"/>
      <c r="O98" s="58"/>
      <c r="P98" s="58"/>
      <c r="Q98" s="58"/>
      <c r="R98" s="58"/>
      <c r="S98" s="58"/>
      <c r="T98" s="58"/>
      <c r="U98" s="58"/>
      <c r="V98" s="58"/>
      <c r="W98" s="58"/>
      <c r="X98" s="58"/>
      <c r="Y98" s="58"/>
      <c r="Z98" s="234"/>
      <c r="AA98" s="111"/>
      <c r="AB98" s="97">
        <v>0</v>
      </c>
      <c r="AC98" s="113"/>
      <c r="AD98" s="5"/>
    </row>
    <row r="99" spans="1:30" x14ac:dyDescent="0.35">
      <c r="A99" s="109">
        <v>12</v>
      </c>
      <c r="B99" s="58" t="s">
        <v>33</v>
      </c>
      <c r="C99" s="58"/>
      <c r="D99" s="58"/>
      <c r="E99" s="58"/>
      <c r="F99" s="58"/>
      <c r="G99" s="58"/>
      <c r="H99" s="58"/>
      <c r="I99" s="58"/>
      <c r="J99" s="58"/>
      <c r="K99" s="58"/>
      <c r="L99" s="58"/>
      <c r="M99" s="58"/>
      <c r="N99" s="58"/>
      <c r="O99" s="58"/>
      <c r="P99" s="58"/>
      <c r="Q99" s="58"/>
      <c r="R99" s="58"/>
      <c r="S99" s="58"/>
      <c r="T99" s="58"/>
      <c r="U99" s="58"/>
      <c r="V99" s="58"/>
      <c r="W99" s="58"/>
      <c r="X99" s="58"/>
      <c r="Y99" s="58"/>
      <c r="Z99" s="234">
        <f>-AB99</f>
        <v>1</v>
      </c>
      <c r="AA99" s="111"/>
      <c r="AB99" s="97">
        <v>-1</v>
      </c>
      <c r="AC99" s="113"/>
      <c r="AD99" s="5"/>
    </row>
    <row r="100" spans="1:30" x14ac:dyDescent="0.35">
      <c r="A100" s="109">
        <v>13</v>
      </c>
      <c r="B100" s="58" t="s">
        <v>269</v>
      </c>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234"/>
      <c r="AA100" s="111"/>
      <c r="AB100" s="97">
        <v>0</v>
      </c>
      <c r="AC100" s="113"/>
      <c r="AD100" s="5"/>
    </row>
    <row r="101" spans="1:30" x14ac:dyDescent="0.35">
      <c r="A101" s="109">
        <v>14</v>
      </c>
      <c r="B101" s="58" t="s">
        <v>270</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234"/>
      <c r="AA101" s="111"/>
      <c r="AB101" s="97">
        <v>-2500</v>
      </c>
      <c r="AC101" s="113"/>
      <c r="AD101" s="5"/>
    </row>
    <row r="102" spans="1:30" x14ac:dyDescent="0.35">
      <c r="A102" s="109">
        <v>15</v>
      </c>
      <c r="B102" s="58" t="s">
        <v>350</v>
      </c>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234"/>
      <c r="AA102" s="111"/>
      <c r="AB102" s="97">
        <v>0</v>
      </c>
      <c r="AC102" s="113"/>
      <c r="AD102" s="5"/>
    </row>
    <row r="103" spans="1:30" x14ac:dyDescent="0.35">
      <c r="A103" s="109">
        <v>16</v>
      </c>
      <c r="B103" s="58" t="s">
        <v>28</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234"/>
      <c r="AA103" s="111"/>
      <c r="AB103" s="97">
        <v>-22</v>
      </c>
      <c r="AC103" s="113"/>
      <c r="AD103" s="5"/>
    </row>
    <row r="104" spans="1:30" x14ac:dyDescent="0.35">
      <c r="A104" s="109">
        <v>17</v>
      </c>
      <c r="B104" s="58" t="s">
        <v>118</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234"/>
      <c r="AA104" s="111"/>
      <c r="AB104" s="97">
        <v>0</v>
      </c>
      <c r="AC104" s="113"/>
      <c r="AD104" s="5"/>
    </row>
    <row r="105" spans="1:30" x14ac:dyDescent="0.35">
      <c r="A105" s="109">
        <v>18</v>
      </c>
      <c r="B105" s="58" t="s">
        <v>185</v>
      </c>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234"/>
      <c r="AA105" s="111"/>
      <c r="AB105" s="97">
        <v>0</v>
      </c>
      <c r="AC105" s="113"/>
      <c r="AD105" s="5"/>
    </row>
    <row r="106" spans="1:30" x14ac:dyDescent="0.35">
      <c r="A106" s="109">
        <v>19</v>
      </c>
      <c r="B106" s="58" t="s">
        <v>159</v>
      </c>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234"/>
      <c r="AA106" s="111"/>
      <c r="AB106" s="97">
        <v>-241</v>
      </c>
      <c r="AC106" s="113"/>
      <c r="AD106" s="5"/>
    </row>
    <row r="107" spans="1:30" x14ac:dyDescent="0.35">
      <c r="A107" s="109">
        <v>20</v>
      </c>
      <c r="B107" s="58" t="s">
        <v>252</v>
      </c>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234"/>
      <c r="AA107" s="111"/>
      <c r="AB107" s="97">
        <v>-158</v>
      </c>
      <c r="AC107" s="113"/>
      <c r="AD107" s="5"/>
    </row>
    <row r="108" spans="1:30" x14ac:dyDescent="0.35">
      <c r="A108" s="109">
        <v>21</v>
      </c>
      <c r="B108" s="58" t="s">
        <v>253</v>
      </c>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234"/>
      <c r="AA108" s="111"/>
      <c r="AB108" s="97">
        <v>-289</v>
      </c>
      <c r="AC108" s="113"/>
      <c r="AD108" s="5"/>
    </row>
    <row r="109" spans="1:30" x14ac:dyDescent="0.35">
      <c r="A109" s="109">
        <v>22</v>
      </c>
      <c r="B109" s="58" t="s">
        <v>342</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234"/>
      <c r="AA109" s="111"/>
      <c r="AB109" s="97">
        <v>0</v>
      </c>
      <c r="AC109" s="113"/>
      <c r="AD109" s="5"/>
    </row>
    <row r="110" spans="1:30" x14ac:dyDescent="0.35">
      <c r="A110" s="109">
        <v>23</v>
      </c>
      <c r="B110" s="58" t="s">
        <v>255</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234"/>
      <c r="AA110" s="111"/>
      <c r="AB110" s="97">
        <v>0</v>
      </c>
      <c r="AC110" s="113"/>
      <c r="AD110" s="5"/>
    </row>
    <row r="111" spans="1:30" x14ac:dyDescent="0.35">
      <c r="A111" s="109">
        <v>24</v>
      </c>
      <c r="B111" s="58" t="s">
        <v>131</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234"/>
      <c r="AA111" s="111"/>
      <c r="AB111" s="97">
        <v>0</v>
      </c>
      <c r="AC111" s="113"/>
      <c r="AD111" s="5"/>
    </row>
    <row r="112" spans="1:30" x14ac:dyDescent="0.35">
      <c r="A112" s="109">
        <v>25</v>
      </c>
      <c r="B112" s="58" t="s">
        <v>137</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234"/>
      <c r="AA112" s="111"/>
      <c r="AB112" s="97">
        <f>-13-63</f>
        <v>-76</v>
      </c>
      <c r="AC112" s="113"/>
      <c r="AD112" s="5"/>
    </row>
    <row r="113" spans="1:30" x14ac:dyDescent="0.35">
      <c r="A113" s="109">
        <v>26</v>
      </c>
      <c r="B113" s="58" t="s">
        <v>250</v>
      </c>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234"/>
      <c r="AA113" s="111"/>
      <c r="AB113" s="97">
        <v>-5</v>
      </c>
      <c r="AC113" s="113"/>
      <c r="AD113" s="5"/>
    </row>
    <row r="114" spans="1:30" x14ac:dyDescent="0.35">
      <c r="A114" s="6">
        <v>27</v>
      </c>
      <c r="B114" s="58" t="s">
        <v>221</v>
      </c>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234"/>
      <c r="AA114" s="111"/>
      <c r="AB114" s="97">
        <v>-2733</v>
      </c>
      <c r="AC114" s="113"/>
      <c r="AD114" s="5"/>
    </row>
    <row r="115" spans="1:30" x14ac:dyDescent="0.35">
      <c r="A115" s="109"/>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234"/>
      <c r="AA115" s="111"/>
      <c r="AB115" s="112"/>
      <c r="AC115" s="113"/>
      <c r="AD115" s="5"/>
    </row>
    <row r="116" spans="1:30" x14ac:dyDescent="0.35">
      <c r="A116" s="109"/>
      <c r="B116" s="110" t="s">
        <v>29</v>
      </c>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111"/>
      <c r="AB116" s="115"/>
      <c r="AC116" s="113"/>
      <c r="AD116" s="5"/>
    </row>
    <row r="117" spans="1:30" x14ac:dyDescent="0.35">
      <c r="A117" s="109"/>
      <c r="B117" s="40" t="s">
        <v>222</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v>0</v>
      </c>
      <c r="AA117" s="111"/>
      <c r="AB117" s="115"/>
      <c r="AC117" s="113"/>
      <c r="AD117" s="5"/>
    </row>
    <row r="118" spans="1:30" s="23" customFormat="1" x14ac:dyDescent="0.35">
      <c r="A118" s="47"/>
      <c r="B118" s="40" t="s">
        <v>357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4">
        <v>0</v>
      </c>
      <c r="AA118" s="96"/>
      <c r="AB118" s="97"/>
      <c r="AC118" s="43"/>
      <c r="AD118" s="22"/>
    </row>
    <row r="119" spans="1:30" s="23" customFormat="1" x14ac:dyDescent="0.35">
      <c r="A119" s="47"/>
      <c r="B119" s="40" t="s">
        <v>358</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4">
        <v>0</v>
      </c>
      <c r="AA119" s="96"/>
      <c r="AB119" s="97"/>
      <c r="AC119" s="43"/>
      <c r="AD119" s="22"/>
    </row>
    <row r="120" spans="1:30" s="23" customFormat="1" x14ac:dyDescent="0.35">
      <c r="A120" s="47"/>
      <c r="B120" s="40" t="s">
        <v>257</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4">
        <v>0</v>
      </c>
      <c r="AA120" s="96"/>
      <c r="AB120" s="97"/>
      <c r="AC120" s="43"/>
      <c r="AD120" s="22"/>
    </row>
    <row r="121" spans="1:30" s="23" customFormat="1" x14ac:dyDescent="0.35">
      <c r="A121" s="47"/>
      <c r="B121" s="40" t="s">
        <v>258</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4">
        <v>0</v>
      </c>
      <c r="AA121" s="96"/>
      <c r="AB121" s="97"/>
      <c r="AC121" s="43"/>
      <c r="AD121" s="22"/>
    </row>
    <row r="122" spans="1:30" s="23" customFormat="1" x14ac:dyDescent="0.35">
      <c r="A122" s="47"/>
      <c r="B122" s="40" t="s">
        <v>296</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4">
        <v>-23855</v>
      </c>
      <c r="AA122" s="96"/>
      <c r="AB122" s="97"/>
      <c r="AC122" s="43"/>
      <c r="AD122" s="22"/>
    </row>
    <row r="123" spans="1:30" s="23" customFormat="1" x14ac:dyDescent="0.35">
      <c r="A123" s="47"/>
      <c r="B123" s="40" t="s">
        <v>141</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4">
        <v>0</v>
      </c>
      <c r="AA123" s="96"/>
      <c r="AB123" s="97"/>
      <c r="AC123" s="43"/>
      <c r="AD123" s="22"/>
    </row>
    <row r="124" spans="1:30" s="23" customFormat="1" x14ac:dyDescent="0.35">
      <c r="A124" s="47"/>
      <c r="B124" s="40" t="s">
        <v>142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4">
        <v>0</v>
      </c>
      <c r="AA124" s="96"/>
      <c r="AB124" s="97"/>
      <c r="AC124" s="43"/>
      <c r="AD124" s="22"/>
    </row>
    <row r="125" spans="1:30" s="23" customFormat="1" x14ac:dyDescent="0.35">
      <c r="A125" s="47"/>
      <c r="B125" s="40" t="s">
        <v>170</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4">
        <v>0</v>
      </c>
      <c r="AA125" s="96"/>
      <c r="AB125" s="97"/>
      <c r="AC125" s="43"/>
      <c r="AD125" s="22"/>
    </row>
    <row r="126" spans="1:30" s="23" customFormat="1" x14ac:dyDescent="0.35">
      <c r="A126" s="47"/>
      <c r="B126" s="40" t="s">
        <v>160</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4">
        <v>0</v>
      </c>
      <c r="AA126" s="96"/>
      <c r="AB126" s="97"/>
      <c r="AC126" s="43"/>
      <c r="AD126" s="22"/>
    </row>
    <row r="127" spans="1:30" s="23" customFormat="1" x14ac:dyDescent="0.35">
      <c r="A127" s="47"/>
      <c r="B127" s="40" t="s">
        <v>186</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4">
        <v>0</v>
      </c>
      <c r="AA127" s="96"/>
      <c r="AB127" s="97"/>
      <c r="AC127" s="43"/>
      <c r="AD127" s="22"/>
    </row>
    <row r="128" spans="1:30" s="23" customFormat="1" x14ac:dyDescent="0.35">
      <c r="A128" s="47"/>
      <c r="B128" s="40" t="s">
        <v>30</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4">
        <f>SUM(Z117:Z127)</f>
        <v>-23855</v>
      </c>
      <c r="AA128" s="96"/>
      <c r="AB128" s="96">
        <f>SUM(AB87:AB126)</f>
        <v>-8927</v>
      </c>
      <c r="AC128" s="43"/>
      <c r="AD128" s="22"/>
    </row>
    <row r="129" spans="1:30" s="23" customFormat="1" x14ac:dyDescent="0.35">
      <c r="A129" s="47"/>
      <c r="B129" s="40" t="s">
        <v>31</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4">
        <f>Z86+Z128+Z99</f>
        <v>2</v>
      </c>
      <c r="AA129" s="96"/>
      <c r="AB129" s="96">
        <f>AB86+AB128</f>
        <v>0</v>
      </c>
      <c r="AC129" s="43"/>
      <c r="AD129" s="22"/>
    </row>
    <row r="130" spans="1:30" s="23" customFormat="1" x14ac:dyDescent="0.35">
      <c r="A130" s="18"/>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105"/>
      <c r="AA130" s="105"/>
      <c r="AB130" s="105"/>
      <c r="AC130" s="21"/>
      <c r="AD130" s="22"/>
    </row>
    <row r="131" spans="1:30" s="23" customFormat="1" x14ac:dyDescent="0.35">
      <c r="A131" s="18"/>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116"/>
      <c r="AC131" s="21"/>
      <c r="AD131" s="22"/>
    </row>
    <row r="132" spans="1:30" s="23" customFormat="1" ht="19" thickBot="1" x14ac:dyDescent="0.5">
      <c r="A132" s="82"/>
      <c r="B132" s="83" t="str">
        <f>B53</f>
        <v>PM28 INVESTOR REPORT QUARTER ENDING NOVEMBER 2022</v>
      </c>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117"/>
      <c r="AC132" s="86"/>
      <c r="AD132" s="22"/>
    </row>
    <row r="133" spans="1:30" x14ac:dyDescent="0.35">
      <c r="A133" s="118"/>
      <c r="B133" s="119" t="s">
        <v>32</v>
      </c>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1"/>
      <c r="AC133" s="122"/>
      <c r="AD133" s="5"/>
    </row>
    <row r="134" spans="1:30" x14ac:dyDescent="0.35">
      <c r="A134" s="7"/>
      <c r="B134" s="123"/>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0"/>
      <c r="AC134" s="10"/>
      <c r="AD134" s="5"/>
    </row>
    <row r="135" spans="1:30" x14ac:dyDescent="0.35">
      <c r="A135" s="7"/>
      <c r="B135" s="124" t="s">
        <v>189</v>
      </c>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0"/>
      <c r="AC135" s="10"/>
      <c r="AD135" s="5"/>
    </row>
    <row r="136" spans="1:30" s="23" customFormat="1" x14ac:dyDescent="0.35">
      <c r="A136" s="47"/>
      <c r="B136" s="40" t="s">
        <v>196</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7">
        <f>SUM(F29:H29)*1.5%</f>
        <v>9952.14</v>
      </c>
      <c r="AC136" s="43"/>
      <c r="AD136" s="22"/>
    </row>
    <row r="137" spans="1:30" s="23" customFormat="1" x14ac:dyDescent="0.35">
      <c r="A137" s="47"/>
      <c r="B137" s="40" t="s">
        <v>201</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7">
        <f>+'August 22'!AB144</f>
        <v>9301.14</v>
      </c>
      <c r="AC137" s="43"/>
      <c r="AD137" s="22"/>
    </row>
    <row r="138" spans="1:30" s="23" customFormat="1" x14ac:dyDescent="0.35">
      <c r="A138" s="47"/>
      <c r="B138" s="40" t="s">
        <v>243</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7"/>
      <c r="AC138" s="43"/>
      <c r="AD138" s="22"/>
    </row>
    <row r="139" spans="1:30" s="23" customFormat="1" x14ac:dyDescent="0.35">
      <c r="A139" s="47"/>
      <c r="B139" s="40" t="s">
        <v>245</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7">
        <v>0</v>
      </c>
      <c r="AC139" s="43"/>
      <c r="AD139" s="22"/>
    </row>
    <row r="140" spans="1:30" s="23" customFormat="1" x14ac:dyDescent="0.35">
      <c r="A140" s="47"/>
      <c r="B140" s="40" t="s">
        <v>195</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7">
        <v>0</v>
      </c>
      <c r="AC140" s="43"/>
      <c r="AD140" s="22"/>
    </row>
    <row r="141" spans="1:30" s="23" customFormat="1" x14ac:dyDescent="0.35">
      <c r="A141" s="47"/>
      <c r="B141" s="40" t="s">
        <v>149</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7">
        <v>0</v>
      </c>
      <c r="AC141" s="43"/>
      <c r="AD141" s="22"/>
    </row>
    <row r="142" spans="1:30" s="23" customFormat="1" x14ac:dyDescent="0.35">
      <c r="A142" s="47"/>
      <c r="B142" s="40" t="s">
        <v>87</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7">
        <v>0</v>
      </c>
      <c r="AC142" s="43"/>
      <c r="AD142" s="22"/>
    </row>
    <row r="143" spans="1:30" s="23" customFormat="1" x14ac:dyDescent="0.35">
      <c r="A143" s="47"/>
      <c r="B143" s="40" t="s">
        <v>246</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7">
        <f>-AB78</f>
        <v>-289</v>
      </c>
      <c r="AC143" s="43"/>
      <c r="AD143" s="22"/>
    </row>
    <row r="144" spans="1:30" s="23" customFormat="1" x14ac:dyDescent="0.35">
      <c r="A144" s="47"/>
      <c r="B144" s="40" t="s">
        <v>200</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7">
        <f>SUM(AB137:AB143)</f>
        <v>9012.14</v>
      </c>
      <c r="AC144" s="43"/>
      <c r="AD144" s="22"/>
    </row>
    <row r="145" spans="1:31" x14ac:dyDescent="0.35">
      <c r="A145" s="7"/>
      <c r="B145" s="123"/>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0"/>
      <c r="AC145" s="10"/>
      <c r="AD145" s="5"/>
    </row>
    <row r="146" spans="1:31" x14ac:dyDescent="0.35">
      <c r="A146" s="7"/>
      <c r="B146" s="124" t="s">
        <v>187</v>
      </c>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0"/>
      <c r="AC146" s="10"/>
      <c r="AD146" s="5"/>
    </row>
    <row r="147" spans="1:31" s="23" customFormat="1" x14ac:dyDescent="0.35">
      <c r="A147" s="47"/>
      <c r="B147" s="58" t="s">
        <v>188</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7">
        <f>SUM(J29:L29)*1.5%</f>
        <v>594.95999999999992</v>
      </c>
      <c r="AC147" s="43"/>
      <c r="AD147" s="22"/>
    </row>
    <row r="148" spans="1:31" s="23" customFormat="1" x14ac:dyDescent="0.35">
      <c r="A148" s="47"/>
      <c r="B148" s="58" t="s">
        <v>202</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7">
        <f>+'August 22'!AB157</f>
        <v>594.95999999999992</v>
      </c>
      <c r="AC148" s="43"/>
      <c r="AD148" s="22"/>
      <c r="AE148" s="114"/>
    </row>
    <row r="149" spans="1:31" s="23" customFormat="1" x14ac:dyDescent="0.35">
      <c r="A149" s="47"/>
      <c r="B149" s="58" t="s">
        <v>93</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7"/>
      <c r="AC149" s="43"/>
      <c r="AD149" s="22"/>
    </row>
    <row r="150" spans="1:31" s="23" customFormat="1" x14ac:dyDescent="0.35">
      <c r="A150" s="47"/>
      <c r="B150" s="40" t="s">
        <v>245</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7">
        <v>0</v>
      </c>
      <c r="AC150" s="43"/>
      <c r="AD150" s="22"/>
    </row>
    <row r="151" spans="1:31" s="23" customFormat="1" x14ac:dyDescent="0.35">
      <c r="A151" s="47"/>
      <c r="B151" s="58" t="s">
        <v>129</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7">
        <v>0</v>
      </c>
      <c r="AC151" s="43"/>
      <c r="AD151" s="22"/>
    </row>
    <row r="152" spans="1:31" s="23" customFormat="1" x14ac:dyDescent="0.35">
      <c r="A152" s="47"/>
      <c r="B152" s="58" t="s">
        <v>149</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7">
        <v>0</v>
      </c>
      <c r="AC152" s="43"/>
      <c r="AD152" s="22"/>
    </row>
    <row r="153" spans="1:31" s="23" customFormat="1" x14ac:dyDescent="0.35">
      <c r="A153" s="47"/>
      <c r="B153" s="58" t="s">
        <v>150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7">
        <v>0</v>
      </c>
      <c r="AC153" s="43"/>
      <c r="AD153" s="22"/>
    </row>
    <row r="154" spans="1:31" s="23" customFormat="1" x14ac:dyDescent="0.35">
      <c r="A154" s="47"/>
      <c r="B154" s="58" t="s">
        <v>177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7">
        <v>0</v>
      </c>
      <c r="AC154" s="43"/>
      <c r="AD154" s="22"/>
    </row>
    <row r="155" spans="1:31" s="23" customFormat="1" x14ac:dyDescent="0.35">
      <c r="A155" s="47"/>
      <c r="B155" s="58" t="s">
        <v>87</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7">
        <v>0</v>
      </c>
      <c r="AC155" s="43"/>
      <c r="AD155" s="22"/>
    </row>
    <row r="156" spans="1:31" s="23" customFormat="1" x14ac:dyDescent="0.35">
      <c r="A156" s="47"/>
      <c r="B156" s="40" t="s">
        <v>246</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7">
        <v>0</v>
      </c>
      <c r="AC156" s="43"/>
      <c r="AD156" s="22"/>
    </row>
    <row r="157" spans="1:31" s="23" customFormat="1" x14ac:dyDescent="0.35">
      <c r="A157" s="47"/>
      <c r="B157" s="58" t="s">
        <v>199</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7">
        <f>SUM(AB148:AB156)</f>
        <v>594.95999999999992</v>
      </c>
      <c r="AC157" s="43"/>
      <c r="AD157" s="22"/>
    </row>
    <row r="158" spans="1:31" x14ac:dyDescent="0.35">
      <c r="A158" s="7"/>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125"/>
      <c r="AC158" s="10"/>
      <c r="AD158" s="5"/>
    </row>
    <row r="159" spans="1:31" x14ac:dyDescent="0.35">
      <c r="A159" s="7"/>
      <c r="B159" s="124" t="s">
        <v>171</v>
      </c>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7"/>
      <c r="AC159" s="10"/>
      <c r="AD159" s="5"/>
    </row>
    <row r="160" spans="1:31" s="23" customFormat="1" x14ac:dyDescent="0.35">
      <c r="A160" s="128"/>
      <c r="B160" s="227" t="s">
        <v>274</v>
      </c>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30">
        <f>+'August 22'!AB163</f>
        <v>579</v>
      </c>
      <c r="AC160" s="131"/>
      <c r="AD160" s="22"/>
    </row>
    <row r="161" spans="1:262" s="23" customFormat="1" x14ac:dyDescent="0.35">
      <c r="A161" s="128"/>
      <c r="B161" s="227" t="s">
        <v>172</v>
      </c>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30">
        <f>X64+283</f>
        <v>-13</v>
      </c>
      <c r="AC161" s="131"/>
      <c r="AD161" s="22"/>
    </row>
    <row r="162" spans="1:262" s="23" customFormat="1" x14ac:dyDescent="0.35">
      <c r="A162" s="128"/>
      <c r="B162" s="227" t="s">
        <v>244</v>
      </c>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30">
        <v>-283</v>
      </c>
      <c r="AC162" s="131"/>
      <c r="AD162" s="306"/>
    </row>
    <row r="163" spans="1:262" s="23" customFormat="1" x14ac:dyDescent="0.35">
      <c r="A163" s="128"/>
      <c r="B163" s="227" t="s">
        <v>173</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30">
        <f>AB160+AB161+AB162+1</f>
        <v>284</v>
      </c>
      <c r="AC163" s="131"/>
      <c r="AD163" s="22"/>
    </row>
    <row r="164" spans="1:262" x14ac:dyDescent="0.35">
      <c r="A164" s="7"/>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125"/>
      <c r="AC164" s="10"/>
      <c r="AD164" s="5"/>
    </row>
    <row r="165" spans="1:262" x14ac:dyDescent="0.35">
      <c r="A165" s="7"/>
      <c r="B165" s="124" t="s">
        <v>34</v>
      </c>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132"/>
      <c r="AC165" s="10"/>
      <c r="AD165" s="5"/>
    </row>
    <row r="166" spans="1:262" s="23" customFormat="1" x14ac:dyDescent="0.35">
      <c r="A166" s="47"/>
      <c r="B166" s="40" t="s">
        <v>35</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7">
        <v>0</v>
      </c>
      <c r="AC166" s="43"/>
      <c r="AD166" s="22"/>
    </row>
    <row r="167" spans="1:262" s="23" customFormat="1" x14ac:dyDescent="0.35">
      <c r="A167" s="47"/>
      <c r="B167" s="40" t="s">
        <v>36</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7">
        <v>1</v>
      </c>
      <c r="AC167" s="43"/>
      <c r="AD167" s="22"/>
    </row>
    <row r="168" spans="1:262" s="23" customFormat="1" x14ac:dyDescent="0.35">
      <c r="A168" s="47"/>
      <c r="B168" s="40" t="s">
        <v>214</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7">
        <v>0</v>
      </c>
      <c r="AC168" s="43"/>
      <c r="AD168" s="22"/>
    </row>
    <row r="169" spans="1:262" s="23" customFormat="1" x14ac:dyDescent="0.35">
      <c r="A169" s="47"/>
      <c r="B169" s="40" t="s">
        <v>37</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7">
        <f>AB167+AB166+AB168</f>
        <v>1</v>
      </c>
      <c r="AC169" s="43"/>
      <c r="AD169" s="22"/>
    </row>
    <row r="170" spans="1:262" s="23" customFormat="1" x14ac:dyDescent="0.35">
      <c r="A170" s="47"/>
      <c r="B170" s="40" t="s">
        <v>263</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7">
        <f>+AB99</f>
        <v>-1</v>
      </c>
      <c r="AC170" s="43"/>
      <c r="AD170" s="22"/>
    </row>
    <row r="171" spans="1:262" s="23" customFormat="1" x14ac:dyDescent="0.35">
      <c r="A171" s="47"/>
      <c r="B171" s="40" t="s">
        <v>38</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7">
        <f>AB169+AB170</f>
        <v>0</v>
      </c>
      <c r="AC171" s="43"/>
      <c r="AD171" s="22"/>
    </row>
    <row r="172" spans="1:262" s="23" customFormat="1" x14ac:dyDescent="0.35">
      <c r="A172" s="47"/>
      <c r="B172" s="40" t="s">
        <v>124</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7">
        <f>-AB85</f>
        <v>0</v>
      </c>
      <c r="AC172" s="43"/>
      <c r="AD172" s="22"/>
    </row>
    <row r="173" spans="1:262" ht="16" thickBot="1" x14ac:dyDescent="0.4">
      <c r="A173" s="7"/>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125"/>
      <c r="AC173" s="10"/>
      <c r="AD173" s="5"/>
    </row>
    <row r="174" spans="1:262" x14ac:dyDescent="0.3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133"/>
      <c r="AC174" s="4"/>
      <c r="AD174" s="5"/>
    </row>
    <row r="175" spans="1:262" s="135" customFormat="1" x14ac:dyDescent="0.35">
      <c r="A175" s="7"/>
      <c r="B175" s="124" t="s">
        <v>190</v>
      </c>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134"/>
      <c r="AC175" s="10"/>
      <c r="AD175" s="5"/>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row>
    <row r="176" spans="1:262" s="136" customFormat="1" x14ac:dyDescent="0.35">
      <c r="A176" s="47"/>
      <c r="B176" s="40" t="s">
        <v>301</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7">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6" customFormat="1" x14ac:dyDescent="0.35">
      <c r="A177" s="47"/>
      <c r="B177" s="40" t="s">
        <v>207</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7">
        <f>+'August 22'!AB180</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6" customFormat="1" x14ac:dyDescent="0.35">
      <c r="A178" s="47"/>
      <c r="B178" s="40" t="s">
        <v>229</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7">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6" customFormat="1" x14ac:dyDescent="0.35">
      <c r="A179" s="47"/>
      <c r="B179" s="40" t="s">
        <v>231</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7">
        <f>+AB81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6" customFormat="1" x14ac:dyDescent="0.35">
      <c r="A180" s="47"/>
      <c r="B180" s="40" t="s">
        <v>204</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7">
        <f>+AB177+AB178-AB179</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8" customFormat="1" ht="16" thickBot="1" x14ac:dyDescent="0.4">
      <c r="A181" s="137"/>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125"/>
      <c r="AC181" s="10"/>
      <c r="AD181" s="5"/>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row>
    <row r="182" spans="1:262" x14ac:dyDescent="0.3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133"/>
      <c r="AC182" s="4"/>
      <c r="AD182" s="5"/>
    </row>
    <row r="183" spans="1:262" s="135" customFormat="1" x14ac:dyDescent="0.35">
      <c r="A183" s="7"/>
      <c r="B183" s="124" t="s">
        <v>203</v>
      </c>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134"/>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s="136" customFormat="1" x14ac:dyDescent="0.35">
      <c r="A184" s="47"/>
      <c r="B184" s="40" t="s">
        <v>205</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233">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6" customFormat="1" x14ac:dyDescent="0.35">
      <c r="A185" s="47"/>
      <c r="B185" s="40" t="s">
        <v>208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7">
        <f>+'August 22'!AB188</f>
        <v>300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6" customFormat="1" x14ac:dyDescent="0.35">
      <c r="A186" s="47"/>
      <c r="B186" s="58" t="s">
        <v>223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7">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6" customFormat="1" x14ac:dyDescent="0.35">
      <c r="A187" s="47"/>
      <c r="B187" s="58" t="s">
        <v>224</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7">
        <f>-AB100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6" customFormat="1" x14ac:dyDescent="0.35">
      <c r="A188" s="47"/>
      <c r="B188" s="40" t="s">
        <v>206</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7">
        <f>AB184-AB186+AB187</f>
        <v>300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8" customFormat="1" ht="16" thickBot="1" x14ac:dyDescent="0.4">
      <c r="A189" s="137"/>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125"/>
      <c r="AC189" s="10"/>
      <c r="AD189" s="5"/>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row>
    <row r="190" spans="1:262" x14ac:dyDescent="0.3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133"/>
      <c r="AC190" s="4"/>
      <c r="AD190" s="5"/>
    </row>
    <row r="191" spans="1:262" s="135" customFormat="1" x14ac:dyDescent="0.35">
      <c r="A191" s="7"/>
      <c r="B191" s="124" t="s">
        <v>209</v>
      </c>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134"/>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s="136" customFormat="1" x14ac:dyDescent="0.35">
      <c r="A192" s="47"/>
      <c r="B192" s="40" t="s">
        <v>303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233">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6" customFormat="1" x14ac:dyDescent="0.35">
      <c r="A193" s="47"/>
      <c r="B193" s="40" t="s">
        <v>210</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7">
        <f>+'August 22'!AB196</f>
        <v>3566</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6" customFormat="1" x14ac:dyDescent="0.35">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7">
        <f>AB202</f>
        <v>2490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6" customFormat="1" x14ac:dyDescent="0.35">
      <c r="A195" s="47"/>
      <c r="B195" s="40" t="s">
        <v>225</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7">
        <f>AB82</f>
        <v>1847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6" customFormat="1" x14ac:dyDescent="0.35">
      <c r="A196" s="47"/>
      <c r="B196" s="40" t="s">
        <v>204</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7">
        <f>AB193+AB194-AB195</f>
        <v>4209</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8" customFormat="1" ht="16" thickBot="1" x14ac:dyDescent="0.4">
      <c r="A197" s="137"/>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125"/>
      <c r="AC197" s="10"/>
      <c r="AD197" s="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row>
    <row r="198" spans="1:262" x14ac:dyDescent="0.3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133"/>
      <c r="AC198" s="4"/>
      <c r="AD198" s="5"/>
    </row>
    <row r="199" spans="1:262" s="135" customFormat="1" x14ac:dyDescent="0.35">
      <c r="A199" s="7"/>
      <c r="B199" s="124" t="s">
        <v>302</v>
      </c>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134"/>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s="136" customFormat="1" x14ac:dyDescent="0.35">
      <c r="A200" s="47"/>
      <c r="B200" s="40" t="s">
        <v>211</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233">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6" customFormat="1" x14ac:dyDescent="0.35">
      <c r="A201" s="47"/>
      <c r="B201" s="40" t="s">
        <v>212</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7">
        <f>+'August 22'!AB204</f>
        <v>2544</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6" customFormat="1" x14ac:dyDescent="0.35">
      <c r="A202" s="47"/>
      <c r="B202" s="58" t="s">
        <v>251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7">
        <v>2490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6" customFormat="1" x14ac:dyDescent="0.35">
      <c r="A203" s="47"/>
      <c r="B203" s="58" t="s">
        <v>226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7">
        <f>-AB101</f>
        <v>2500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6" customFormat="1" x14ac:dyDescent="0.35">
      <c r="A204" s="47"/>
      <c r="B204" s="40" t="s">
        <v>213</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7">
        <f>AB201-AB202+AB203</f>
        <v>2554</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8" customFormat="1" ht="16" thickBot="1" x14ac:dyDescent="0.4">
      <c r="A205" s="137"/>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125"/>
      <c r="AC205" s="10"/>
      <c r="AD205" s="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row>
    <row r="206" spans="1:262" x14ac:dyDescent="0.3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133"/>
      <c r="AC206" s="4"/>
      <c r="AD206" s="5"/>
    </row>
    <row r="207" spans="1:262" x14ac:dyDescent="0.35">
      <c r="A207" s="7"/>
      <c r="B207" s="124" t="s">
        <v>333</v>
      </c>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134"/>
      <c r="AC207" s="10"/>
      <c r="AD207" s="5"/>
    </row>
    <row r="208" spans="1:262" x14ac:dyDescent="0.35">
      <c r="A208" s="47"/>
      <c r="B208" s="40" t="s">
        <v>334</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233">
        <v>0</v>
      </c>
      <c r="AC208" s="43"/>
      <c r="AD208" s="5"/>
    </row>
    <row r="209" spans="1:262" x14ac:dyDescent="0.35">
      <c r="A209" s="47"/>
      <c r="B209" s="40" t="s">
        <v>335</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97">
        <f>+'August 22'!AB212</f>
        <v>0</v>
      </c>
      <c r="AC209" s="43"/>
      <c r="AD209" s="5"/>
    </row>
    <row r="210" spans="1:262" x14ac:dyDescent="0.35">
      <c r="A210" s="47"/>
      <c r="B210" s="58" t="s">
        <v>336</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97">
        <f>-AB102</f>
        <v>0</v>
      </c>
      <c r="AC210" s="43"/>
      <c r="AD210" s="5"/>
    </row>
    <row r="211" spans="1:262" x14ac:dyDescent="0.35">
      <c r="A211" s="47"/>
      <c r="B211" s="58" t="s">
        <v>338</v>
      </c>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97">
        <v>0</v>
      </c>
      <c r="AC211" s="43"/>
      <c r="AD211" s="5"/>
    </row>
    <row r="212" spans="1:262" x14ac:dyDescent="0.35">
      <c r="A212" s="47"/>
      <c r="B212" s="40" t="s">
        <v>337</v>
      </c>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97">
        <f>AB208+AB210-+AB211</f>
        <v>0</v>
      </c>
      <c r="AC212" s="43"/>
      <c r="AD212" s="5"/>
    </row>
    <row r="213" spans="1:262" ht="16" thickBot="1" x14ac:dyDescent="0.4">
      <c r="A213" s="137"/>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2"/>
      <c r="AD213" s="5"/>
    </row>
    <row r="214" spans="1:262" x14ac:dyDescent="0.35">
      <c r="A214" s="7"/>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125"/>
      <c r="AC214" s="10"/>
      <c r="AD214" s="5"/>
    </row>
    <row r="215" spans="1:262" s="135" customFormat="1" x14ac:dyDescent="0.35">
      <c r="A215" s="7"/>
      <c r="B215" s="124" t="s">
        <v>232</v>
      </c>
      <c r="C215" s="98"/>
      <c r="D215" s="98"/>
      <c r="E215" s="98"/>
      <c r="F215" s="98"/>
      <c r="G215" s="98"/>
      <c r="H215" s="98"/>
      <c r="I215" s="98"/>
      <c r="J215" s="98"/>
      <c r="K215" s="98"/>
      <c r="L215" s="98"/>
      <c r="M215" s="98"/>
      <c r="N215" s="98"/>
      <c r="O215" s="98"/>
      <c r="P215" s="98"/>
      <c r="Q215" s="98"/>
      <c r="R215" s="98"/>
      <c r="S215" s="98"/>
      <c r="T215" s="98"/>
      <c r="U215" s="98"/>
      <c r="V215" s="98"/>
      <c r="W215" s="98"/>
      <c r="X215" s="98"/>
      <c r="Y215" s="229" t="s">
        <v>238</v>
      </c>
      <c r="Z215" s="229" t="s">
        <v>239</v>
      </c>
      <c r="AA215" s="12"/>
      <c r="AB215" s="230" t="s">
        <v>80</v>
      </c>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s="136" customFormat="1" x14ac:dyDescent="0.35">
      <c r="A216" s="47"/>
      <c r="B216" s="40" t="s">
        <v>233</v>
      </c>
      <c r="C216" s="40"/>
      <c r="D216" s="40"/>
      <c r="E216" s="40"/>
      <c r="F216" s="40"/>
      <c r="G216" s="40"/>
      <c r="H216" s="40"/>
      <c r="I216" s="40"/>
      <c r="J216" s="40"/>
      <c r="K216" s="40"/>
      <c r="L216" s="40"/>
      <c r="M216" s="40"/>
      <c r="N216" s="40"/>
      <c r="O216" s="40"/>
      <c r="P216" s="40"/>
      <c r="Q216" s="40"/>
      <c r="R216" s="40"/>
      <c r="S216" s="40"/>
      <c r="T216" s="40"/>
      <c r="U216" s="40"/>
      <c r="V216" s="40"/>
      <c r="W216" s="40"/>
      <c r="X216" s="40"/>
      <c r="Y216" s="97">
        <f>SUM(F29:R29)*0.16</f>
        <v>117353.76000000001</v>
      </c>
      <c r="Z216" s="69"/>
      <c r="AA216" s="40"/>
      <c r="AB216" s="97"/>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6" customFormat="1" x14ac:dyDescent="0.35">
      <c r="A217" s="47"/>
      <c r="B217" s="40" t="s">
        <v>234</v>
      </c>
      <c r="C217" s="40"/>
      <c r="D217" s="40"/>
      <c r="E217" s="40"/>
      <c r="F217" s="40"/>
      <c r="G217" s="40"/>
      <c r="H217" s="40"/>
      <c r="I217" s="40"/>
      <c r="J217" s="40"/>
      <c r="K217" s="40"/>
      <c r="L217" s="40"/>
      <c r="M217" s="40"/>
      <c r="N217" s="40"/>
      <c r="O217" s="40"/>
      <c r="P217" s="40"/>
      <c r="Q217" s="40"/>
      <c r="R217" s="40"/>
      <c r="S217" s="40"/>
      <c r="T217" s="40"/>
      <c r="U217" s="40"/>
      <c r="V217" s="40"/>
      <c r="W217" s="40"/>
      <c r="X217" s="40"/>
      <c r="Y217" s="97">
        <f>+'August 22'!Y219</f>
        <v>0</v>
      </c>
      <c r="Z217" s="97">
        <f>+'August 22'!Z219</f>
        <v>472</v>
      </c>
      <c r="AA217" s="40"/>
      <c r="AB217" s="97">
        <f>Y217+Z217</f>
        <v>472</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6" customFormat="1" x14ac:dyDescent="0.35">
      <c r="A218" s="47"/>
      <c r="B218" s="40" t="s">
        <v>235</v>
      </c>
      <c r="C218" s="40"/>
      <c r="D218" s="40"/>
      <c r="E218" s="40"/>
      <c r="F218" s="40"/>
      <c r="G218" s="40"/>
      <c r="H218" s="40"/>
      <c r="I218" s="40"/>
      <c r="J218" s="40"/>
      <c r="K218" s="40"/>
      <c r="L218" s="40"/>
      <c r="M218" s="40"/>
      <c r="N218" s="40"/>
      <c r="O218" s="40"/>
      <c r="P218" s="40"/>
      <c r="Q218" s="40"/>
      <c r="R218" s="40"/>
      <c r="S218" s="40"/>
      <c r="T218" s="40"/>
      <c r="U218" s="40"/>
      <c r="V218" s="40"/>
      <c r="W218" s="40"/>
      <c r="X218" s="40"/>
      <c r="Y218" s="96">
        <v>0</v>
      </c>
      <c r="Z218" s="96">
        <v>13</v>
      </c>
      <c r="AA218" s="40"/>
      <c r="AB218" s="97">
        <f>Y218+Z218</f>
        <v>13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6" customFormat="1" x14ac:dyDescent="0.35">
      <c r="A219" s="47"/>
      <c r="B219" s="40" t="s">
        <v>236</v>
      </c>
      <c r="C219" s="40"/>
      <c r="D219" s="40"/>
      <c r="E219" s="40"/>
      <c r="F219" s="40"/>
      <c r="G219" s="40"/>
      <c r="H219" s="40"/>
      <c r="I219" s="40"/>
      <c r="J219" s="40"/>
      <c r="K219" s="40"/>
      <c r="L219" s="40"/>
      <c r="M219" s="40"/>
      <c r="N219" s="40"/>
      <c r="O219" s="40"/>
      <c r="P219" s="40"/>
      <c r="Q219" s="40"/>
      <c r="R219" s="40"/>
      <c r="S219" s="40"/>
      <c r="T219" s="40"/>
      <c r="U219" s="40"/>
      <c r="V219" s="40"/>
      <c r="W219" s="40"/>
      <c r="X219" s="40"/>
      <c r="Y219" s="97">
        <f>Y217+Y218</f>
        <v>0</v>
      </c>
      <c r="Z219" s="97">
        <f>Z218+Z217</f>
        <v>485</v>
      </c>
      <c r="AA219" s="40"/>
      <c r="AB219" s="97">
        <f>Y219+Z219</f>
        <v>485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6" customFormat="1" x14ac:dyDescent="0.35">
      <c r="A220" s="47"/>
      <c r="B220" s="40" t="s">
        <v>237</v>
      </c>
      <c r="C220" s="40"/>
      <c r="D220" s="40"/>
      <c r="E220" s="40"/>
      <c r="F220" s="40"/>
      <c r="G220" s="40"/>
      <c r="H220" s="40"/>
      <c r="I220" s="40"/>
      <c r="J220" s="40"/>
      <c r="K220" s="40"/>
      <c r="L220" s="40"/>
      <c r="M220" s="40"/>
      <c r="N220" s="40"/>
      <c r="O220" s="40"/>
      <c r="P220" s="40"/>
      <c r="Q220" s="40"/>
      <c r="R220" s="40"/>
      <c r="S220" s="40"/>
      <c r="T220" s="40"/>
      <c r="U220" s="40"/>
      <c r="V220" s="40"/>
      <c r="W220" s="40"/>
      <c r="X220" s="40"/>
      <c r="Y220" s="97">
        <f>Y216-Y219-Z219</f>
        <v>116868.76000000001</v>
      </c>
      <c r="Z220" s="69"/>
      <c r="AA220" s="40"/>
      <c r="AB220" s="97"/>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8" customFormat="1" ht="16" thickBot="1" x14ac:dyDescent="0.4">
      <c r="A221" s="137"/>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125"/>
      <c r="AC221" s="10"/>
      <c r="AD221" s="5"/>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row>
    <row r="222" spans="1:262" x14ac:dyDescent="0.3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133"/>
      <c r="AC222" s="4"/>
      <c r="AD222" s="5"/>
    </row>
    <row r="223" spans="1:262" s="135" customFormat="1" x14ac:dyDescent="0.35">
      <c r="A223" s="7"/>
      <c r="B223" s="124" t="s">
        <v>262</v>
      </c>
      <c r="C223" s="98"/>
      <c r="D223" s="98"/>
      <c r="E223" s="98"/>
      <c r="F223" s="98"/>
      <c r="G223" s="98"/>
      <c r="H223" s="98"/>
      <c r="I223" s="98"/>
      <c r="J223" s="98"/>
      <c r="K223" s="98"/>
      <c r="L223" s="98"/>
      <c r="M223" s="98"/>
      <c r="N223" s="98"/>
      <c r="O223" s="98"/>
      <c r="P223" s="98"/>
      <c r="Q223" s="98"/>
      <c r="R223" s="98"/>
      <c r="S223" s="98"/>
      <c r="T223" s="98"/>
      <c r="U223" s="98"/>
      <c r="V223" s="98"/>
      <c r="W223" s="98"/>
      <c r="X223" s="98"/>
      <c r="Y223" s="229"/>
      <c r="Z223" s="229"/>
      <c r="AA223" s="12"/>
      <c r="AB223" s="230" t="s">
        <v>80</v>
      </c>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s="136" customFormat="1" x14ac:dyDescent="0.35">
      <c r="A224" s="47"/>
      <c r="B224" s="40" t="s">
        <v>260</v>
      </c>
      <c r="C224" s="40"/>
      <c r="D224" s="40"/>
      <c r="E224" s="40"/>
      <c r="F224" s="40"/>
      <c r="G224" s="40"/>
      <c r="H224" s="40"/>
      <c r="I224" s="40"/>
      <c r="J224" s="40"/>
      <c r="K224" s="40"/>
      <c r="L224" s="40"/>
      <c r="M224" s="40"/>
      <c r="N224" s="40"/>
      <c r="O224" s="40"/>
      <c r="P224" s="40"/>
      <c r="Q224" s="40"/>
      <c r="R224" s="40"/>
      <c r="S224" s="40"/>
      <c r="T224" s="40"/>
      <c r="U224" s="40"/>
      <c r="V224" s="40"/>
      <c r="W224" s="40"/>
      <c r="X224" s="40"/>
      <c r="Y224" s="97"/>
      <c r="Z224" s="69"/>
      <c r="AA224" s="40"/>
      <c r="AB224" s="233">
        <v>608900</v>
      </c>
      <c r="AC224" s="43"/>
      <c r="AD224" s="22"/>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row>
    <row r="225" spans="1:262" s="136" customFormat="1" x14ac:dyDescent="0.35">
      <c r="A225" s="47"/>
      <c r="B225" s="40" t="s">
        <v>298</v>
      </c>
      <c r="C225" s="40"/>
      <c r="D225" s="40"/>
      <c r="E225" s="40"/>
      <c r="F225" s="40"/>
      <c r="G225" s="40"/>
      <c r="H225" s="40"/>
      <c r="I225" s="40"/>
      <c r="J225" s="40"/>
      <c r="K225" s="40"/>
      <c r="L225" s="40"/>
      <c r="M225" s="40"/>
      <c r="N225" s="40"/>
      <c r="O225" s="40"/>
      <c r="P225" s="40"/>
      <c r="Q225" s="40"/>
      <c r="R225" s="40"/>
      <c r="S225" s="40"/>
      <c r="T225" s="40"/>
      <c r="U225" s="40"/>
      <c r="V225" s="40"/>
      <c r="W225" s="40"/>
      <c r="X225" s="40"/>
      <c r="Y225" s="97"/>
      <c r="Z225" s="97"/>
      <c r="AA225" s="40"/>
      <c r="AB225" s="233">
        <v>614355</v>
      </c>
      <c r="AC225" s="43"/>
      <c r="AD225" s="22"/>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row>
    <row r="226" spans="1:262" s="136" customFormat="1" x14ac:dyDescent="0.35">
      <c r="A226" s="47"/>
      <c r="B226" s="40" t="s">
        <v>261</v>
      </c>
      <c r="C226" s="40"/>
      <c r="D226" s="40"/>
      <c r="E226" s="40"/>
      <c r="F226" s="40"/>
      <c r="G226" s="40"/>
      <c r="H226" s="40"/>
      <c r="I226" s="40"/>
      <c r="J226" s="40"/>
      <c r="K226" s="40"/>
      <c r="L226" s="40"/>
      <c r="M226" s="40"/>
      <c r="N226" s="40"/>
      <c r="O226" s="40"/>
      <c r="P226" s="40"/>
      <c r="Q226" s="40"/>
      <c r="R226" s="40"/>
      <c r="S226" s="40"/>
      <c r="T226" s="40"/>
      <c r="U226" s="40"/>
      <c r="V226" s="40"/>
      <c r="W226" s="40"/>
      <c r="X226" s="40"/>
      <c r="Y226" s="97"/>
      <c r="Z226" s="97"/>
      <c r="AA226" s="40"/>
      <c r="AB226" s="97">
        <f>AB224-AB225</f>
        <v>-5455</v>
      </c>
      <c r="AC226" s="43"/>
      <c r="AD226" s="22"/>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row>
    <row r="227" spans="1:262" s="136" customFormat="1" x14ac:dyDescent="0.35">
      <c r="A227" s="47"/>
      <c r="B227" s="40" t="s">
        <v>272</v>
      </c>
      <c r="C227" s="40"/>
      <c r="D227" s="40"/>
      <c r="E227" s="40"/>
      <c r="F227" s="40"/>
      <c r="G227" s="40"/>
      <c r="H227" s="40"/>
      <c r="I227" s="40"/>
      <c r="J227" s="40"/>
      <c r="K227" s="40"/>
      <c r="L227" s="40"/>
      <c r="M227" s="40"/>
      <c r="N227" s="40"/>
      <c r="O227" s="40"/>
      <c r="P227" s="40"/>
      <c r="Q227" s="40"/>
      <c r="R227" s="40"/>
      <c r="S227" s="40"/>
      <c r="T227" s="40"/>
      <c r="U227" s="40"/>
      <c r="V227" s="40"/>
      <c r="W227" s="40"/>
      <c r="X227" s="40"/>
      <c r="Y227" s="96"/>
      <c r="Z227" s="96"/>
      <c r="AA227" s="40"/>
      <c r="AB227" s="304">
        <v>5.7428986697322998E-3</v>
      </c>
      <c r="AC227" s="43"/>
      <c r="AD227" s="22"/>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row>
    <row r="228" spans="1:262" s="138" customFormat="1" ht="16" thickBot="1" x14ac:dyDescent="0.4">
      <c r="A228" s="137"/>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125"/>
      <c r="AC228" s="10"/>
      <c r="AD228" s="5"/>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row>
    <row r="229" spans="1:262" x14ac:dyDescent="0.3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133"/>
      <c r="AC229" s="4"/>
      <c r="AD229" s="5"/>
    </row>
    <row r="230" spans="1:262" x14ac:dyDescent="0.35">
      <c r="A230" s="7"/>
      <c r="B230" s="124" t="s">
        <v>39</v>
      </c>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139"/>
      <c r="AC230" s="10"/>
      <c r="AD230" s="5"/>
    </row>
    <row r="231" spans="1:262" s="23" customFormat="1" x14ac:dyDescent="0.35">
      <c r="A231" s="47"/>
      <c r="B231" s="40" t="s">
        <v>40</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0">
        <f>(AB86+AB88+AB89+AB90+AB91)/-AB92</f>
        <v>2.4517160520144961</v>
      </c>
      <c r="AC231" s="43" t="s">
        <v>81</v>
      </c>
      <c r="AD231" s="22"/>
    </row>
    <row r="232" spans="1:262" s="23" customFormat="1" x14ac:dyDescent="0.35">
      <c r="A232" s="47"/>
      <c r="B232" s="40" t="s">
        <v>41</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0">
        <v>3.1</v>
      </c>
      <c r="AC232" s="43" t="s">
        <v>81</v>
      </c>
      <c r="AD232" s="22"/>
    </row>
    <row r="233" spans="1:262" s="23" customFormat="1" x14ac:dyDescent="0.35">
      <c r="A233" s="47"/>
      <c r="B233" s="40" t="s">
        <v>143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0">
        <f>(AB86+AB88+AB89+AB90+AB91+AB92)/-(AB93)</f>
        <v>18.355795148247978</v>
      </c>
      <c r="AC233" s="43" t="s">
        <v>81</v>
      </c>
      <c r="AD233" s="22"/>
    </row>
    <row r="234" spans="1:262" s="23" customFormat="1" x14ac:dyDescent="0.35">
      <c r="A234" s="47"/>
      <c r="B234" s="40" t="s">
        <v>144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0">
        <v>24.87</v>
      </c>
      <c r="AC234" s="43" t="s">
        <v>81</v>
      </c>
      <c r="AD234" s="22"/>
    </row>
    <row r="235" spans="1:262" s="23" customFormat="1" x14ac:dyDescent="0.35">
      <c r="A235" s="47"/>
      <c r="B235" s="40" t="s">
        <v>145</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0">
        <f>(AB86+AB88+AB89+AB90+AB91+AB92+AB93)/-(AB95)</f>
        <v>29.401826484018265</v>
      </c>
      <c r="AC235" s="43" t="s">
        <v>81</v>
      </c>
      <c r="AD235" s="22"/>
    </row>
    <row r="236" spans="1:262" s="23" customFormat="1" x14ac:dyDescent="0.35">
      <c r="A236" s="47"/>
      <c r="B236" s="40" t="s">
        <v>146</v>
      </c>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140">
        <v>37.93</v>
      </c>
      <c r="AC236" s="43" t="s">
        <v>81</v>
      </c>
      <c r="AD236" s="22"/>
    </row>
    <row r="237" spans="1:262" s="23" customFormat="1" x14ac:dyDescent="0.35">
      <c r="A237" s="47"/>
      <c r="B237" s="40" t="s">
        <v>174</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140">
        <f>(AB86+AB88+AB89+AB90+AB91+AB92+AB93+AB95)/-(AB96)</f>
        <v>31.897435897435898</v>
      </c>
      <c r="AC237" s="43" t="s">
        <v>81</v>
      </c>
      <c r="AD237" s="22"/>
    </row>
    <row r="238" spans="1:262" s="23" customFormat="1" x14ac:dyDescent="0.35">
      <c r="A238" s="47"/>
      <c r="B238" s="40" t="s">
        <v>175</v>
      </c>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140">
        <v>39.08</v>
      </c>
      <c r="AC238" s="43" t="s">
        <v>81</v>
      </c>
      <c r="AD238" s="22"/>
    </row>
    <row r="239" spans="1:262" s="23" customFormat="1" x14ac:dyDescent="0.35">
      <c r="A239" s="47"/>
      <c r="B239" s="40" t="s">
        <v>161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140">
        <f>(AB86+AB88+AB89+AB90+AB91+AB92+AB93+AB95+AB96)/-(AB106)</f>
        <v>25</v>
      </c>
      <c r="AC239" s="43" t="s">
        <v>81</v>
      </c>
      <c r="AD239" s="22"/>
    </row>
    <row r="240" spans="1:262" s="23" customFormat="1" x14ac:dyDescent="0.35">
      <c r="A240" s="47"/>
      <c r="B240" s="40" t="s">
        <v>162</v>
      </c>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140">
        <v>27.39</v>
      </c>
      <c r="AC240" s="43" t="s">
        <v>81</v>
      </c>
      <c r="AD240" s="22"/>
    </row>
    <row r="241" spans="1:30" s="23" customFormat="1" x14ac:dyDescent="0.35">
      <c r="A241" s="18"/>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21"/>
      <c r="AD241" s="22"/>
    </row>
    <row r="242" spans="1:30" s="23" customFormat="1" x14ac:dyDescent="0.35">
      <c r="A242" s="18"/>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1"/>
      <c r="AD242" s="22"/>
    </row>
    <row r="243" spans="1:30" s="23" customFormat="1" ht="19" thickBot="1" x14ac:dyDescent="0.5">
      <c r="A243" s="82"/>
      <c r="B243" s="83" t="str">
        <f>B132</f>
        <v>PM28 INVESTOR REPORT QUARTER ENDING NOVEMBER 2022</v>
      </c>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6"/>
      <c r="AD243" s="22"/>
    </row>
    <row r="244" spans="1:30" x14ac:dyDescent="0.35">
      <c r="A244" s="118"/>
      <c r="B244" s="119" t="s">
        <v>42</v>
      </c>
      <c r="C244" s="141"/>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v>44895</v>
      </c>
      <c r="AA244" s="120"/>
      <c r="AB244" s="120"/>
      <c r="AC244" s="122"/>
      <c r="AD244" s="5"/>
    </row>
    <row r="245" spans="1:30" x14ac:dyDescent="0.35">
      <c r="A245" s="143"/>
      <c r="B245" s="144"/>
      <c r="C245" s="145"/>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9"/>
      <c r="AB245" s="9"/>
      <c r="AC245" s="10"/>
      <c r="AD245" s="5"/>
    </row>
    <row r="246" spans="1:30" s="23" customFormat="1" x14ac:dyDescent="0.35">
      <c r="A246" s="47"/>
      <c r="B246" s="40" t="s">
        <v>43</v>
      </c>
      <c r="C246" s="147"/>
      <c r="D246" s="72"/>
      <c r="E246" s="72"/>
      <c r="F246" s="72"/>
      <c r="G246" s="72"/>
      <c r="H246" s="72"/>
      <c r="I246" s="72"/>
      <c r="J246" s="72"/>
      <c r="K246" s="72"/>
      <c r="L246" s="72"/>
      <c r="M246" s="72"/>
      <c r="N246" s="72"/>
      <c r="O246" s="72"/>
      <c r="P246" s="72"/>
      <c r="Q246" s="72"/>
      <c r="R246" s="72"/>
      <c r="S246" s="72"/>
      <c r="T246" s="72"/>
      <c r="U246" s="72"/>
      <c r="V246" s="72"/>
      <c r="W246" s="72"/>
      <c r="X246" s="72"/>
      <c r="Y246" s="72"/>
      <c r="Z246" s="300">
        <v>3.4470000000000001E-2</v>
      </c>
      <c r="AA246" s="40"/>
      <c r="AB246" s="40"/>
      <c r="AC246" s="43"/>
      <c r="AD246" s="22"/>
    </row>
    <row r="247" spans="1:30" s="23" customFormat="1" x14ac:dyDescent="0.35">
      <c r="A247" s="47"/>
      <c r="B247" s="40" t="s">
        <v>132</v>
      </c>
      <c r="C247" s="147"/>
      <c r="D247" s="72"/>
      <c r="E247" s="72"/>
      <c r="F247" s="72"/>
      <c r="G247" s="72"/>
      <c r="H247" s="72"/>
      <c r="I247" s="72"/>
      <c r="J247" s="72"/>
      <c r="K247" s="72"/>
      <c r="L247" s="72"/>
      <c r="M247" s="72"/>
      <c r="N247" s="72"/>
      <c r="O247" s="72"/>
      <c r="P247" s="72"/>
      <c r="Q247" s="72"/>
      <c r="R247" s="72"/>
      <c r="S247" s="72"/>
      <c r="T247" s="72"/>
      <c r="U247" s="72"/>
      <c r="V247" s="72"/>
      <c r="W247" s="72"/>
      <c r="X247" s="72"/>
      <c r="Y247" s="72"/>
      <c r="Z247" s="66">
        <v>1.121239569618024E-2</v>
      </c>
      <c r="AA247" s="40"/>
      <c r="AB247" s="40"/>
      <c r="AC247" s="43"/>
      <c r="AD247" s="22"/>
    </row>
    <row r="248" spans="1:30" s="23" customFormat="1" x14ac:dyDescent="0.35">
      <c r="A248" s="47"/>
      <c r="B248" s="40" t="s">
        <v>44</v>
      </c>
      <c r="C248" s="147"/>
      <c r="D248" s="72"/>
      <c r="E248" s="72"/>
      <c r="F248" s="72"/>
      <c r="G248" s="72"/>
      <c r="H248" s="72"/>
      <c r="I248" s="72"/>
      <c r="J248" s="72"/>
      <c r="K248" s="72"/>
      <c r="L248" s="72"/>
      <c r="M248" s="72"/>
      <c r="N248" s="72"/>
      <c r="O248" s="72"/>
      <c r="P248" s="72"/>
      <c r="Q248" s="72"/>
      <c r="R248" s="72"/>
      <c r="S248" s="72"/>
      <c r="T248" s="72"/>
      <c r="U248" s="72"/>
      <c r="V248" s="72"/>
      <c r="W248" s="72"/>
      <c r="X248" s="72"/>
      <c r="Y248" s="72"/>
      <c r="Z248" s="66">
        <f>Z246-Z247</f>
        <v>2.3257604303819762E-2</v>
      </c>
      <c r="AA248" s="40"/>
      <c r="AB248" s="40"/>
      <c r="AC248" s="43"/>
      <c r="AD248" s="22"/>
    </row>
    <row r="249" spans="1:30" s="23" customFormat="1" x14ac:dyDescent="0.35">
      <c r="A249" s="47"/>
      <c r="B249" s="40" t="s">
        <v>45</v>
      </c>
      <c r="C249" s="147"/>
      <c r="D249" s="72"/>
      <c r="E249" s="72"/>
      <c r="F249" s="72"/>
      <c r="G249" s="72"/>
      <c r="H249" s="72"/>
      <c r="I249" s="72"/>
      <c r="J249" s="72"/>
      <c r="K249" s="72"/>
      <c r="L249" s="72"/>
      <c r="M249" s="72"/>
      <c r="N249" s="72"/>
      <c r="O249" s="72"/>
      <c r="P249" s="72"/>
      <c r="Q249" s="72"/>
      <c r="R249" s="72"/>
      <c r="S249" s="72"/>
      <c r="T249" s="72"/>
      <c r="U249" s="72"/>
      <c r="V249" s="72"/>
      <c r="W249" s="72"/>
      <c r="X249" s="72"/>
      <c r="Y249" s="72"/>
      <c r="Z249" s="66">
        <v>3.6767702922329629E-2</v>
      </c>
      <c r="AA249" s="40"/>
      <c r="AB249" s="40"/>
      <c r="AC249" s="43"/>
      <c r="AD249" s="22"/>
    </row>
    <row r="250" spans="1:30" s="23" customFormat="1" x14ac:dyDescent="0.35">
      <c r="A250" s="47"/>
      <c r="B250" s="40" t="s">
        <v>133</v>
      </c>
      <c r="C250" s="147"/>
      <c r="D250" s="72"/>
      <c r="E250" s="72"/>
      <c r="F250" s="72"/>
      <c r="G250" s="72"/>
      <c r="H250" s="72"/>
      <c r="I250" s="72"/>
      <c r="J250" s="72"/>
      <c r="K250" s="72"/>
      <c r="L250" s="72"/>
      <c r="M250" s="72"/>
      <c r="N250" s="72"/>
      <c r="O250" s="72"/>
      <c r="P250" s="72"/>
      <c r="Q250" s="72"/>
      <c r="R250" s="72"/>
      <c r="S250" s="72"/>
      <c r="T250" s="72"/>
      <c r="U250" s="72"/>
      <c r="V250" s="72"/>
      <c r="W250" s="72"/>
      <c r="X250" s="72"/>
      <c r="Y250" s="72"/>
      <c r="Z250" s="66">
        <f>+AB35</f>
        <v>3.4815217688956575E-2</v>
      </c>
      <c r="AA250" s="40"/>
      <c r="AB250" s="40"/>
      <c r="AC250" s="43"/>
      <c r="AD250" s="22"/>
    </row>
    <row r="251" spans="1:30" s="23" customFormat="1" x14ac:dyDescent="0.35">
      <c r="A251" s="47"/>
      <c r="B251" s="40" t="s">
        <v>46</v>
      </c>
      <c r="C251" s="147"/>
      <c r="D251" s="72"/>
      <c r="E251" s="72"/>
      <c r="F251" s="72"/>
      <c r="G251" s="72"/>
      <c r="H251" s="72"/>
      <c r="I251" s="72"/>
      <c r="J251" s="72"/>
      <c r="K251" s="72"/>
      <c r="L251" s="72"/>
      <c r="M251" s="72"/>
      <c r="N251" s="72"/>
      <c r="O251" s="72"/>
      <c r="P251" s="72"/>
      <c r="Q251" s="72"/>
      <c r="R251" s="72"/>
      <c r="S251" s="72"/>
      <c r="T251" s="72"/>
      <c r="U251" s="72"/>
      <c r="V251" s="72"/>
      <c r="W251" s="72"/>
      <c r="X251" s="72"/>
      <c r="Y251" s="72"/>
      <c r="Z251" s="66">
        <f>Z249-Z250</f>
        <v>1.9524852333730539E-3</v>
      </c>
      <c r="AA251" s="40"/>
      <c r="AB251" s="40"/>
      <c r="AC251" s="43"/>
      <c r="AD251" s="22"/>
    </row>
    <row r="252" spans="1:30" s="23" customFormat="1" x14ac:dyDescent="0.35">
      <c r="A252" s="47"/>
      <c r="B252" s="40" t="s">
        <v>119</v>
      </c>
      <c r="C252" s="147"/>
      <c r="D252" s="72"/>
      <c r="E252" s="72"/>
      <c r="F252" s="72"/>
      <c r="G252" s="72"/>
      <c r="H252" s="72"/>
      <c r="I252" s="72"/>
      <c r="J252" s="72"/>
      <c r="K252" s="72"/>
      <c r="L252" s="72"/>
      <c r="M252" s="72"/>
      <c r="N252" s="72"/>
      <c r="O252" s="72"/>
      <c r="P252" s="72"/>
      <c r="Q252" s="72"/>
      <c r="R252" s="72"/>
      <c r="S252" s="72"/>
      <c r="T252" s="72"/>
      <c r="U252" s="72"/>
      <c r="V252" s="72"/>
      <c r="W252" s="72"/>
      <c r="X252" s="72"/>
      <c r="Y252" s="72"/>
      <c r="Z252" s="66">
        <f>(+AB86+AB88+AB91)/R66</f>
        <v>1.799807141826686E-2</v>
      </c>
      <c r="AA252" s="40"/>
      <c r="AB252" s="40"/>
      <c r="AC252" s="43"/>
      <c r="AD252" s="22"/>
    </row>
    <row r="253" spans="1:30" s="23" customFormat="1" x14ac:dyDescent="0.35">
      <c r="A253" s="47"/>
      <c r="B253" s="40" t="s">
        <v>112</v>
      </c>
      <c r="C253" s="147"/>
      <c r="D253" s="72"/>
      <c r="E253" s="72"/>
      <c r="F253" s="72"/>
      <c r="G253" s="72"/>
      <c r="H253" s="72"/>
      <c r="I253" s="72"/>
      <c r="J253" s="72"/>
      <c r="K253" s="72"/>
      <c r="L253" s="72"/>
      <c r="M253" s="72"/>
      <c r="N253" s="72"/>
      <c r="O253" s="72"/>
      <c r="P253" s="72"/>
      <c r="Q253" s="72"/>
      <c r="R253" s="72"/>
      <c r="S253" s="72"/>
      <c r="T253" s="72"/>
      <c r="U253" s="72"/>
      <c r="V253" s="72"/>
      <c r="W253" s="72"/>
      <c r="X253" s="72"/>
      <c r="Y253" s="72"/>
      <c r="Z253" s="295">
        <v>54042</v>
      </c>
      <c r="AA253" s="40"/>
      <c r="AB253" s="40"/>
      <c r="AC253" s="43"/>
      <c r="AD253" s="22"/>
    </row>
    <row r="254" spans="1:30" s="23" customFormat="1" x14ac:dyDescent="0.35">
      <c r="A254" s="47"/>
      <c r="B254" s="40" t="s">
        <v>147</v>
      </c>
      <c r="C254" s="147"/>
      <c r="D254" s="72"/>
      <c r="E254" s="72"/>
      <c r="F254" s="72"/>
      <c r="G254" s="72"/>
      <c r="H254" s="72"/>
      <c r="I254" s="72"/>
      <c r="J254" s="72"/>
      <c r="K254" s="72"/>
      <c r="L254" s="72"/>
      <c r="M254" s="72"/>
      <c r="N254" s="72"/>
      <c r="O254" s="72"/>
      <c r="P254" s="72"/>
      <c r="Q254" s="72"/>
      <c r="R254" s="72"/>
      <c r="S254" s="72"/>
      <c r="T254" s="72"/>
      <c r="U254" s="72"/>
      <c r="V254" s="72"/>
      <c r="W254" s="72"/>
      <c r="X254" s="72"/>
      <c r="Y254" s="72"/>
      <c r="Z254" s="295">
        <v>54042</v>
      </c>
      <c r="AA254" s="40"/>
      <c r="AB254" s="40"/>
      <c r="AC254" s="43"/>
      <c r="AD254" s="22"/>
    </row>
    <row r="255" spans="1:30" s="23" customFormat="1" x14ac:dyDescent="0.35">
      <c r="A255" s="47"/>
      <c r="B255" s="40" t="s">
        <v>148</v>
      </c>
      <c r="C255" s="147"/>
      <c r="D255" s="72"/>
      <c r="E255" s="72"/>
      <c r="F255" s="72"/>
      <c r="G255" s="72"/>
      <c r="H255" s="72"/>
      <c r="I255" s="72"/>
      <c r="J255" s="72"/>
      <c r="K255" s="72"/>
      <c r="L255" s="72"/>
      <c r="M255" s="72"/>
      <c r="N255" s="72"/>
      <c r="O255" s="72"/>
      <c r="P255" s="72"/>
      <c r="Q255" s="72"/>
      <c r="R255" s="72"/>
      <c r="S255" s="72"/>
      <c r="T255" s="72"/>
      <c r="U255" s="72"/>
      <c r="V255" s="72"/>
      <c r="W255" s="72"/>
      <c r="X255" s="72"/>
      <c r="Y255" s="72"/>
      <c r="Z255" s="295">
        <v>54042</v>
      </c>
      <c r="AA255" s="40"/>
      <c r="AB255" s="40"/>
      <c r="AC255" s="43"/>
      <c r="AD255" s="22"/>
    </row>
    <row r="256" spans="1:30" s="23" customFormat="1" x14ac:dyDescent="0.35">
      <c r="A256" s="47"/>
      <c r="B256" s="40" t="s">
        <v>176</v>
      </c>
      <c r="C256" s="147"/>
      <c r="D256" s="72"/>
      <c r="E256" s="72"/>
      <c r="F256" s="72"/>
      <c r="G256" s="72"/>
      <c r="H256" s="72"/>
      <c r="I256" s="72"/>
      <c r="J256" s="72"/>
      <c r="K256" s="72"/>
      <c r="L256" s="72"/>
      <c r="M256" s="72"/>
      <c r="N256" s="72"/>
      <c r="O256" s="72"/>
      <c r="P256" s="72"/>
      <c r="Q256" s="72"/>
      <c r="R256" s="72"/>
      <c r="S256" s="72"/>
      <c r="T256" s="72"/>
      <c r="U256" s="72"/>
      <c r="V256" s="72"/>
      <c r="W256" s="72"/>
      <c r="X256" s="72"/>
      <c r="Y256" s="72"/>
      <c r="Z256" s="295">
        <v>54042</v>
      </c>
      <c r="AA256" s="40"/>
      <c r="AB256" s="40"/>
      <c r="AC256" s="43"/>
      <c r="AD256" s="22"/>
    </row>
    <row r="257" spans="1:30" s="23" customFormat="1" x14ac:dyDescent="0.35">
      <c r="A257" s="47"/>
      <c r="B257" s="40" t="s">
        <v>163</v>
      </c>
      <c r="C257" s="147"/>
      <c r="D257" s="72"/>
      <c r="E257" s="72"/>
      <c r="F257" s="72"/>
      <c r="G257" s="72"/>
      <c r="H257" s="72"/>
      <c r="I257" s="72"/>
      <c r="J257" s="72"/>
      <c r="K257" s="72"/>
      <c r="L257" s="72"/>
      <c r="M257" s="72"/>
      <c r="N257" s="72"/>
      <c r="O257" s="72"/>
      <c r="P257" s="72"/>
      <c r="Q257" s="72"/>
      <c r="R257" s="72"/>
      <c r="S257" s="72"/>
      <c r="T257" s="72"/>
      <c r="U257" s="72"/>
      <c r="V257" s="72"/>
      <c r="W257" s="72"/>
      <c r="X257" s="72"/>
      <c r="Y257" s="72"/>
      <c r="Z257" s="295">
        <v>54042</v>
      </c>
      <c r="AA257" s="40"/>
      <c r="AB257" s="40"/>
      <c r="AC257" s="43"/>
      <c r="AD257" s="22"/>
    </row>
    <row r="258" spans="1:30" s="23" customFormat="1" x14ac:dyDescent="0.35">
      <c r="A258" s="47"/>
      <c r="B258" s="40" t="s">
        <v>191</v>
      </c>
      <c r="C258" s="147"/>
      <c r="D258" s="72"/>
      <c r="E258" s="72"/>
      <c r="F258" s="72"/>
      <c r="G258" s="72"/>
      <c r="H258" s="72"/>
      <c r="I258" s="72"/>
      <c r="J258" s="72"/>
      <c r="K258" s="72"/>
      <c r="L258" s="72"/>
      <c r="M258" s="72"/>
      <c r="N258" s="72"/>
      <c r="O258" s="72"/>
      <c r="P258" s="72"/>
      <c r="Q258" s="72"/>
      <c r="R258" s="72"/>
      <c r="S258" s="72"/>
      <c r="T258" s="72"/>
      <c r="U258" s="72"/>
      <c r="V258" s="72"/>
      <c r="W258" s="72"/>
      <c r="X258" s="72"/>
      <c r="Y258" s="72"/>
      <c r="Z258" s="295">
        <v>54042</v>
      </c>
      <c r="AA258" s="40"/>
      <c r="AB258" s="40"/>
      <c r="AC258" s="43"/>
      <c r="AD258" s="22"/>
    </row>
    <row r="259" spans="1:30" s="23" customFormat="1" x14ac:dyDescent="0.35">
      <c r="A259" s="47"/>
      <c r="B259" s="40" t="s">
        <v>192</v>
      </c>
      <c r="C259" s="147"/>
      <c r="D259" s="72"/>
      <c r="E259" s="72"/>
      <c r="F259" s="72"/>
      <c r="G259" s="72"/>
      <c r="H259" s="72"/>
      <c r="I259" s="72"/>
      <c r="J259" s="72"/>
      <c r="K259" s="72"/>
      <c r="L259" s="72"/>
      <c r="M259" s="72"/>
      <c r="N259" s="72"/>
      <c r="O259" s="72"/>
      <c r="P259" s="72"/>
      <c r="Q259" s="72"/>
      <c r="R259" s="72"/>
      <c r="S259" s="72"/>
      <c r="T259" s="72"/>
      <c r="U259" s="72"/>
      <c r="V259" s="72"/>
      <c r="W259" s="72"/>
      <c r="X259" s="72"/>
      <c r="Y259" s="72"/>
      <c r="Z259" s="295">
        <v>54042</v>
      </c>
      <c r="AA259" s="40"/>
      <c r="AB259" s="40"/>
      <c r="AC259" s="43"/>
      <c r="AD259" s="22"/>
    </row>
    <row r="260" spans="1:30" s="23" customFormat="1" x14ac:dyDescent="0.35">
      <c r="A260" s="47"/>
      <c r="B260" s="40" t="s">
        <v>47</v>
      </c>
      <c r="C260" s="147"/>
      <c r="D260" s="72"/>
      <c r="E260" s="72"/>
      <c r="F260" s="72"/>
      <c r="G260" s="72"/>
      <c r="H260" s="72"/>
      <c r="I260" s="72"/>
      <c r="J260" s="72"/>
      <c r="K260" s="72"/>
      <c r="L260" s="72"/>
      <c r="M260" s="72"/>
      <c r="N260" s="72"/>
      <c r="O260" s="72"/>
      <c r="P260" s="72"/>
      <c r="Q260" s="72"/>
      <c r="R260" s="72"/>
      <c r="S260" s="72"/>
      <c r="T260" s="72"/>
      <c r="U260" s="72"/>
      <c r="V260" s="72"/>
      <c r="W260" s="72"/>
      <c r="X260" s="72"/>
      <c r="Y260" s="72"/>
      <c r="Z260" s="301">
        <v>21.32</v>
      </c>
      <c r="AA260" s="40" t="s">
        <v>76</v>
      </c>
      <c r="AB260" s="40"/>
      <c r="AC260" s="43"/>
      <c r="AD260" s="22"/>
    </row>
    <row r="261" spans="1:30" s="23" customFormat="1" x14ac:dyDescent="0.35">
      <c r="A261" s="47"/>
      <c r="B261" s="40" t="s">
        <v>48</v>
      </c>
      <c r="C261" s="147"/>
      <c r="D261" s="72"/>
      <c r="E261" s="72"/>
      <c r="F261" s="72"/>
      <c r="G261" s="72"/>
      <c r="H261" s="72"/>
      <c r="I261" s="72"/>
      <c r="J261" s="72"/>
      <c r="K261" s="72"/>
      <c r="L261" s="72"/>
      <c r="M261" s="72"/>
      <c r="N261" s="72"/>
      <c r="O261" s="72"/>
      <c r="P261" s="72"/>
      <c r="Q261" s="72"/>
      <c r="R261" s="72"/>
      <c r="S261" s="72"/>
      <c r="T261" s="72"/>
      <c r="U261" s="72"/>
      <c r="V261" s="72"/>
      <c r="W261" s="72"/>
      <c r="X261" s="72"/>
      <c r="Y261" s="72"/>
      <c r="Z261" s="70">
        <v>19.23</v>
      </c>
      <c r="AA261" s="40" t="s">
        <v>76</v>
      </c>
      <c r="AB261" s="40"/>
      <c r="AC261" s="43"/>
      <c r="AD261" s="22"/>
    </row>
    <row r="262" spans="1:30" s="23" customFormat="1" x14ac:dyDescent="0.35">
      <c r="A262" s="47"/>
      <c r="B262" s="40" t="s">
        <v>49</v>
      </c>
      <c r="C262" s="147"/>
      <c r="D262" s="72"/>
      <c r="E262" s="72"/>
      <c r="F262" s="72"/>
      <c r="G262" s="72"/>
      <c r="H262" s="72"/>
      <c r="I262" s="72"/>
      <c r="J262" s="72"/>
      <c r="K262" s="72"/>
      <c r="L262" s="72"/>
      <c r="M262" s="72"/>
      <c r="N262" s="72"/>
      <c r="O262" s="72"/>
      <c r="P262" s="72"/>
      <c r="Q262" s="72"/>
      <c r="R262" s="72"/>
      <c r="S262" s="72"/>
      <c r="T262" s="72"/>
      <c r="U262" s="72"/>
      <c r="V262" s="72"/>
      <c r="W262" s="72"/>
      <c r="X262" s="72"/>
      <c r="Y262" s="72"/>
      <c r="Z262" s="66">
        <f>(+T57+V57+Z57)/(R57+R63+R64)</f>
        <v>3.5794173253456643E-2</v>
      </c>
      <c r="AA262" s="40"/>
      <c r="AB262" s="40"/>
      <c r="AC262" s="43"/>
      <c r="AD262" s="22"/>
    </row>
    <row r="263" spans="1:30" s="23" customFormat="1" x14ac:dyDescent="0.35">
      <c r="A263" s="47"/>
      <c r="B263" s="40" t="s">
        <v>50</v>
      </c>
      <c r="C263" s="147"/>
      <c r="D263" s="72"/>
      <c r="E263" s="72"/>
      <c r="F263" s="72"/>
      <c r="G263" s="72"/>
      <c r="H263" s="72"/>
      <c r="I263" s="72"/>
      <c r="J263" s="72"/>
      <c r="K263" s="72"/>
      <c r="L263" s="72"/>
      <c r="M263" s="72"/>
      <c r="N263" s="72"/>
      <c r="O263" s="72"/>
      <c r="P263" s="72"/>
      <c r="Q263" s="72"/>
      <c r="R263" s="72"/>
      <c r="S263" s="72"/>
      <c r="T263" s="72"/>
      <c r="U263" s="72"/>
      <c r="V263" s="72"/>
      <c r="W263" s="72"/>
      <c r="X263" s="72"/>
      <c r="Y263" s="72"/>
      <c r="Z263" s="66">
        <v>5.91E-2</v>
      </c>
      <c r="AA263" s="40"/>
      <c r="AB263" s="40"/>
      <c r="AC263" s="43"/>
      <c r="AD263" s="22"/>
    </row>
    <row r="264" spans="1:30" x14ac:dyDescent="0.35">
      <c r="A264" s="143"/>
      <c r="B264" s="148"/>
      <c r="C264" s="148"/>
      <c r="D264" s="98"/>
      <c r="E264" s="98"/>
      <c r="F264" s="98"/>
      <c r="G264" s="98"/>
      <c r="H264" s="98"/>
      <c r="I264" s="98"/>
      <c r="J264" s="98"/>
      <c r="K264" s="98"/>
      <c r="L264" s="98"/>
      <c r="M264" s="98"/>
      <c r="N264" s="98"/>
      <c r="O264" s="98"/>
      <c r="P264" s="98"/>
      <c r="Q264" s="98"/>
      <c r="R264" s="98"/>
      <c r="S264" s="98"/>
      <c r="T264" s="98"/>
      <c r="U264" s="98"/>
      <c r="V264" s="98"/>
      <c r="W264" s="98"/>
      <c r="X264" s="98"/>
      <c r="Y264" s="98"/>
      <c r="Z264" s="125"/>
      <c r="AA264" s="98"/>
      <c r="AB264" s="149"/>
      <c r="AC264" s="10"/>
      <c r="AD264" s="5"/>
    </row>
    <row r="265" spans="1:30" x14ac:dyDescent="0.35">
      <c r="A265" s="150"/>
      <c r="B265" s="101" t="s">
        <v>51</v>
      </c>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t="s">
        <v>69</v>
      </c>
      <c r="Z265" s="151" t="s">
        <v>74</v>
      </c>
      <c r="AA265" s="34"/>
      <c r="AB265" s="34"/>
      <c r="AC265" s="36"/>
      <c r="AD265" s="5"/>
    </row>
    <row r="266" spans="1:30" s="23" customFormat="1" x14ac:dyDescent="0.35">
      <c r="A266" s="152"/>
      <c r="B266" s="37" t="s">
        <v>52</v>
      </c>
      <c r="C266" s="105"/>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v>0</v>
      </c>
      <c r="Z266" s="154">
        <v>0</v>
      </c>
      <c r="AA266" s="37"/>
      <c r="AB266" s="155"/>
      <c r="AC266" s="156"/>
      <c r="AD266" s="22"/>
    </row>
    <row r="267" spans="1:30" s="23" customFormat="1" x14ac:dyDescent="0.35">
      <c r="A267" s="157"/>
      <c r="B267" s="40" t="s">
        <v>97</v>
      </c>
      <c r="C267" s="96"/>
      <c r="D267" s="48"/>
      <c r="E267" s="48"/>
      <c r="F267" s="48"/>
      <c r="G267" s="48"/>
      <c r="H267" s="48"/>
      <c r="I267" s="48"/>
      <c r="J267" s="48"/>
      <c r="K267" s="48"/>
      <c r="L267" s="48"/>
      <c r="M267" s="48"/>
      <c r="N267" s="48"/>
      <c r="O267" s="48"/>
      <c r="P267" s="48"/>
      <c r="Q267" s="48"/>
      <c r="R267" s="48"/>
      <c r="S267" s="48"/>
      <c r="T267" s="48"/>
      <c r="U267" s="48"/>
      <c r="V267" s="48"/>
      <c r="W267" s="48"/>
      <c r="X267" s="48"/>
      <c r="Y267" s="158">
        <f>+X319</f>
        <v>0</v>
      </c>
      <c r="Z267" s="159">
        <f>+Z319</f>
        <v>0</v>
      </c>
      <c r="AA267" s="40"/>
      <c r="AB267" s="160"/>
      <c r="AC267" s="161"/>
      <c r="AD267" s="22"/>
    </row>
    <row r="268" spans="1:30" s="23" customFormat="1" x14ac:dyDescent="0.35">
      <c r="A268" s="157"/>
      <c r="B268" s="40" t="s">
        <v>53</v>
      </c>
      <c r="C268" s="96"/>
      <c r="D268" s="48"/>
      <c r="E268" s="48"/>
      <c r="F268" s="48"/>
      <c r="G268" s="48"/>
      <c r="H268" s="48"/>
      <c r="I268" s="48"/>
      <c r="J268" s="48"/>
      <c r="K268" s="48"/>
      <c r="L268" s="48"/>
      <c r="M268" s="48"/>
      <c r="N268" s="48"/>
      <c r="O268" s="48"/>
      <c r="P268" s="48"/>
      <c r="Q268" s="48"/>
      <c r="R268" s="48"/>
      <c r="S268" s="48"/>
      <c r="T268" s="48"/>
      <c r="U268" s="48"/>
      <c r="V268" s="48"/>
      <c r="W268" s="48"/>
      <c r="X268" s="48"/>
      <c r="Y268" s="158">
        <f>+X341</f>
        <v>0</v>
      </c>
      <c r="Z268" s="159">
        <f>+Z341</f>
        <v>0</v>
      </c>
      <c r="AA268" s="40"/>
      <c r="AB268" s="160"/>
      <c r="AC268" s="161"/>
      <c r="AD268" s="22"/>
    </row>
    <row r="269" spans="1:30" x14ac:dyDescent="0.35">
      <c r="A269" s="162"/>
      <c r="B269" s="163" t="s">
        <v>164</v>
      </c>
      <c r="C269" s="164"/>
      <c r="D269" s="58"/>
      <c r="E269" s="58"/>
      <c r="F269" s="58"/>
      <c r="G269" s="58"/>
      <c r="H269" s="58"/>
      <c r="I269" s="58"/>
      <c r="J269" s="58"/>
      <c r="K269" s="58"/>
      <c r="L269" s="58"/>
      <c r="M269" s="58"/>
      <c r="N269" s="58"/>
      <c r="O269" s="58"/>
      <c r="P269" s="58"/>
      <c r="Q269" s="58"/>
      <c r="R269" s="58"/>
      <c r="S269" s="58"/>
      <c r="T269" s="58"/>
      <c r="U269" s="58"/>
      <c r="V269" s="58"/>
      <c r="W269" s="58"/>
      <c r="X269" s="58"/>
      <c r="Y269" s="111"/>
      <c r="Z269" s="159">
        <f>Z57</f>
        <v>0</v>
      </c>
      <c r="AA269" s="58"/>
      <c r="AB269" s="165"/>
      <c r="AC269" s="166"/>
      <c r="AD269" s="5"/>
    </row>
    <row r="270" spans="1:30" x14ac:dyDescent="0.35">
      <c r="A270" s="162"/>
      <c r="B270" s="163" t="s">
        <v>256</v>
      </c>
      <c r="C270" s="164"/>
      <c r="D270" s="58"/>
      <c r="E270" s="58"/>
      <c r="F270" s="58"/>
      <c r="G270" s="58"/>
      <c r="H270" s="58"/>
      <c r="I270" s="58"/>
      <c r="J270" s="58"/>
      <c r="K270" s="58"/>
      <c r="L270" s="58"/>
      <c r="M270" s="58"/>
      <c r="N270" s="58"/>
      <c r="O270" s="58"/>
      <c r="P270" s="58"/>
      <c r="Q270" s="58"/>
      <c r="R270" s="58"/>
      <c r="S270" s="58"/>
      <c r="T270" s="58"/>
      <c r="U270" s="58"/>
      <c r="V270" s="58"/>
      <c r="W270" s="58"/>
      <c r="X270" s="58"/>
      <c r="Y270" s="111"/>
      <c r="Z270" s="159">
        <f>-T63</f>
        <v>0</v>
      </c>
      <c r="AA270" s="58"/>
      <c r="AB270" s="165"/>
      <c r="AC270" s="166"/>
      <c r="AD270" s="5"/>
    </row>
    <row r="271" spans="1:30" x14ac:dyDescent="0.35">
      <c r="A271" s="167"/>
      <c r="B271" s="163" t="s">
        <v>54</v>
      </c>
      <c r="C271" s="168"/>
      <c r="D271" s="58"/>
      <c r="E271" s="58"/>
      <c r="F271" s="58"/>
      <c r="G271" s="58"/>
      <c r="H271" s="58"/>
      <c r="I271" s="58"/>
      <c r="J271" s="58"/>
      <c r="K271" s="58"/>
      <c r="L271" s="58"/>
      <c r="M271" s="58"/>
      <c r="N271" s="58"/>
      <c r="O271" s="58"/>
      <c r="P271" s="58"/>
      <c r="Q271" s="58"/>
      <c r="R271" s="58"/>
      <c r="S271" s="58"/>
      <c r="T271" s="58"/>
      <c r="U271" s="58"/>
      <c r="V271" s="58"/>
      <c r="W271" s="58"/>
      <c r="X271" s="58"/>
      <c r="Y271" s="111"/>
      <c r="Z271" s="169"/>
      <c r="AA271" s="58"/>
      <c r="AB271" s="165"/>
      <c r="AC271" s="170"/>
      <c r="AD271" s="5"/>
    </row>
    <row r="272" spans="1:30" s="23" customFormat="1" x14ac:dyDescent="0.35">
      <c r="A272" s="171"/>
      <c r="B272" s="40" t="s">
        <v>55</v>
      </c>
      <c r="C272" s="40"/>
      <c r="D272" s="40"/>
      <c r="E272" s="40"/>
      <c r="F272" s="40"/>
      <c r="G272" s="40"/>
      <c r="H272" s="40"/>
      <c r="I272" s="40"/>
      <c r="J272" s="40"/>
      <c r="K272" s="40"/>
      <c r="L272" s="40"/>
      <c r="M272" s="40"/>
      <c r="N272" s="40"/>
      <c r="O272" s="40"/>
      <c r="P272" s="40"/>
      <c r="Q272" s="40"/>
      <c r="R272" s="40"/>
      <c r="S272" s="40"/>
      <c r="T272" s="40"/>
      <c r="U272" s="40"/>
      <c r="V272" s="40"/>
      <c r="W272" s="40"/>
      <c r="X272" s="40"/>
      <c r="Y272" s="48"/>
      <c r="Z272" s="159">
        <f>AB167</f>
        <v>1</v>
      </c>
      <c r="AA272" s="40"/>
      <c r="AB272" s="160"/>
      <c r="AC272" s="172"/>
      <c r="AD272" s="22"/>
    </row>
    <row r="273" spans="1:30" s="23" customFormat="1" x14ac:dyDescent="0.35">
      <c r="A273" s="157"/>
      <c r="B273" s="40" t="s">
        <v>56</v>
      </c>
      <c r="C273" s="96"/>
      <c r="D273" s="40"/>
      <c r="E273" s="40"/>
      <c r="F273" s="40"/>
      <c r="G273" s="40"/>
      <c r="H273" s="40"/>
      <c r="I273" s="40"/>
      <c r="J273" s="40"/>
      <c r="K273" s="40"/>
      <c r="L273" s="40"/>
      <c r="M273" s="40"/>
      <c r="N273" s="40"/>
      <c r="O273" s="40"/>
      <c r="P273" s="40"/>
      <c r="Q273" s="40"/>
      <c r="R273" s="40"/>
      <c r="S273" s="40"/>
      <c r="T273" s="40"/>
      <c r="U273" s="40"/>
      <c r="V273" s="40"/>
      <c r="W273" s="40"/>
      <c r="X273" s="40"/>
      <c r="Y273" s="48"/>
      <c r="Z273" s="159">
        <f>Z272+'August 22'!Z273</f>
        <v>14</v>
      </c>
      <c r="AA273" s="40"/>
      <c r="AB273" s="160"/>
      <c r="AC273" s="172"/>
      <c r="AD273" s="22"/>
    </row>
    <row r="274" spans="1:30" x14ac:dyDescent="0.35">
      <c r="A274" s="167"/>
      <c r="B274" s="163" t="s">
        <v>125</v>
      </c>
      <c r="C274" s="168"/>
      <c r="D274" s="58"/>
      <c r="E274" s="58"/>
      <c r="F274" s="58"/>
      <c r="G274" s="58"/>
      <c r="H274" s="58"/>
      <c r="I274" s="58"/>
      <c r="J274" s="58"/>
      <c r="K274" s="58"/>
      <c r="L274" s="58"/>
      <c r="M274" s="58"/>
      <c r="N274" s="58"/>
      <c r="O274" s="58"/>
      <c r="P274" s="58"/>
      <c r="Q274" s="58"/>
      <c r="R274" s="58"/>
      <c r="S274" s="58"/>
      <c r="T274" s="58"/>
      <c r="U274" s="58"/>
      <c r="V274" s="58"/>
      <c r="W274" s="58"/>
      <c r="X274" s="58"/>
      <c r="Y274" s="173"/>
      <c r="Z274" s="169"/>
      <c r="AA274" s="58"/>
      <c r="AB274" s="165"/>
      <c r="AC274" s="170"/>
      <c r="AD274" s="5"/>
    </row>
    <row r="275" spans="1:30" s="23" customFormat="1" x14ac:dyDescent="0.35">
      <c r="A275" s="171"/>
      <c r="B275" s="40" t="s">
        <v>134</v>
      </c>
      <c r="C275" s="40"/>
      <c r="D275" s="40"/>
      <c r="E275" s="40"/>
      <c r="F275" s="40"/>
      <c r="G275" s="40"/>
      <c r="H275" s="40"/>
      <c r="I275" s="40"/>
      <c r="J275" s="40"/>
      <c r="K275" s="40"/>
      <c r="L275" s="40"/>
      <c r="M275" s="40"/>
      <c r="N275" s="40"/>
      <c r="O275" s="40"/>
      <c r="P275" s="40"/>
      <c r="Q275" s="40"/>
      <c r="R275" s="40"/>
      <c r="S275" s="40"/>
      <c r="T275" s="40"/>
      <c r="U275" s="40"/>
      <c r="V275" s="40"/>
      <c r="W275" s="40"/>
      <c r="X275" s="40"/>
      <c r="Y275" s="48">
        <v>0</v>
      </c>
      <c r="Z275" s="159">
        <v>0</v>
      </c>
      <c r="AA275" s="40"/>
      <c r="AB275" s="160"/>
      <c r="AC275" s="172"/>
      <c r="AD275" s="22"/>
    </row>
    <row r="276" spans="1:30" s="23" customFormat="1" x14ac:dyDescent="0.35">
      <c r="A276" s="157"/>
      <c r="B276" s="40" t="s">
        <v>57</v>
      </c>
      <c r="C276" s="69"/>
      <c r="D276" s="40"/>
      <c r="E276" s="40"/>
      <c r="F276" s="40"/>
      <c r="G276" s="40"/>
      <c r="H276" s="40"/>
      <c r="I276" s="40"/>
      <c r="J276" s="40"/>
      <c r="K276" s="40"/>
      <c r="L276" s="40"/>
      <c r="M276" s="40"/>
      <c r="N276" s="40"/>
      <c r="O276" s="40"/>
      <c r="P276" s="40"/>
      <c r="Q276" s="40"/>
      <c r="R276" s="40"/>
      <c r="S276" s="40"/>
      <c r="T276" s="40"/>
      <c r="U276" s="40"/>
      <c r="V276" s="40"/>
      <c r="W276" s="40"/>
      <c r="X276" s="40"/>
      <c r="Y276" s="40"/>
      <c r="Z276" s="174">
        <v>0</v>
      </c>
      <c r="AA276" s="40"/>
      <c r="AB276" s="160"/>
      <c r="AC276" s="172"/>
      <c r="AD276" s="22"/>
    </row>
    <row r="277" spans="1:30" s="23" customFormat="1" x14ac:dyDescent="0.35">
      <c r="A277" s="157"/>
      <c r="B277" s="40" t="s">
        <v>58</v>
      </c>
      <c r="C277" s="69"/>
      <c r="D277" s="40"/>
      <c r="E277" s="40"/>
      <c r="F277" s="40"/>
      <c r="G277" s="40"/>
      <c r="H277" s="40"/>
      <c r="I277" s="40"/>
      <c r="J277" s="40"/>
      <c r="K277" s="40"/>
      <c r="L277" s="40"/>
      <c r="M277" s="40"/>
      <c r="N277" s="40"/>
      <c r="O277" s="40"/>
      <c r="P277" s="40"/>
      <c r="Q277" s="40"/>
      <c r="R277" s="40"/>
      <c r="S277" s="40"/>
      <c r="T277" s="40"/>
      <c r="U277" s="40"/>
      <c r="V277" s="40"/>
      <c r="W277" s="40"/>
      <c r="X277" s="40"/>
      <c r="Y277" s="40"/>
      <c r="Z277" s="174">
        <v>0</v>
      </c>
      <c r="AA277" s="40"/>
      <c r="AB277" s="160"/>
      <c r="AC277" s="172"/>
      <c r="AD277" s="22"/>
    </row>
    <row r="278" spans="1:30" x14ac:dyDescent="0.35">
      <c r="A278" s="162"/>
      <c r="B278" s="163" t="s">
        <v>116</v>
      </c>
      <c r="C278" s="175"/>
      <c r="D278" s="58"/>
      <c r="E278" s="58"/>
      <c r="F278" s="58"/>
      <c r="G278" s="58"/>
      <c r="H278" s="58"/>
      <c r="I278" s="58"/>
      <c r="J278" s="58"/>
      <c r="K278" s="58"/>
      <c r="L278" s="58"/>
      <c r="M278" s="58"/>
      <c r="N278" s="58"/>
      <c r="O278" s="58"/>
      <c r="P278" s="58"/>
      <c r="Q278" s="58"/>
      <c r="R278" s="58"/>
      <c r="S278" s="58"/>
      <c r="T278" s="58"/>
      <c r="U278" s="58"/>
      <c r="V278" s="58"/>
      <c r="W278" s="58"/>
      <c r="X278" s="58"/>
      <c r="Y278" s="111"/>
      <c r="Z278" s="176"/>
      <c r="AA278" s="58"/>
      <c r="AB278" s="165"/>
      <c r="AC278" s="170"/>
      <c r="AD278" s="5"/>
    </row>
    <row r="279" spans="1:30" s="23" customFormat="1" x14ac:dyDescent="0.35">
      <c r="A279" s="157"/>
      <c r="B279" s="40" t="s">
        <v>134</v>
      </c>
      <c r="C279" s="69"/>
      <c r="D279" s="40"/>
      <c r="E279" s="40"/>
      <c r="F279" s="40"/>
      <c r="G279" s="40"/>
      <c r="H279" s="40"/>
      <c r="I279" s="40"/>
      <c r="J279" s="40"/>
      <c r="K279" s="40"/>
      <c r="L279" s="40"/>
      <c r="M279" s="40"/>
      <c r="N279" s="40"/>
      <c r="O279" s="40"/>
      <c r="P279" s="40"/>
      <c r="Q279" s="40"/>
      <c r="R279" s="40"/>
      <c r="S279" s="40"/>
      <c r="T279" s="40"/>
      <c r="U279" s="40"/>
      <c r="V279" s="40"/>
      <c r="W279" s="40"/>
      <c r="X279" s="40"/>
      <c r="Y279" s="48">
        <v>0</v>
      </c>
      <c r="Z279" s="159">
        <v>0</v>
      </c>
      <c r="AA279" s="40"/>
      <c r="AB279" s="160"/>
      <c r="AC279" s="172"/>
      <c r="AD279" s="22"/>
    </row>
    <row r="280" spans="1:30" s="23" customFormat="1" x14ac:dyDescent="0.35">
      <c r="A280" s="157"/>
      <c r="B280" s="40" t="s">
        <v>117</v>
      </c>
      <c r="C280" s="69"/>
      <c r="D280" s="40"/>
      <c r="E280" s="40"/>
      <c r="F280" s="40"/>
      <c r="G280" s="40"/>
      <c r="H280" s="40"/>
      <c r="I280" s="40"/>
      <c r="J280" s="40"/>
      <c r="K280" s="40"/>
      <c r="L280" s="40"/>
      <c r="M280" s="40"/>
      <c r="N280" s="40"/>
      <c r="O280" s="40"/>
      <c r="P280" s="40"/>
      <c r="Q280" s="40"/>
      <c r="R280" s="40"/>
      <c r="S280" s="40"/>
      <c r="T280" s="40"/>
      <c r="U280" s="40"/>
      <c r="V280" s="40"/>
      <c r="W280" s="40"/>
      <c r="X280" s="40"/>
      <c r="Y280" s="40"/>
      <c r="Z280" s="174">
        <v>0</v>
      </c>
      <c r="AA280" s="40"/>
      <c r="AB280" s="160"/>
      <c r="AC280" s="172"/>
      <c r="AD280" s="22"/>
    </row>
    <row r="281" spans="1:30" x14ac:dyDescent="0.35">
      <c r="A281" s="162"/>
      <c r="B281" s="168"/>
      <c r="C281" s="175"/>
      <c r="D281" s="58"/>
      <c r="E281" s="58"/>
      <c r="F281" s="58"/>
      <c r="G281" s="58"/>
      <c r="H281" s="58"/>
      <c r="I281" s="58"/>
      <c r="J281" s="58"/>
      <c r="K281" s="58"/>
      <c r="L281" s="58"/>
      <c r="M281" s="58"/>
      <c r="N281" s="58"/>
      <c r="O281" s="58"/>
      <c r="P281" s="58"/>
      <c r="Q281" s="58"/>
      <c r="R281" s="58"/>
      <c r="S281" s="58"/>
      <c r="T281" s="58"/>
      <c r="U281" s="58"/>
      <c r="V281" s="58"/>
      <c r="W281" s="58"/>
      <c r="X281" s="58"/>
      <c r="Y281" s="111"/>
      <c r="Z281" s="176"/>
      <c r="AA281" s="58"/>
      <c r="AB281" s="165"/>
      <c r="AC281" s="170"/>
      <c r="AD281" s="5"/>
    </row>
    <row r="282" spans="1:30" x14ac:dyDescent="0.35">
      <c r="A282" s="162"/>
      <c r="B282" s="168"/>
      <c r="C282" s="175"/>
      <c r="D282" s="58"/>
      <c r="E282" s="58"/>
      <c r="F282" s="58"/>
      <c r="G282" s="58"/>
      <c r="H282" s="58"/>
      <c r="I282" s="58"/>
      <c r="J282" s="58"/>
      <c r="K282" s="58"/>
      <c r="L282" s="58"/>
      <c r="M282" s="58"/>
      <c r="N282" s="58"/>
      <c r="O282" s="58"/>
      <c r="P282" s="58"/>
      <c r="Q282" s="58"/>
      <c r="R282" s="58"/>
      <c r="S282" s="58"/>
      <c r="T282" s="58"/>
      <c r="U282" s="58"/>
      <c r="V282" s="58"/>
      <c r="W282" s="58"/>
      <c r="X282" s="58"/>
      <c r="Y282" s="58"/>
      <c r="Z282" s="177"/>
      <c r="AA282" s="58"/>
      <c r="AB282" s="165"/>
      <c r="AC282" s="170"/>
      <c r="AD282" s="5"/>
    </row>
    <row r="283" spans="1:30" ht="18.5" x14ac:dyDescent="0.45">
      <c r="A283" s="162"/>
      <c r="B283" s="178" t="s">
        <v>109</v>
      </c>
      <c r="C283" s="175"/>
      <c r="D283" s="58"/>
      <c r="E283" s="58"/>
      <c r="F283" s="58"/>
      <c r="G283" s="58"/>
      <c r="H283" s="58"/>
      <c r="I283" s="58"/>
      <c r="J283" s="58"/>
      <c r="K283" s="58"/>
      <c r="L283" s="179"/>
      <c r="M283" s="179"/>
      <c r="N283" s="179"/>
      <c r="O283" s="179"/>
      <c r="P283" s="256" t="s">
        <v>165</v>
      </c>
      <c r="Q283" s="179"/>
      <c r="R283" s="179"/>
      <c r="S283" s="179"/>
      <c r="T283" s="179"/>
      <c r="U283" s="179"/>
      <c r="V283" s="179"/>
      <c r="W283" s="58"/>
      <c r="X283" s="180"/>
      <c r="Y283" s="179"/>
      <c r="Z283" s="177"/>
      <c r="AA283" s="58"/>
      <c r="AB283" s="165"/>
      <c r="AC283" s="170"/>
      <c r="AD283" s="5"/>
    </row>
    <row r="284" spans="1:30" ht="18.5" x14ac:dyDescent="0.45">
      <c r="A284" s="181"/>
      <c r="B284" s="182"/>
      <c r="C284" s="183"/>
      <c r="D284" s="98"/>
      <c r="E284" s="98"/>
      <c r="F284" s="98"/>
      <c r="G284" s="98"/>
      <c r="H284" s="98"/>
      <c r="I284" s="98"/>
      <c r="J284" s="98"/>
      <c r="K284" s="98"/>
      <c r="L284" s="184"/>
      <c r="M284" s="184"/>
      <c r="N284" s="184"/>
      <c r="O284" s="184"/>
      <c r="P284" s="184"/>
      <c r="Q284" s="184"/>
      <c r="R284" s="184"/>
      <c r="S284" s="184"/>
      <c r="T284" s="184"/>
      <c r="U284" s="184"/>
      <c r="V284" s="184"/>
      <c r="W284" s="98"/>
      <c r="X284" s="98"/>
      <c r="Y284" s="98"/>
      <c r="Z284" s="185"/>
      <c r="AA284" s="98"/>
      <c r="AB284" s="149"/>
      <c r="AC284" s="186"/>
      <c r="AD284" s="5"/>
    </row>
    <row r="285" spans="1:30" x14ac:dyDescent="0.35">
      <c r="A285" s="33"/>
      <c r="B285" s="101" t="s">
        <v>126</v>
      </c>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51" t="s">
        <v>69</v>
      </c>
      <c r="Y285" s="102" t="s">
        <v>70</v>
      </c>
      <c r="Z285" s="151" t="s">
        <v>75</v>
      </c>
      <c r="AA285" s="102" t="s">
        <v>70</v>
      </c>
      <c r="AB285" s="34"/>
      <c r="AC285" s="187"/>
      <c r="AD285" s="5"/>
    </row>
    <row r="286" spans="1:30" s="23" customFormat="1" x14ac:dyDescent="0.35">
      <c r="A286" s="18"/>
      <c r="B286" s="105" t="s">
        <v>59</v>
      </c>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05">
        <f t="shared" ref="X286:X293" si="0">+X298+X310+X332</f>
        <v>3309</v>
      </c>
      <c r="Y286" s="189">
        <f>X286/$X$295</f>
        <v>1</v>
      </c>
      <c r="Z286" s="106">
        <f t="shared" ref="Z286:Z293" si="1">+Z298+Z310+Z332</f>
        <v>634375</v>
      </c>
      <c r="AA286" s="189">
        <f>Z286/$Z$295</f>
        <v>1</v>
      </c>
      <c r="AB286" s="155"/>
      <c r="AC286" s="190"/>
      <c r="AD286" s="22"/>
    </row>
    <row r="287" spans="1:30" s="23" customFormat="1" x14ac:dyDescent="0.35">
      <c r="A287" s="47"/>
      <c r="B287" s="96" t="s">
        <v>60</v>
      </c>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2">
        <f t="shared" si="0"/>
        <v>0</v>
      </c>
      <c r="Y287" s="193">
        <f t="shared" ref="Y287:Y293" si="2">X287/$X$295</f>
        <v>0</v>
      </c>
      <c r="Z287" s="194">
        <f t="shared" si="1"/>
        <v>0</v>
      </c>
      <c r="AA287" s="195">
        <f>Z287/$Z$295</f>
        <v>0</v>
      </c>
      <c r="AB287" s="160"/>
      <c r="AC287" s="172"/>
      <c r="AD287" s="22"/>
    </row>
    <row r="288" spans="1:30" s="23" customFormat="1" x14ac:dyDescent="0.35">
      <c r="A288" s="47"/>
      <c r="B288" s="96" t="s">
        <v>61</v>
      </c>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6">
        <f t="shared" si="0"/>
        <v>0</v>
      </c>
      <c r="Y288" s="197">
        <f t="shared" si="2"/>
        <v>0</v>
      </c>
      <c r="Z288" s="130">
        <f t="shared" si="1"/>
        <v>0</v>
      </c>
      <c r="AA288" s="195">
        <f t="shared" ref="AA288:AA293" si="3">Z288/$Z$295</f>
        <v>0</v>
      </c>
      <c r="AB288" s="160"/>
      <c r="AC288" s="172"/>
      <c r="AD288" s="22"/>
    </row>
    <row r="289" spans="1:31" s="23" customFormat="1" x14ac:dyDescent="0.35">
      <c r="A289" s="47"/>
      <c r="B289" s="96" t="s">
        <v>100</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6">
        <f t="shared" si="0"/>
        <v>0</v>
      </c>
      <c r="Y289" s="197">
        <f t="shared" si="2"/>
        <v>0</v>
      </c>
      <c r="Z289" s="130">
        <f t="shared" si="1"/>
        <v>0</v>
      </c>
      <c r="AA289" s="195">
        <f t="shared" si="3"/>
        <v>0</v>
      </c>
      <c r="AB289" s="160"/>
      <c r="AC289" s="172"/>
      <c r="AD289" s="22"/>
    </row>
    <row r="290" spans="1:31" s="23" customFormat="1" x14ac:dyDescent="0.35">
      <c r="A290" s="47"/>
      <c r="B290" s="96" t="s">
        <v>101</v>
      </c>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6">
        <f t="shared" si="0"/>
        <v>0</v>
      </c>
      <c r="Y290" s="197">
        <f t="shared" si="2"/>
        <v>0</v>
      </c>
      <c r="Z290" s="130">
        <f t="shared" si="1"/>
        <v>0</v>
      </c>
      <c r="AA290" s="195">
        <f t="shared" si="3"/>
        <v>0</v>
      </c>
      <c r="AB290" s="160"/>
      <c r="AC290" s="172"/>
      <c r="AD290" s="22"/>
    </row>
    <row r="291" spans="1:31" s="23" customFormat="1" x14ac:dyDescent="0.35">
      <c r="A291" s="47"/>
      <c r="B291" s="96" t="s">
        <v>102</v>
      </c>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6">
        <f t="shared" si="0"/>
        <v>0</v>
      </c>
      <c r="Y291" s="197">
        <f t="shared" si="2"/>
        <v>0</v>
      </c>
      <c r="Z291" s="130">
        <f t="shared" si="1"/>
        <v>0</v>
      </c>
      <c r="AA291" s="195">
        <f t="shared" si="3"/>
        <v>0</v>
      </c>
      <c r="AB291" s="160"/>
      <c r="AC291" s="172"/>
      <c r="AD291" s="22"/>
    </row>
    <row r="292" spans="1:31" s="23" customFormat="1" x14ac:dyDescent="0.35">
      <c r="A292" s="47"/>
      <c r="B292" s="96" t="s">
        <v>103</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8">
        <f t="shared" si="0"/>
        <v>0</v>
      </c>
      <c r="Y292" s="199">
        <f t="shared" si="2"/>
        <v>0</v>
      </c>
      <c r="Z292" s="200">
        <f t="shared" si="1"/>
        <v>0</v>
      </c>
      <c r="AA292" s="195">
        <f t="shared" si="3"/>
        <v>0</v>
      </c>
      <c r="AB292" s="160"/>
      <c r="AC292" s="172"/>
      <c r="AD292" s="22"/>
    </row>
    <row r="293" spans="1:31" s="23" customFormat="1" x14ac:dyDescent="0.35">
      <c r="A293" s="47"/>
      <c r="B293" s="96" t="s">
        <v>104</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5">
        <f t="shared" si="0"/>
        <v>0</v>
      </c>
      <c r="Y293" s="195">
        <f t="shared" si="2"/>
        <v>0</v>
      </c>
      <c r="Z293" s="106">
        <f t="shared" si="1"/>
        <v>0</v>
      </c>
      <c r="AA293" s="195">
        <f t="shared" si="3"/>
        <v>0</v>
      </c>
      <c r="AB293" s="160"/>
      <c r="AC293" s="172"/>
      <c r="AD293" s="22"/>
    </row>
    <row r="294" spans="1:31" s="23" customFormat="1" x14ac:dyDescent="0.35">
      <c r="A294" s="47"/>
      <c r="B294" s="96"/>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96"/>
      <c r="Y294" s="195"/>
      <c r="Z294" s="97"/>
      <c r="AA294" s="195"/>
      <c r="AB294" s="160"/>
      <c r="AC294" s="172"/>
      <c r="AD294" s="22"/>
    </row>
    <row r="295" spans="1:31" s="23" customFormat="1" x14ac:dyDescent="0.35">
      <c r="A295" s="47"/>
      <c r="B295" s="40" t="s">
        <v>80</v>
      </c>
      <c r="C295" s="40"/>
      <c r="D295" s="201"/>
      <c r="E295" s="201"/>
      <c r="F295" s="201"/>
      <c r="G295" s="201"/>
      <c r="H295" s="201"/>
      <c r="I295" s="201"/>
      <c r="J295" s="201"/>
      <c r="K295" s="201"/>
      <c r="L295" s="201"/>
      <c r="M295" s="201"/>
      <c r="N295" s="201"/>
      <c r="O295" s="201"/>
      <c r="P295" s="201"/>
      <c r="Q295" s="201"/>
      <c r="R295" s="201"/>
      <c r="S295" s="201"/>
      <c r="T295" s="201"/>
      <c r="U295" s="201"/>
      <c r="V295" s="201"/>
      <c r="W295" s="201"/>
      <c r="X295" s="96">
        <f>SUM(X286:X294)</f>
        <v>3309</v>
      </c>
      <c r="Y295" s="195">
        <f>SUM(Y286:Y294)</f>
        <v>1</v>
      </c>
      <c r="Z295" s="97">
        <f>SUM(Z286:Z294)</f>
        <v>634375</v>
      </c>
      <c r="AA295" s="195">
        <f>SUM(AA286:AA294)</f>
        <v>1</v>
      </c>
      <c r="AB295" s="40"/>
      <c r="AC295" s="43"/>
      <c r="AD295" s="22"/>
    </row>
    <row r="296" spans="1:31" x14ac:dyDescent="0.35">
      <c r="A296" s="7"/>
      <c r="B296" s="148"/>
      <c r="C296" s="183"/>
      <c r="D296" s="98"/>
      <c r="E296" s="98"/>
      <c r="F296" s="98"/>
      <c r="G296" s="98"/>
      <c r="H296" s="98"/>
      <c r="I296" s="98"/>
      <c r="J296" s="98"/>
      <c r="K296" s="98"/>
      <c r="L296" s="98"/>
      <c r="M296" s="98"/>
      <c r="N296" s="98"/>
      <c r="O296" s="98"/>
      <c r="P296" s="98"/>
      <c r="Q296" s="98"/>
      <c r="R296" s="98"/>
      <c r="S296" s="98"/>
      <c r="T296" s="98"/>
      <c r="U296" s="98"/>
      <c r="V296" s="98"/>
      <c r="W296" s="98"/>
      <c r="X296" s="98"/>
      <c r="Y296" s="98"/>
      <c r="Z296" s="185"/>
      <c r="AA296" s="98"/>
      <c r="AB296" s="98"/>
      <c r="AC296" s="10"/>
      <c r="AD296" s="5"/>
    </row>
    <row r="297" spans="1:31" x14ac:dyDescent="0.35">
      <c r="A297" s="33"/>
      <c r="B297" s="101" t="s">
        <v>105</v>
      </c>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51" t="s">
        <v>69</v>
      </c>
      <c r="Y297" s="102" t="s">
        <v>70</v>
      </c>
      <c r="Z297" s="151" t="s">
        <v>75</v>
      </c>
      <c r="AA297" s="102" t="s">
        <v>70</v>
      </c>
      <c r="AB297" s="34"/>
      <c r="AC297" s="187"/>
      <c r="AD297" s="5"/>
    </row>
    <row r="298" spans="1:31" s="23" customFormat="1" x14ac:dyDescent="0.35">
      <c r="A298" s="18"/>
      <c r="B298" s="105" t="s">
        <v>59</v>
      </c>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05">
        <v>3309</v>
      </c>
      <c r="Y298" s="189">
        <f>X298/$X$307</f>
        <v>1</v>
      </c>
      <c r="Z298" s="106">
        <v>634375</v>
      </c>
      <c r="AA298" s="189">
        <f>Z298/$Z$307</f>
        <v>1</v>
      </c>
      <c r="AB298" s="155"/>
      <c r="AC298" s="190"/>
      <c r="AD298" s="22"/>
    </row>
    <row r="299" spans="1:31" s="23" customFormat="1" x14ac:dyDescent="0.35">
      <c r="A299" s="47"/>
      <c r="B299" s="96" t="s">
        <v>60</v>
      </c>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96">
        <v>0</v>
      </c>
      <c r="Y299" s="195">
        <f t="shared" ref="Y299:Y305" si="4">X299/$X$307</f>
        <v>0</v>
      </c>
      <c r="Z299" s="97">
        <v>0</v>
      </c>
      <c r="AA299" s="195">
        <f t="shared" ref="AA299:AA305" si="5">Z299/$Z$307</f>
        <v>0</v>
      </c>
      <c r="AB299" s="160"/>
      <c r="AC299" s="172"/>
      <c r="AD299" s="22"/>
      <c r="AE299" s="114"/>
    </row>
    <row r="300" spans="1:31" s="23" customFormat="1" x14ac:dyDescent="0.35">
      <c r="A300" s="47"/>
      <c r="B300" s="96" t="s">
        <v>61</v>
      </c>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96">
        <v>0</v>
      </c>
      <c r="Y300" s="195">
        <f t="shared" si="4"/>
        <v>0</v>
      </c>
      <c r="Z300" s="97">
        <v>0</v>
      </c>
      <c r="AA300" s="195">
        <f t="shared" si="5"/>
        <v>0</v>
      </c>
      <c r="AB300" s="160"/>
      <c r="AC300" s="172"/>
      <c r="AD300" s="22"/>
    </row>
    <row r="301" spans="1:31" s="23" customFormat="1" x14ac:dyDescent="0.35">
      <c r="A301" s="47"/>
      <c r="B301" s="96" t="s">
        <v>100</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96">
        <v>0</v>
      </c>
      <c r="Y301" s="195">
        <f t="shared" si="4"/>
        <v>0</v>
      </c>
      <c r="Z301" s="97">
        <v>0</v>
      </c>
      <c r="AA301" s="195">
        <f t="shared" si="5"/>
        <v>0</v>
      </c>
      <c r="AB301" s="160"/>
      <c r="AC301" s="172"/>
      <c r="AD301" s="22"/>
      <c r="AE301" s="114"/>
    </row>
    <row r="302" spans="1:31" s="23" customFormat="1" x14ac:dyDescent="0.35">
      <c r="A302" s="47"/>
      <c r="B302" s="96" t="s">
        <v>101</v>
      </c>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96">
        <v>0</v>
      </c>
      <c r="Y302" s="195">
        <f t="shared" si="4"/>
        <v>0</v>
      </c>
      <c r="Z302" s="97">
        <v>0</v>
      </c>
      <c r="AA302" s="195">
        <f t="shared" si="5"/>
        <v>0</v>
      </c>
      <c r="AB302" s="160"/>
      <c r="AC302" s="172"/>
      <c r="AD302" s="22"/>
    </row>
    <row r="303" spans="1:31" s="23" customFormat="1" x14ac:dyDescent="0.35">
      <c r="A303" s="47"/>
      <c r="B303" s="96" t="s">
        <v>102</v>
      </c>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96">
        <v>0</v>
      </c>
      <c r="Y303" s="195">
        <f t="shared" si="4"/>
        <v>0</v>
      </c>
      <c r="Z303" s="97">
        <v>0</v>
      </c>
      <c r="AA303" s="195">
        <f t="shared" si="5"/>
        <v>0</v>
      </c>
      <c r="AB303" s="160"/>
      <c r="AC303" s="172"/>
      <c r="AD303" s="22"/>
      <c r="AE303" s="114"/>
    </row>
    <row r="304" spans="1:31" s="23" customFormat="1" x14ac:dyDescent="0.35">
      <c r="A304" s="47"/>
      <c r="B304" s="96" t="s">
        <v>103</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96">
        <v>0</v>
      </c>
      <c r="Y304" s="195">
        <f>X304/$X$307</f>
        <v>0</v>
      </c>
      <c r="Z304" s="97">
        <v>0</v>
      </c>
      <c r="AA304" s="195">
        <f t="shared" si="5"/>
        <v>0</v>
      </c>
      <c r="AB304" s="160"/>
      <c r="AC304" s="172"/>
      <c r="AD304" s="22"/>
    </row>
    <row r="305" spans="1:31" s="23" customFormat="1" x14ac:dyDescent="0.35">
      <c r="A305" s="47"/>
      <c r="B305" s="96" t="s">
        <v>104</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96">
        <v>0</v>
      </c>
      <c r="Y305" s="195">
        <f t="shared" si="4"/>
        <v>0</v>
      </c>
      <c r="Z305" s="97">
        <v>0</v>
      </c>
      <c r="AA305" s="195">
        <f t="shared" si="5"/>
        <v>0</v>
      </c>
      <c r="AB305" s="160"/>
      <c r="AC305" s="172"/>
      <c r="AD305" s="22"/>
      <c r="AE305" s="114"/>
    </row>
    <row r="306" spans="1:31" s="23" customFormat="1" x14ac:dyDescent="0.35">
      <c r="A306" s="47"/>
      <c r="B306" s="96"/>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96"/>
      <c r="Y306" s="195"/>
      <c r="Z306" s="97"/>
      <c r="AA306" s="195"/>
      <c r="AB306" s="160"/>
      <c r="AC306" s="172"/>
      <c r="AD306" s="22"/>
    </row>
    <row r="307" spans="1:31" s="23" customFormat="1" x14ac:dyDescent="0.35">
      <c r="A307" s="47"/>
      <c r="B307" s="40" t="s">
        <v>80</v>
      </c>
      <c r="C307" s="40"/>
      <c r="D307" s="201"/>
      <c r="E307" s="201"/>
      <c r="F307" s="201"/>
      <c r="G307" s="201"/>
      <c r="H307" s="201"/>
      <c r="I307" s="201"/>
      <c r="J307" s="201"/>
      <c r="K307" s="201"/>
      <c r="L307" s="201"/>
      <c r="M307" s="201"/>
      <c r="N307" s="201"/>
      <c r="O307" s="201"/>
      <c r="P307" s="201"/>
      <c r="Q307" s="201"/>
      <c r="R307" s="201"/>
      <c r="S307" s="201"/>
      <c r="T307" s="201"/>
      <c r="U307" s="201"/>
      <c r="V307" s="201"/>
      <c r="W307" s="201"/>
      <c r="X307" s="96">
        <f>SUM(X298:X306)</f>
        <v>3309</v>
      </c>
      <c r="Y307" s="195">
        <f>SUM(Y298:Y306)</f>
        <v>1</v>
      </c>
      <c r="Z307" s="97">
        <f>SUM(Z298:Z306)</f>
        <v>634375</v>
      </c>
      <c r="AA307" s="195">
        <f>SUM(AA298:AA306)</f>
        <v>1</v>
      </c>
      <c r="AB307" s="40"/>
      <c r="AC307" s="43"/>
      <c r="AD307" s="22"/>
    </row>
    <row r="308" spans="1:31" x14ac:dyDescent="0.35">
      <c r="A308" s="7"/>
      <c r="B308" s="98"/>
      <c r="C308" s="98"/>
      <c r="D308" s="202"/>
      <c r="E308" s="202"/>
      <c r="F308" s="202"/>
      <c r="G308" s="202"/>
      <c r="H308" s="202"/>
      <c r="I308" s="202"/>
      <c r="J308" s="202"/>
      <c r="K308" s="202"/>
      <c r="L308" s="202"/>
      <c r="M308" s="202"/>
      <c r="N308" s="202"/>
      <c r="O308" s="202"/>
      <c r="P308" s="202"/>
      <c r="Q308" s="202"/>
      <c r="R308" s="202"/>
      <c r="S308" s="202"/>
      <c r="T308" s="202"/>
      <c r="U308" s="202"/>
      <c r="V308" s="202"/>
      <c r="W308" s="202"/>
      <c r="X308" s="99"/>
      <c r="Y308" s="203"/>
      <c r="Z308" s="204"/>
      <c r="AA308" s="203"/>
      <c r="AB308" s="98"/>
      <c r="AC308" s="10"/>
      <c r="AD308" s="5"/>
    </row>
    <row r="309" spans="1:31" x14ac:dyDescent="0.35">
      <c r="A309" s="33"/>
      <c r="B309" s="101" t="s">
        <v>121</v>
      </c>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51" t="s">
        <v>69</v>
      </c>
      <c r="Y309" s="102" t="s">
        <v>70</v>
      </c>
      <c r="Z309" s="151" t="s">
        <v>75</v>
      </c>
      <c r="AA309" s="102" t="s">
        <v>70</v>
      </c>
      <c r="AB309" s="34"/>
      <c r="AC309" s="36"/>
      <c r="AD309" s="5"/>
    </row>
    <row r="310" spans="1:31" s="23" customFormat="1" x14ac:dyDescent="0.35">
      <c r="A310" s="18"/>
      <c r="B310" s="105" t="s">
        <v>59</v>
      </c>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05">
        <v>0</v>
      </c>
      <c r="Y310" s="189">
        <v>0</v>
      </c>
      <c r="Z310" s="106">
        <v>0</v>
      </c>
      <c r="AA310" s="189">
        <v>0</v>
      </c>
      <c r="AB310" s="37"/>
      <c r="AC310" s="21"/>
      <c r="AD310" s="22"/>
    </row>
    <row r="311" spans="1:31" s="23" customFormat="1" x14ac:dyDescent="0.35">
      <c r="A311" s="47"/>
      <c r="B311" s="96" t="s">
        <v>60</v>
      </c>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96">
        <v>0</v>
      </c>
      <c r="Y311" s="195">
        <v>0</v>
      </c>
      <c r="Z311" s="97">
        <v>0</v>
      </c>
      <c r="AA311" s="195">
        <v>0</v>
      </c>
      <c r="AB311" s="40"/>
      <c r="AC311" s="43"/>
      <c r="AD311" s="22"/>
    </row>
    <row r="312" spans="1:31" s="23" customFormat="1" x14ac:dyDescent="0.35">
      <c r="A312" s="47"/>
      <c r="B312" s="96" t="s">
        <v>61</v>
      </c>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96">
        <v>0</v>
      </c>
      <c r="Y312" s="195">
        <v>0</v>
      </c>
      <c r="Z312" s="97">
        <v>0</v>
      </c>
      <c r="AA312" s="195">
        <v>0</v>
      </c>
      <c r="AB312" s="40"/>
      <c r="AC312" s="43"/>
      <c r="AD312" s="22"/>
    </row>
    <row r="313" spans="1:31" s="23" customFormat="1" x14ac:dyDescent="0.35">
      <c r="A313" s="47"/>
      <c r="B313" s="96" t="s">
        <v>100</v>
      </c>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96">
        <v>0</v>
      </c>
      <c r="Y313" s="195">
        <v>0</v>
      </c>
      <c r="Z313" s="97">
        <v>0</v>
      </c>
      <c r="AA313" s="195">
        <v>0</v>
      </c>
      <c r="AB313" s="40"/>
      <c r="AC313" s="43"/>
      <c r="AD313" s="22"/>
    </row>
    <row r="314" spans="1:31" s="23" customFormat="1" x14ac:dyDescent="0.35">
      <c r="A314" s="47"/>
      <c r="B314" s="96" t="s">
        <v>101</v>
      </c>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96">
        <v>0</v>
      </c>
      <c r="Y314" s="195">
        <v>0</v>
      </c>
      <c r="Z314" s="97">
        <v>0</v>
      </c>
      <c r="AA314" s="195">
        <v>0</v>
      </c>
      <c r="AB314" s="40"/>
      <c r="AC314" s="43"/>
      <c r="AD314" s="22"/>
    </row>
    <row r="315" spans="1:31" s="23" customFormat="1" x14ac:dyDescent="0.35">
      <c r="A315" s="47"/>
      <c r="B315" s="96" t="s">
        <v>102</v>
      </c>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96">
        <v>0</v>
      </c>
      <c r="Y315" s="195">
        <v>0</v>
      </c>
      <c r="Z315" s="97">
        <v>0</v>
      </c>
      <c r="AA315" s="195">
        <v>0</v>
      </c>
      <c r="AB315" s="40"/>
      <c r="AC315" s="43"/>
      <c r="AD315" s="22"/>
    </row>
    <row r="316" spans="1:31" s="23" customFormat="1" x14ac:dyDescent="0.35">
      <c r="A316" s="47"/>
      <c r="B316" s="96" t="s">
        <v>103</v>
      </c>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96">
        <v>0</v>
      </c>
      <c r="Y316" s="195">
        <v>0</v>
      </c>
      <c r="Z316" s="97">
        <v>0</v>
      </c>
      <c r="AA316" s="195">
        <v>0</v>
      </c>
      <c r="AB316" s="40"/>
      <c r="AC316" s="43"/>
      <c r="AD316" s="22"/>
    </row>
    <row r="317" spans="1:31" s="23" customFormat="1" x14ac:dyDescent="0.35">
      <c r="A317" s="47"/>
      <c r="B317" s="96" t="s">
        <v>104</v>
      </c>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96">
        <v>0</v>
      </c>
      <c r="Y317" s="195">
        <v>0</v>
      </c>
      <c r="Z317" s="97">
        <v>0</v>
      </c>
      <c r="AA317" s="195">
        <v>0</v>
      </c>
      <c r="AB317" s="40"/>
      <c r="AC317" s="43"/>
      <c r="AD317" s="22"/>
    </row>
    <row r="318" spans="1:31" s="23" customFormat="1" x14ac:dyDescent="0.35">
      <c r="A318" s="47"/>
      <c r="B318" s="96"/>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96"/>
      <c r="Y318" s="195"/>
      <c r="Z318" s="97"/>
      <c r="AA318" s="195"/>
      <c r="AB318" s="40"/>
      <c r="AC318" s="43"/>
      <c r="AD318" s="22"/>
    </row>
    <row r="319" spans="1:31" s="23" customFormat="1" x14ac:dyDescent="0.35">
      <c r="A319" s="47"/>
      <c r="B319" s="40" t="s">
        <v>80</v>
      </c>
      <c r="C319" s="40"/>
      <c r="D319" s="201"/>
      <c r="E319" s="201"/>
      <c r="F319" s="201"/>
      <c r="G319" s="201"/>
      <c r="H319" s="201"/>
      <c r="I319" s="201"/>
      <c r="J319" s="201"/>
      <c r="K319" s="201"/>
      <c r="L319" s="201"/>
      <c r="M319" s="201"/>
      <c r="N319" s="201"/>
      <c r="O319" s="201"/>
      <c r="P319" s="201"/>
      <c r="Q319" s="201"/>
      <c r="R319" s="201"/>
      <c r="S319" s="201"/>
      <c r="T319" s="201"/>
      <c r="U319" s="201"/>
      <c r="V319" s="201"/>
      <c r="W319" s="201"/>
      <c r="X319" s="96">
        <f>SUM(X310:X318)</f>
        <v>0</v>
      </c>
      <c r="Y319" s="195">
        <f>SUM(Y310:Y318)</f>
        <v>0</v>
      </c>
      <c r="Z319" s="97">
        <f>SUM(Z310:Z318)</f>
        <v>0</v>
      </c>
      <c r="AA319" s="195">
        <f>SUM(AA310:AA318)</f>
        <v>0</v>
      </c>
      <c r="AB319" s="40"/>
      <c r="AC319" s="43"/>
      <c r="AD319" s="22"/>
    </row>
    <row r="320" spans="1:31" s="23" customFormat="1" x14ac:dyDescent="0.35">
      <c r="A320" s="47"/>
      <c r="B320" s="40"/>
      <c r="C320" s="40"/>
      <c r="D320" s="201"/>
      <c r="E320" s="201"/>
      <c r="F320" s="201"/>
      <c r="G320" s="201"/>
      <c r="H320" s="201"/>
      <c r="I320" s="201"/>
      <c r="J320" s="201"/>
      <c r="K320" s="201"/>
      <c r="L320" s="201"/>
      <c r="M320" s="201"/>
      <c r="N320" s="201"/>
      <c r="O320" s="201"/>
      <c r="P320" s="201"/>
      <c r="Q320" s="201"/>
      <c r="R320" s="201"/>
      <c r="S320" s="201"/>
      <c r="T320" s="201"/>
      <c r="U320" s="201"/>
      <c r="V320" s="201"/>
      <c r="W320" s="201"/>
      <c r="X320" s="96"/>
      <c r="Y320" s="195"/>
      <c r="Z320" s="97"/>
      <c r="AA320" s="195"/>
      <c r="AB320" s="40"/>
      <c r="AC320" s="43"/>
      <c r="AD320" s="22"/>
    </row>
    <row r="321" spans="1:30" s="23" customFormat="1" x14ac:dyDescent="0.35">
      <c r="A321" s="237"/>
      <c r="B321" s="238" t="s">
        <v>292</v>
      </c>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57" t="s">
        <v>69</v>
      </c>
      <c r="Y321" s="258" t="s">
        <v>70</v>
      </c>
      <c r="Z321" s="257" t="s">
        <v>75</v>
      </c>
      <c r="AA321" s="258" t="s">
        <v>70</v>
      </c>
      <c r="AB321" s="238"/>
      <c r="AC321" s="238"/>
      <c r="AD321" s="22"/>
    </row>
    <row r="322" spans="1:30" s="23" customFormat="1" x14ac:dyDescent="0.35">
      <c r="A322" s="267"/>
      <c r="B322" s="268" t="s">
        <v>288</v>
      </c>
      <c r="C322" s="40"/>
      <c r="D322" s="201"/>
      <c r="E322" s="201"/>
      <c r="F322" s="201"/>
      <c r="G322" s="201"/>
      <c r="H322" s="201"/>
      <c r="I322" s="201"/>
      <c r="J322" s="201"/>
      <c r="K322" s="201"/>
      <c r="L322" s="201"/>
      <c r="M322" s="201"/>
      <c r="N322" s="201"/>
      <c r="O322" s="201"/>
      <c r="P322" s="201"/>
      <c r="Q322" s="201"/>
      <c r="R322" s="201"/>
      <c r="S322" s="201"/>
      <c r="T322" s="201"/>
      <c r="U322" s="201"/>
      <c r="V322" s="201"/>
      <c r="W322" s="201"/>
      <c r="X322" s="270">
        <v>0</v>
      </c>
      <c r="Y322" s="271">
        <v>0</v>
      </c>
      <c r="Z322" s="272">
        <v>0</v>
      </c>
      <c r="AA322" s="271">
        <v>0</v>
      </c>
      <c r="AB322" s="40"/>
      <c r="AC322" s="43"/>
      <c r="AD322" s="22"/>
    </row>
    <row r="323" spans="1:30" s="23" customFormat="1" x14ac:dyDescent="0.35">
      <c r="A323" s="267"/>
      <c r="B323" s="268" t="s">
        <v>289</v>
      </c>
      <c r="C323" s="40"/>
      <c r="D323" s="201"/>
      <c r="E323" s="201"/>
      <c r="F323" s="201"/>
      <c r="G323" s="201"/>
      <c r="H323" s="201"/>
      <c r="I323" s="201"/>
      <c r="J323" s="201"/>
      <c r="K323" s="201"/>
      <c r="L323" s="201"/>
      <c r="M323" s="201"/>
      <c r="N323" s="201"/>
      <c r="O323" s="201"/>
      <c r="P323" s="201"/>
      <c r="Q323" s="201"/>
      <c r="R323" s="201"/>
      <c r="S323" s="201"/>
      <c r="T323" s="201"/>
      <c r="U323" s="201"/>
      <c r="V323" s="201"/>
      <c r="W323" s="201"/>
      <c r="X323" s="270">
        <v>0</v>
      </c>
      <c r="Y323" s="271">
        <v>0</v>
      </c>
      <c r="Z323" s="272">
        <v>0</v>
      </c>
      <c r="AA323" s="271">
        <v>0</v>
      </c>
      <c r="AB323" s="40"/>
      <c r="AC323" s="43"/>
      <c r="AD323" s="22"/>
    </row>
    <row r="324" spans="1:30" s="23" customFormat="1" x14ac:dyDescent="0.35">
      <c r="A324" s="267"/>
      <c r="B324" s="268" t="s">
        <v>290</v>
      </c>
      <c r="C324" s="40"/>
      <c r="D324" s="201"/>
      <c r="E324" s="201"/>
      <c r="F324" s="201"/>
      <c r="G324" s="201"/>
      <c r="H324" s="201"/>
      <c r="I324" s="201"/>
      <c r="J324" s="201"/>
      <c r="K324" s="201"/>
      <c r="L324" s="201"/>
      <c r="M324" s="201"/>
      <c r="N324" s="201"/>
      <c r="O324" s="201"/>
      <c r="P324" s="201"/>
      <c r="Q324" s="201"/>
      <c r="R324" s="201"/>
      <c r="S324" s="201"/>
      <c r="T324" s="201"/>
      <c r="U324" s="201"/>
      <c r="V324" s="201"/>
      <c r="W324" s="201"/>
      <c r="X324" s="270">
        <v>0</v>
      </c>
      <c r="Y324" s="271">
        <v>0</v>
      </c>
      <c r="Z324" s="272">
        <v>0</v>
      </c>
      <c r="AA324" s="271">
        <v>0</v>
      </c>
      <c r="AB324" s="40"/>
      <c r="AC324" s="43"/>
      <c r="AD324" s="22"/>
    </row>
    <row r="325" spans="1:30" s="23" customFormat="1" x14ac:dyDescent="0.35">
      <c r="A325" s="267"/>
      <c r="B325" s="268" t="s">
        <v>291</v>
      </c>
      <c r="C325" s="40"/>
      <c r="D325" s="201"/>
      <c r="E325" s="201"/>
      <c r="F325" s="201"/>
      <c r="G325" s="201"/>
      <c r="H325" s="201"/>
      <c r="I325" s="201"/>
      <c r="J325" s="201"/>
      <c r="K325" s="201"/>
      <c r="L325" s="201"/>
      <c r="M325" s="201"/>
      <c r="N325" s="201"/>
      <c r="O325" s="201"/>
      <c r="P325" s="201"/>
      <c r="Q325" s="201"/>
      <c r="R325" s="201"/>
      <c r="S325" s="201"/>
      <c r="T325" s="201"/>
      <c r="U325" s="201"/>
      <c r="V325" s="201"/>
      <c r="W325" s="201"/>
      <c r="X325" s="270">
        <v>0</v>
      </c>
      <c r="Y325" s="271">
        <v>0</v>
      </c>
      <c r="Z325" s="272">
        <v>0</v>
      </c>
      <c r="AA325" s="271">
        <v>0</v>
      </c>
      <c r="AB325" s="40"/>
      <c r="AC325" s="43"/>
      <c r="AD325" s="22"/>
    </row>
    <row r="326" spans="1:30" s="23" customFormat="1" x14ac:dyDescent="0.35">
      <c r="A326" s="267"/>
      <c r="B326" s="268" t="s">
        <v>376</v>
      </c>
      <c r="C326" s="40"/>
      <c r="D326" s="201"/>
      <c r="E326" s="201"/>
      <c r="F326" s="201"/>
      <c r="G326" s="201"/>
      <c r="H326" s="201"/>
      <c r="I326" s="201"/>
      <c r="J326" s="201"/>
      <c r="K326" s="201"/>
      <c r="L326" s="201"/>
      <c r="M326" s="201"/>
      <c r="N326" s="201"/>
      <c r="O326" s="201"/>
      <c r="P326" s="201"/>
      <c r="Q326" s="201"/>
      <c r="R326" s="201"/>
      <c r="S326" s="201"/>
      <c r="T326" s="201"/>
      <c r="U326" s="201"/>
      <c r="V326" s="201"/>
      <c r="W326" s="201"/>
      <c r="X326" s="270">
        <v>0</v>
      </c>
      <c r="Y326" s="271">
        <v>0</v>
      </c>
      <c r="Z326" s="272">
        <v>0</v>
      </c>
      <c r="AA326" s="271">
        <v>0</v>
      </c>
      <c r="AB326" s="40"/>
      <c r="AC326" s="43"/>
      <c r="AD326" s="22"/>
    </row>
    <row r="327" spans="1:30" s="23" customFormat="1" x14ac:dyDescent="0.35">
      <c r="A327" s="267"/>
      <c r="B327" s="269" t="s">
        <v>293</v>
      </c>
      <c r="C327" s="40"/>
      <c r="D327" s="201"/>
      <c r="E327" s="201"/>
      <c r="F327" s="201"/>
      <c r="G327" s="201"/>
      <c r="H327" s="201"/>
      <c r="I327" s="201"/>
      <c r="J327" s="201"/>
      <c r="K327" s="201"/>
      <c r="L327" s="201"/>
      <c r="M327" s="201"/>
      <c r="N327" s="201"/>
      <c r="O327" s="201"/>
      <c r="P327" s="201"/>
      <c r="Q327" s="201"/>
      <c r="R327" s="201"/>
      <c r="S327" s="201"/>
      <c r="T327" s="201"/>
      <c r="U327" s="201"/>
      <c r="V327" s="201"/>
      <c r="W327" s="201"/>
      <c r="X327" s="270">
        <v>0</v>
      </c>
      <c r="Y327" s="271">
        <v>0</v>
      </c>
      <c r="Z327" s="272">
        <v>0</v>
      </c>
      <c r="AA327" s="271">
        <v>0</v>
      </c>
      <c r="AB327" s="40"/>
      <c r="AC327" s="43"/>
      <c r="AD327" s="22"/>
    </row>
    <row r="328" spans="1:30" s="23" customFormat="1" x14ac:dyDescent="0.35">
      <c r="A328" s="267"/>
      <c r="B328" s="268"/>
      <c r="C328" s="40"/>
      <c r="D328" s="201"/>
      <c r="E328" s="201"/>
      <c r="F328" s="201"/>
      <c r="G328" s="201"/>
      <c r="H328" s="201"/>
      <c r="I328" s="201"/>
      <c r="J328" s="201"/>
      <c r="K328" s="201"/>
      <c r="L328" s="201"/>
      <c r="M328" s="201"/>
      <c r="N328" s="201"/>
      <c r="O328" s="201"/>
      <c r="P328" s="201"/>
      <c r="Q328" s="201"/>
      <c r="R328" s="201"/>
      <c r="S328" s="201"/>
      <c r="T328" s="201"/>
      <c r="U328" s="201"/>
      <c r="V328" s="201"/>
      <c r="W328" s="201"/>
      <c r="X328" s="270"/>
      <c r="Y328" s="271"/>
      <c r="Z328" s="272"/>
      <c r="AA328" s="271"/>
      <c r="AB328" s="40"/>
      <c r="AC328" s="43"/>
      <c r="AD328" s="22"/>
    </row>
    <row r="329" spans="1:30" s="23" customFormat="1" x14ac:dyDescent="0.35">
      <c r="A329" s="267"/>
      <c r="B329" s="268" t="s">
        <v>80</v>
      </c>
      <c r="C329" s="40"/>
      <c r="D329" s="201"/>
      <c r="E329" s="201"/>
      <c r="F329" s="201"/>
      <c r="G329" s="201"/>
      <c r="H329" s="201"/>
      <c r="I329" s="201"/>
      <c r="J329" s="201"/>
      <c r="K329" s="201"/>
      <c r="L329" s="201"/>
      <c r="M329" s="201"/>
      <c r="N329" s="201"/>
      <c r="O329" s="201"/>
      <c r="P329" s="201"/>
      <c r="Q329" s="201"/>
      <c r="R329" s="201"/>
      <c r="S329" s="201"/>
      <c r="T329" s="201"/>
      <c r="U329" s="201"/>
      <c r="V329" s="201"/>
      <c r="W329" s="201"/>
      <c r="X329" s="270">
        <f>SUM(X322:X328)</f>
        <v>0</v>
      </c>
      <c r="Y329" s="271">
        <f>SUM(Y322:Y327)</f>
        <v>0</v>
      </c>
      <c r="Z329" s="272">
        <f>SUM(Z322:Z327)</f>
        <v>0</v>
      </c>
      <c r="AA329" s="271">
        <f>SUM(AA322:AA328)</f>
        <v>0</v>
      </c>
      <c r="AB329" s="40"/>
      <c r="AC329" s="43"/>
      <c r="AD329" s="22"/>
    </row>
    <row r="330" spans="1:30" x14ac:dyDescent="0.35">
      <c r="A330" s="7"/>
      <c r="B330" s="98"/>
      <c r="C330" s="98"/>
      <c r="D330" s="202"/>
      <c r="E330" s="202"/>
      <c r="F330" s="202"/>
      <c r="G330" s="202"/>
      <c r="H330" s="202"/>
      <c r="I330" s="202"/>
      <c r="J330" s="202"/>
      <c r="K330" s="202"/>
      <c r="L330" s="202"/>
      <c r="M330" s="202"/>
      <c r="N330" s="202"/>
      <c r="O330" s="202"/>
      <c r="P330" s="202"/>
      <c r="Q330" s="202"/>
      <c r="R330" s="202"/>
      <c r="S330" s="202"/>
      <c r="T330" s="202"/>
      <c r="U330" s="202"/>
      <c r="V330" s="202"/>
      <c r="W330" s="202"/>
      <c r="X330" s="99"/>
      <c r="Y330" s="203"/>
      <c r="Z330" s="204"/>
      <c r="AA330" s="203"/>
      <c r="AB330" s="98"/>
      <c r="AC330" s="10"/>
      <c r="AD330" s="5"/>
    </row>
    <row r="331" spans="1:30" x14ac:dyDescent="0.35">
      <c r="A331" s="33"/>
      <c r="B331" s="101" t="s">
        <v>106</v>
      </c>
      <c r="C331" s="34"/>
      <c r="D331" s="205"/>
      <c r="E331" s="205"/>
      <c r="F331" s="205"/>
      <c r="G331" s="205"/>
      <c r="H331" s="205"/>
      <c r="I331" s="205"/>
      <c r="J331" s="205"/>
      <c r="K331" s="205"/>
      <c r="L331" s="205"/>
      <c r="M331" s="205"/>
      <c r="N331" s="205"/>
      <c r="O331" s="205"/>
      <c r="P331" s="205"/>
      <c r="Q331" s="205"/>
      <c r="R331" s="205"/>
      <c r="S331" s="205"/>
      <c r="T331" s="205"/>
      <c r="U331" s="205"/>
      <c r="V331" s="205"/>
      <c r="W331" s="205"/>
      <c r="X331" s="151" t="s">
        <v>69</v>
      </c>
      <c r="Y331" s="102" t="s">
        <v>70</v>
      </c>
      <c r="Z331" s="151" t="s">
        <v>75</v>
      </c>
      <c r="AA331" s="102" t="s">
        <v>70</v>
      </c>
      <c r="AB331" s="34"/>
      <c r="AC331" s="36"/>
      <c r="AD331" s="5"/>
    </row>
    <row r="332" spans="1:30" s="23" customFormat="1" x14ac:dyDescent="0.35">
      <c r="A332" s="18"/>
      <c r="B332" s="105" t="s">
        <v>59</v>
      </c>
      <c r="C332" s="37"/>
      <c r="D332" s="206"/>
      <c r="E332" s="206"/>
      <c r="F332" s="206"/>
      <c r="G332" s="206"/>
      <c r="H332" s="206"/>
      <c r="I332" s="206"/>
      <c r="J332" s="206"/>
      <c r="K332" s="206"/>
      <c r="L332" s="206"/>
      <c r="M332" s="206"/>
      <c r="N332" s="206"/>
      <c r="O332" s="206"/>
      <c r="P332" s="206"/>
      <c r="Q332" s="206"/>
      <c r="R332" s="206"/>
      <c r="S332" s="206"/>
      <c r="T332" s="206"/>
      <c r="U332" s="206"/>
      <c r="V332" s="206"/>
      <c r="W332" s="206"/>
      <c r="X332" s="105">
        <v>0</v>
      </c>
      <c r="Y332" s="189">
        <v>0</v>
      </c>
      <c r="Z332" s="106">
        <v>0</v>
      </c>
      <c r="AA332" s="189">
        <v>0</v>
      </c>
      <c r="AB332" s="37"/>
      <c r="AC332" s="21"/>
      <c r="AD332" s="22"/>
    </row>
    <row r="333" spans="1:30" s="23" customFormat="1" x14ac:dyDescent="0.35">
      <c r="A333" s="47"/>
      <c r="B333" s="96" t="s">
        <v>60</v>
      </c>
      <c r="C333" s="40"/>
      <c r="D333" s="201"/>
      <c r="E333" s="201"/>
      <c r="F333" s="201"/>
      <c r="G333" s="201"/>
      <c r="H333" s="201"/>
      <c r="I333" s="201"/>
      <c r="J333" s="201"/>
      <c r="K333" s="201"/>
      <c r="L333" s="201"/>
      <c r="M333" s="201"/>
      <c r="N333" s="201"/>
      <c r="O333" s="201"/>
      <c r="P333" s="201"/>
      <c r="Q333" s="201"/>
      <c r="R333" s="201"/>
      <c r="S333" s="201"/>
      <c r="T333" s="201"/>
      <c r="U333" s="201"/>
      <c r="V333" s="201"/>
      <c r="W333" s="201"/>
      <c r="X333" s="96">
        <v>0</v>
      </c>
      <c r="Y333" s="195">
        <v>0</v>
      </c>
      <c r="Z333" s="97">
        <v>0</v>
      </c>
      <c r="AA333" s="195">
        <v>0</v>
      </c>
      <c r="AB333" s="40"/>
      <c r="AC333" s="43"/>
      <c r="AD333" s="22"/>
    </row>
    <row r="334" spans="1:30" s="23" customFormat="1" x14ac:dyDescent="0.35">
      <c r="A334" s="47"/>
      <c r="B334" s="96" t="s">
        <v>61</v>
      </c>
      <c r="C334" s="40"/>
      <c r="D334" s="201"/>
      <c r="E334" s="201"/>
      <c r="F334" s="201"/>
      <c r="G334" s="201"/>
      <c r="H334" s="201"/>
      <c r="I334" s="201"/>
      <c r="J334" s="201"/>
      <c r="K334" s="201"/>
      <c r="L334" s="201"/>
      <c r="M334" s="201"/>
      <c r="N334" s="201"/>
      <c r="O334" s="201"/>
      <c r="P334" s="201"/>
      <c r="Q334" s="201"/>
      <c r="R334" s="201"/>
      <c r="S334" s="201"/>
      <c r="T334" s="201"/>
      <c r="U334" s="201"/>
      <c r="V334" s="201"/>
      <c r="W334" s="201"/>
      <c r="X334" s="96">
        <v>0</v>
      </c>
      <c r="Y334" s="195">
        <v>0</v>
      </c>
      <c r="Z334" s="97">
        <v>0</v>
      </c>
      <c r="AA334" s="195">
        <v>0</v>
      </c>
      <c r="AB334" s="40"/>
      <c r="AC334" s="43"/>
      <c r="AD334" s="22"/>
    </row>
    <row r="335" spans="1:30" s="23" customFormat="1" x14ac:dyDescent="0.35">
      <c r="A335" s="47"/>
      <c r="B335" s="96" t="s">
        <v>100</v>
      </c>
      <c r="C335" s="40"/>
      <c r="D335" s="201"/>
      <c r="E335" s="201"/>
      <c r="F335" s="201"/>
      <c r="G335" s="201"/>
      <c r="H335" s="201"/>
      <c r="I335" s="201"/>
      <c r="J335" s="201"/>
      <c r="K335" s="201"/>
      <c r="L335" s="201"/>
      <c r="M335" s="201"/>
      <c r="N335" s="201"/>
      <c r="O335" s="201"/>
      <c r="P335" s="201"/>
      <c r="Q335" s="201"/>
      <c r="R335" s="201"/>
      <c r="S335" s="201"/>
      <c r="T335" s="201"/>
      <c r="U335" s="201"/>
      <c r="V335" s="201"/>
      <c r="W335" s="201"/>
      <c r="X335" s="96">
        <v>0</v>
      </c>
      <c r="Y335" s="195">
        <v>0</v>
      </c>
      <c r="Z335" s="97">
        <v>0</v>
      </c>
      <c r="AA335" s="195">
        <v>0</v>
      </c>
      <c r="AB335" s="40"/>
      <c r="AC335" s="43"/>
      <c r="AD335" s="22"/>
    </row>
    <row r="336" spans="1:30" s="23" customFormat="1" x14ac:dyDescent="0.35">
      <c r="A336" s="47"/>
      <c r="B336" s="96" t="s">
        <v>101</v>
      </c>
      <c r="C336" s="40"/>
      <c r="D336" s="201"/>
      <c r="E336" s="201"/>
      <c r="F336" s="201"/>
      <c r="G336" s="201"/>
      <c r="H336" s="201"/>
      <c r="I336" s="201"/>
      <c r="J336" s="201"/>
      <c r="K336" s="201"/>
      <c r="L336" s="201"/>
      <c r="M336" s="201"/>
      <c r="N336" s="201"/>
      <c r="O336" s="201"/>
      <c r="P336" s="201"/>
      <c r="Q336" s="201"/>
      <c r="R336" s="201"/>
      <c r="S336" s="201"/>
      <c r="T336" s="201"/>
      <c r="U336" s="201"/>
      <c r="V336" s="201"/>
      <c r="W336" s="201"/>
      <c r="X336" s="96">
        <v>0</v>
      </c>
      <c r="Y336" s="195">
        <v>0</v>
      </c>
      <c r="Z336" s="97">
        <v>0</v>
      </c>
      <c r="AA336" s="195">
        <v>0</v>
      </c>
      <c r="AB336" s="40"/>
      <c r="AC336" s="43"/>
      <c r="AD336" s="22"/>
    </row>
    <row r="337" spans="1:30" s="23" customFormat="1" x14ac:dyDescent="0.35">
      <c r="A337" s="47"/>
      <c r="B337" s="96" t="s">
        <v>102</v>
      </c>
      <c r="C337" s="40"/>
      <c r="D337" s="201"/>
      <c r="E337" s="201"/>
      <c r="F337" s="201"/>
      <c r="G337" s="201"/>
      <c r="H337" s="201"/>
      <c r="I337" s="201"/>
      <c r="J337" s="201"/>
      <c r="K337" s="201"/>
      <c r="L337" s="201"/>
      <c r="M337" s="201"/>
      <c r="N337" s="201"/>
      <c r="O337" s="201"/>
      <c r="P337" s="201"/>
      <c r="Q337" s="201"/>
      <c r="R337" s="201"/>
      <c r="S337" s="201"/>
      <c r="T337" s="201"/>
      <c r="U337" s="201"/>
      <c r="V337" s="201"/>
      <c r="W337" s="201"/>
      <c r="X337" s="96">
        <v>0</v>
      </c>
      <c r="Y337" s="195">
        <v>0</v>
      </c>
      <c r="Z337" s="97">
        <v>0</v>
      </c>
      <c r="AA337" s="195">
        <v>0</v>
      </c>
      <c r="AB337" s="40"/>
      <c r="AC337" s="43"/>
      <c r="AD337" s="22"/>
    </row>
    <row r="338" spans="1:30" s="23" customFormat="1" x14ac:dyDescent="0.35">
      <c r="A338" s="47"/>
      <c r="B338" s="96" t="s">
        <v>103</v>
      </c>
      <c r="C338" s="40"/>
      <c r="D338" s="201"/>
      <c r="E338" s="201"/>
      <c r="F338" s="201"/>
      <c r="G338" s="201"/>
      <c r="H338" s="201"/>
      <c r="I338" s="201"/>
      <c r="J338" s="201"/>
      <c r="K338" s="201"/>
      <c r="L338" s="201"/>
      <c r="M338" s="201"/>
      <c r="N338" s="201"/>
      <c r="O338" s="201"/>
      <c r="P338" s="201"/>
      <c r="Q338" s="201"/>
      <c r="R338" s="201"/>
      <c r="S338" s="201"/>
      <c r="T338" s="201"/>
      <c r="U338" s="201"/>
      <c r="V338" s="201"/>
      <c r="W338" s="201"/>
      <c r="X338" s="96">
        <v>0</v>
      </c>
      <c r="Y338" s="195">
        <v>0</v>
      </c>
      <c r="Z338" s="97">
        <v>0</v>
      </c>
      <c r="AA338" s="195">
        <v>0</v>
      </c>
      <c r="AB338" s="40"/>
      <c r="AC338" s="43"/>
      <c r="AD338" s="22"/>
    </row>
    <row r="339" spans="1:30" s="23" customFormat="1" x14ac:dyDescent="0.35">
      <c r="A339" s="47"/>
      <c r="B339" s="96" t="s">
        <v>104</v>
      </c>
      <c r="C339" s="40"/>
      <c r="D339" s="201"/>
      <c r="E339" s="201"/>
      <c r="F339" s="201"/>
      <c r="G339" s="201"/>
      <c r="H339" s="201"/>
      <c r="I339" s="201"/>
      <c r="J339" s="201"/>
      <c r="K339" s="201"/>
      <c r="L339" s="201"/>
      <c r="M339" s="201"/>
      <c r="N339" s="201"/>
      <c r="O339" s="201"/>
      <c r="P339" s="201"/>
      <c r="Q339" s="201"/>
      <c r="R339" s="201"/>
      <c r="S339" s="201"/>
      <c r="T339" s="201"/>
      <c r="U339" s="201"/>
      <c r="V339" s="201"/>
      <c r="W339" s="201"/>
      <c r="X339" s="96">
        <v>0</v>
      </c>
      <c r="Y339" s="195">
        <v>0</v>
      </c>
      <c r="Z339" s="97">
        <v>0</v>
      </c>
      <c r="AA339" s="195">
        <v>0</v>
      </c>
      <c r="AB339" s="40"/>
      <c r="AC339" s="43"/>
      <c r="AD339" s="22"/>
    </row>
    <row r="340" spans="1:30" s="23" customFormat="1" x14ac:dyDescent="0.35">
      <c r="A340" s="47"/>
      <c r="B340" s="96"/>
      <c r="C340" s="40"/>
      <c r="D340" s="201"/>
      <c r="E340" s="201"/>
      <c r="F340" s="201"/>
      <c r="G340" s="201"/>
      <c r="H340" s="201"/>
      <c r="I340" s="201"/>
      <c r="J340" s="201"/>
      <c r="K340" s="201"/>
      <c r="L340" s="201"/>
      <c r="M340" s="201"/>
      <c r="N340" s="201"/>
      <c r="O340" s="201"/>
      <c r="P340" s="201"/>
      <c r="Q340" s="201"/>
      <c r="R340" s="201"/>
      <c r="S340" s="201"/>
      <c r="T340" s="201"/>
      <c r="U340" s="201"/>
      <c r="V340" s="201"/>
      <c r="W340" s="201"/>
      <c r="X340" s="96"/>
      <c r="Y340" s="195"/>
      <c r="Z340" s="97"/>
      <c r="AA340" s="195"/>
      <c r="AB340" s="40"/>
      <c r="AC340" s="43"/>
      <c r="AD340" s="22"/>
    </row>
    <row r="341" spans="1:30" s="23" customFormat="1" x14ac:dyDescent="0.35">
      <c r="A341" s="47"/>
      <c r="B341" s="40" t="s">
        <v>80</v>
      </c>
      <c r="C341" s="40"/>
      <c r="D341" s="201"/>
      <c r="E341" s="201"/>
      <c r="F341" s="201"/>
      <c r="G341" s="201"/>
      <c r="H341" s="201"/>
      <c r="I341" s="201"/>
      <c r="J341" s="201"/>
      <c r="K341" s="201"/>
      <c r="L341" s="201"/>
      <c r="M341" s="201"/>
      <c r="N341" s="201"/>
      <c r="O341" s="201"/>
      <c r="P341" s="201"/>
      <c r="Q341" s="201"/>
      <c r="R341" s="201"/>
      <c r="S341" s="201"/>
      <c r="T341" s="201"/>
      <c r="U341" s="201"/>
      <c r="V341" s="201"/>
      <c r="W341" s="201"/>
      <c r="X341" s="96">
        <f>SUM(X332:X339)</f>
        <v>0</v>
      </c>
      <c r="Y341" s="195">
        <f>SUM(Y332:Y339)</f>
        <v>0</v>
      </c>
      <c r="Z341" s="97">
        <f>SUM(Z332:Z339)</f>
        <v>0</v>
      </c>
      <c r="AA341" s="195">
        <f>SUM(AA332:AA339)</f>
        <v>0</v>
      </c>
      <c r="AB341" s="40"/>
      <c r="AC341" s="43"/>
      <c r="AD341" s="22"/>
    </row>
    <row r="342" spans="1:30" s="23" customFormat="1" x14ac:dyDescent="0.35">
      <c r="A342" s="47"/>
      <c r="B342" s="40"/>
      <c r="C342" s="40"/>
      <c r="D342" s="201"/>
      <c r="E342" s="201"/>
      <c r="F342" s="201"/>
      <c r="G342" s="201"/>
      <c r="H342" s="201"/>
      <c r="I342" s="201"/>
      <c r="J342" s="201"/>
      <c r="K342" s="201"/>
      <c r="L342" s="201"/>
      <c r="M342" s="201"/>
      <c r="N342" s="201"/>
      <c r="O342" s="201"/>
      <c r="P342" s="201"/>
      <c r="Q342" s="201"/>
      <c r="R342" s="201"/>
      <c r="S342" s="201"/>
      <c r="T342" s="201"/>
      <c r="U342" s="201"/>
      <c r="V342" s="201"/>
      <c r="W342" s="201"/>
      <c r="X342" s="96"/>
      <c r="Y342" s="195"/>
      <c r="Z342" s="97"/>
      <c r="AA342" s="195"/>
      <c r="AB342" s="40"/>
      <c r="AC342" s="43"/>
      <c r="AD342" s="22"/>
    </row>
    <row r="343" spans="1:30" s="23" customFormat="1" x14ac:dyDescent="0.35">
      <c r="A343" s="47"/>
      <c r="B343" s="44" t="s">
        <v>138</v>
      </c>
      <c r="C343" s="40"/>
      <c r="D343" s="201"/>
      <c r="E343" s="201"/>
      <c r="F343" s="201"/>
      <c r="G343" s="201"/>
      <c r="H343" s="201"/>
      <c r="I343" s="201"/>
      <c r="J343" s="201"/>
      <c r="K343" s="201"/>
      <c r="L343" s="201"/>
      <c r="M343" s="201"/>
      <c r="N343" s="201"/>
      <c r="O343" s="201"/>
      <c r="P343" s="201"/>
      <c r="Q343" s="201"/>
      <c r="R343" s="201"/>
      <c r="S343" s="201"/>
      <c r="T343" s="201"/>
      <c r="U343" s="201"/>
      <c r="V343" s="201"/>
      <c r="W343" s="201"/>
      <c r="X343" s="207">
        <f>X341+X319+X307</f>
        <v>3309</v>
      </c>
      <c r="Y343" s="195"/>
      <c r="Z343" s="208">
        <f>+Z341+Z319+Z307</f>
        <v>634375</v>
      </c>
      <c r="AA343" s="195"/>
      <c r="AB343" s="40"/>
      <c r="AC343" s="43"/>
      <c r="AD343" s="22"/>
    </row>
    <row r="344" spans="1:30" s="23" customFormat="1" x14ac:dyDescent="0.35">
      <c r="A344" s="47"/>
      <c r="B344" s="44" t="s">
        <v>273</v>
      </c>
      <c r="C344" s="44"/>
      <c r="D344" s="209"/>
      <c r="E344" s="209"/>
      <c r="F344" s="209"/>
      <c r="G344" s="209"/>
      <c r="H344" s="209"/>
      <c r="I344" s="209"/>
      <c r="J344" s="209"/>
      <c r="K344" s="209"/>
      <c r="L344" s="209"/>
      <c r="M344" s="209"/>
      <c r="N344" s="209"/>
      <c r="O344" s="209"/>
      <c r="P344" s="209"/>
      <c r="Q344" s="209"/>
      <c r="R344" s="209"/>
      <c r="S344" s="209"/>
      <c r="T344" s="209"/>
      <c r="U344" s="209"/>
      <c r="V344" s="209"/>
      <c r="W344" s="209"/>
      <c r="X344" s="207"/>
      <c r="Y344" s="210"/>
      <c r="Z344" s="208">
        <f>+AB64+AB63</f>
        <v>286</v>
      </c>
      <c r="AA344" s="195"/>
      <c r="AB344" s="40"/>
      <c r="AC344" s="43"/>
      <c r="AD344" s="22"/>
    </row>
    <row r="345" spans="1:30" s="23" customFormat="1" x14ac:dyDescent="0.35">
      <c r="A345" s="47"/>
      <c r="B345" s="44" t="s">
        <v>107</v>
      </c>
      <c r="C345" s="44"/>
      <c r="D345" s="209"/>
      <c r="E345" s="209"/>
      <c r="F345" s="209"/>
      <c r="G345" s="209"/>
      <c r="H345" s="209"/>
      <c r="I345" s="209"/>
      <c r="J345" s="209"/>
      <c r="K345" s="209"/>
      <c r="L345" s="209"/>
      <c r="M345" s="209"/>
      <c r="N345" s="209"/>
      <c r="O345" s="209"/>
      <c r="P345" s="209"/>
      <c r="Q345" s="209"/>
      <c r="R345" s="209"/>
      <c r="S345" s="209"/>
      <c r="T345" s="209"/>
      <c r="U345" s="209"/>
      <c r="V345" s="209"/>
      <c r="W345" s="209"/>
      <c r="X345" s="207"/>
      <c r="Y345" s="210"/>
      <c r="Z345" s="208">
        <f>+Z343+Z344</f>
        <v>634661</v>
      </c>
      <c r="AA345" s="195"/>
      <c r="AB345" s="40"/>
      <c r="AC345" s="43"/>
      <c r="AD345" s="22"/>
    </row>
    <row r="346" spans="1:30" s="23" customFormat="1" x14ac:dyDescent="0.35">
      <c r="A346" s="47"/>
      <c r="B346" s="44" t="s">
        <v>240</v>
      </c>
      <c r="C346" s="40"/>
      <c r="D346" s="201"/>
      <c r="E346" s="201"/>
      <c r="F346" s="201"/>
      <c r="G346" s="201"/>
      <c r="H346" s="201"/>
      <c r="I346" s="201"/>
      <c r="J346" s="201"/>
      <c r="K346" s="201"/>
      <c r="L346" s="201"/>
      <c r="M346" s="201"/>
      <c r="N346" s="201"/>
      <c r="O346" s="201"/>
      <c r="P346" s="201"/>
      <c r="Q346" s="201"/>
      <c r="R346" s="201"/>
      <c r="S346" s="201"/>
      <c r="T346" s="201"/>
      <c r="U346" s="201"/>
      <c r="V346" s="201"/>
      <c r="W346" s="201"/>
      <c r="X346" s="207"/>
      <c r="Y346" s="195"/>
      <c r="Z346" s="208">
        <f>+AB66</f>
        <v>634661</v>
      </c>
      <c r="AA346" s="195"/>
      <c r="AB346" s="40"/>
      <c r="AC346" s="43"/>
      <c r="AD346" s="22"/>
    </row>
    <row r="347" spans="1:30" s="23" customFormat="1" x14ac:dyDescent="0.35">
      <c r="A347" s="47"/>
      <c r="B347" s="44"/>
      <c r="C347" s="40"/>
      <c r="D347" s="201"/>
      <c r="E347" s="201"/>
      <c r="F347" s="201"/>
      <c r="G347" s="201"/>
      <c r="H347" s="201"/>
      <c r="I347" s="201"/>
      <c r="J347" s="201"/>
      <c r="K347" s="201"/>
      <c r="L347" s="201"/>
      <c r="M347" s="201"/>
      <c r="N347" s="201"/>
      <c r="O347" s="201"/>
      <c r="P347" s="201"/>
      <c r="Q347" s="201"/>
      <c r="R347" s="201"/>
      <c r="S347" s="201"/>
      <c r="T347" s="201"/>
      <c r="U347" s="201"/>
      <c r="V347" s="201"/>
      <c r="W347" s="201"/>
      <c r="X347" s="207"/>
      <c r="Y347" s="195"/>
      <c r="Z347" s="208"/>
      <c r="AA347" s="195"/>
      <c r="AB347" s="40"/>
      <c r="AC347" s="43"/>
      <c r="AD347" s="22"/>
    </row>
    <row r="348" spans="1:30" s="23" customFormat="1" x14ac:dyDescent="0.35">
      <c r="A348" s="47"/>
      <c r="B348" s="44" t="s">
        <v>299</v>
      </c>
      <c r="C348" s="40"/>
      <c r="D348" s="201"/>
      <c r="E348" s="201"/>
      <c r="F348" s="201"/>
      <c r="G348" s="201"/>
      <c r="H348" s="201"/>
      <c r="I348" s="201"/>
      <c r="J348" s="201"/>
      <c r="K348" s="201"/>
      <c r="L348" s="201"/>
      <c r="M348" s="201"/>
      <c r="N348" s="201"/>
      <c r="O348" s="201"/>
      <c r="P348" s="201"/>
      <c r="Q348" s="201"/>
      <c r="R348" s="201"/>
      <c r="S348" s="201"/>
      <c r="T348" s="201"/>
      <c r="U348" s="201"/>
      <c r="V348" s="201"/>
      <c r="W348" s="201"/>
      <c r="X348" s="207"/>
      <c r="Y348" s="195"/>
      <c r="Z348" s="232">
        <f>(F31+H31+J31+L31+N31)/AB31</f>
        <v>1</v>
      </c>
      <c r="AA348" s="195"/>
      <c r="AB348" s="40"/>
      <c r="AC348" s="43"/>
      <c r="AD348" s="22"/>
    </row>
    <row r="349" spans="1:30" s="23" customFormat="1" x14ac:dyDescent="0.35">
      <c r="A349" s="18"/>
      <c r="B349" s="20"/>
      <c r="C349" s="2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2"/>
      <c r="AA349" s="211"/>
      <c r="AB349" s="20"/>
      <c r="AC349" s="21"/>
      <c r="AD349" s="22"/>
    </row>
    <row r="350" spans="1:30" s="23" customFormat="1" x14ac:dyDescent="0.35">
      <c r="A350" s="18"/>
      <c r="B350" s="19" t="s">
        <v>62</v>
      </c>
      <c r="C350" s="20"/>
      <c r="D350" s="213" t="s">
        <v>66</v>
      </c>
      <c r="E350" s="19"/>
      <c r="F350" s="19" t="s">
        <v>67</v>
      </c>
      <c r="G350" s="20"/>
      <c r="H350" s="19"/>
      <c r="I350" s="20"/>
      <c r="J350" s="20"/>
      <c r="K350" s="20"/>
      <c r="L350" s="20"/>
      <c r="M350" s="20"/>
      <c r="N350" s="20"/>
      <c r="O350" s="20"/>
      <c r="P350" s="20"/>
      <c r="Q350" s="20"/>
      <c r="R350" s="20"/>
      <c r="S350" s="20"/>
      <c r="T350" s="20"/>
      <c r="U350" s="20"/>
      <c r="V350" s="20"/>
      <c r="W350" s="20"/>
      <c r="X350" s="20"/>
      <c r="Y350" s="20"/>
      <c r="Z350" s="20"/>
      <c r="AA350" s="20"/>
      <c r="AB350" s="20"/>
      <c r="AC350" s="21"/>
      <c r="AD350" s="22"/>
    </row>
    <row r="351" spans="1:30" s="23" customFormat="1" x14ac:dyDescent="0.35">
      <c r="A351" s="18"/>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1"/>
      <c r="AD351" s="22"/>
    </row>
    <row r="352" spans="1:30" s="23" customFormat="1" x14ac:dyDescent="0.35">
      <c r="A352" s="18"/>
      <c r="B352" s="19" t="s">
        <v>151</v>
      </c>
      <c r="C352" s="19"/>
      <c r="D352" s="214" t="s">
        <v>122</v>
      </c>
      <c r="E352" s="19"/>
      <c r="F352" s="19" t="s">
        <v>166</v>
      </c>
      <c r="G352" s="19"/>
      <c r="H352" s="19"/>
      <c r="I352" s="20"/>
      <c r="J352" s="20"/>
      <c r="K352" s="20"/>
      <c r="L352" s="20"/>
      <c r="M352" s="20"/>
      <c r="N352" s="20"/>
      <c r="O352" s="20"/>
      <c r="P352" s="20"/>
      <c r="Q352" s="20"/>
      <c r="R352" s="20"/>
      <c r="S352" s="20"/>
      <c r="T352" s="20"/>
      <c r="U352" s="20"/>
      <c r="V352" s="20"/>
      <c r="W352" s="20"/>
      <c r="X352" s="20"/>
      <c r="Y352" s="20"/>
      <c r="Z352" s="20"/>
      <c r="AA352" s="20"/>
      <c r="AB352" s="20"/>
      <c r="AC352" s="21"/>
      <c r="AD352" s="22"/>
    </row>
    <row r="353" spans="1:30" s="23" customFormat="1" x14ac:dyDescent="0.35">
      <c r="A353" s="18"/>
      <c r="B353" s="19" t="s">
        <v>152</v>
      </c>
      <c r="C353" s="19"/>
      <c r="D353" s="214" t="s">
        <v>98</v>
      </c>
      <c r="E353" s="19"/>
      <c r="F353" s="19" t="s">
        <v>167</v>
      </c>
      <c r="G353" s="19"/>
      <c r="H353" s="19"/>
      <c r="I353" s="20"/>
      <c r="J353" s="20"/>
      <c r="K353" s="20"/>
      <c r="L353" s="20"/>
      <c r="M353" s="20"/>
      <c r="N353" s="20"/>
      <c r="O353" s="20"/>
      <c r="P353" s="20"/>
      <c r="Q353" s="20"/>
      <c r="R353" s="20"/>
      <c r="S353" s="20"/>
      <c r="T353" s="20"/>
      <c r="U353" s="20"/>
      <c r="V353" s="20"/>
      <c r="W353" s="20"/>
      <c r="X353" s="20"/>
      <c r="Y353" s="20"/>
      <c r="Z353" s="20"/>
      <c r="AA353" s="20"/>
      <c r="AB353" s="20"/>
      <c r="AC353" s="21"/>
      <c r="AD353" s="22"/>
    </row>
    <row r="354" spans="1:30" s="23" customFormat="1" x14ac:dyDescent="0.35">
      <c r="A354" s="18"/>
      <c r="B354" s="19"/>
      <c r="C354" s="19"/>
      <c r="D354" s="214"/>
      <c r="E354" s="19"/>
      <c r="F354" s="19"/>
      <c r="G354" s="19"/>
      <c r="H354" s="19"/>
      <c r="I354" s="20"/>
      <c r="J354" s="20"/>
      <c r="K354" s="20"/>
      <c r="L354" s="20"/>
      <c r="M354" s="20"/>
      <c r="N354" s="20"/>
      <c r="O354" s="20"/>
      <c r="P354" s="20"/>
      <c r="Q354" s="20"/>
      <c r="R354" s="20"/>
      <c r="S354" s="20"/>
      <c r="T354" s="20"/>
      <c r="U354" s="20"/>
      <c r="V354" s="20"/>
      <c r="W354" s="20"/>
      <c r="X354" s="20"/>
      <c r="Y354" s="20"/>
      <c r="Z354" s="20"/>
      <c r="AA354" s="20"/>
      <c r="AB354" s="20"/>
      <c r="AC354" s="21"/>
      <c r="AD354" s="22"/>
    </row>
    <row r="355" spans="1:30" ht="18.5" x14ac:dyDescent="0.45">
      <c r="A355" s="215"/>
      <c r="B355" s="254" t="s">
        <v>109</v>
      </c>
      <c r="C355" s="216"/>
      <c r="D355" s="217"/>
      <c r="E355" s="217"/>
      <c r="F355" s="217"/>
      <c r="G355" s="217"/>
      <c r="H355" s="217"/>
      <c r="I355" s="217"/>
      <c r="J355" s="217"/>
      <c r="K355" s="217"/>
      <c r="L355" s="217"/>
      <c r="M355" s="217"/>
      <c r="N355" s="217"/>
      <c r="O355" s="217"/>
      <c r="P355" s="255" t="s">
        <v>165</v>
      </c>
      <c r="Q355" s="217"/>
      <c r="R355" s="217"/>
      <c r="S355" s="217"/>
      <c r="T355" s="217"/>
      <c r="U355" s="217"/>
      <c r="V355" s="217"/>
      <c r="W355" s="217"/>
      <c r="X355" s="217"/>
      <c r="Y355" s="217"/>
      <c r="Z355" s="217"/>
      <c r="AA355" s="217"/>
      <c r="AB355" s="217"/>
      <c r="AC355" s="218"/>
      <c r="AD355" s="5"/>
    </row>
    <row r="356" spans="1:30" ht="18.5" x14ac:dyDescent="0.45">
      <c r="A356" s="215"/>
      <c r="B356" s="254"/>
      <c r="C356" s="216"/>
      <c r="D356" s="217"/>
      <c r="E356" s="217"/>
      <c r="F356" s="217"/>
      <c r="G356" s="217"/>
      <c r="H356" s="217"/>
      <c r="I356" s="217"/>
      <c r="J356" s="217"/>
      <c r="K356" s="217"/>
      <c r="L356" s="217"/>
      <c r="M356" s="217"/>
      <c r="N356" s="217"/>
      <c r="O356" s="217"/>
      <c r="P356" s="255"/>
      <c r="Q356" s="217"/>
      <c r="R356" s="217"/>
      <c r="S356" s="217"/>
      <c r="T356" s="217"/>
      <c r="U356" s="217"/>
      <c r="V356" s="217"/>
      <c r="W356" s="217"/>
      <c r="X356" s="217"/>
      <c r="Y356" s="217"/>
      <c r="Z356" s="217"/>
      <c r="AA356" s="217"/>
      <c r="AB356" s="217"/>
      <c r="AC356" s="218"/>
      <c r="AD356" s="5"/>
    </row>
    <row r="357" spans="1:30" ht="19" thickBot="1" x14ac:dyDescent="0.5">
      <c r="A357" s="215"/>
      <c r="B357" s="219" t="str">
        <f>B243</f>
        <v>PM28 INVESTOR REPORT QUARTER ENDING NOVEMBER 2022</v>
      </c>
      <c r="C357" s="216"/>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20"/>
      <c r="AD357" s="5"/>
    </row>
    <row r="358" spans="1:30" x14ac:dyDescent="0.3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row>
    <row r="359" spans="1:30" x14ac:dyDescent="0.35">
      <c r="B359" s="273" t="s">
        <v>349</v>
      </c>
    </row>
    <row r="360" spans="1:30" x14ac:dyDescent="0.35">
      <c r="B360" s="265" t="s">
        <v>352</v>
      </c>
    </row>
    <row r="361" spans="1:30" x14ac:dyDescent="0.35">
      <c r="B361" s="305" t="s">
        <v>348</v>
      </c>
    </row>
  </sheetData>
  <hyperlinks>
    <hyperlink ref="K9" r:id="rId1" display="http://www.paragon-group.co.uk" xr:uid="{06D544AA-F5DE-488B-AEED-ECEC35E1DA7D}"/>
    <hyperlink ref="P355" r:id="rId2" xr:uid="{FFDDAC17-1984-46AE-BFEB-74901775375F}"/>
    <hyperlink ref="P283" r:id="rId3" xr:uid="{74DE539C-8415-4B03-8A5D-1737FAC8996F}"/>
    <hyperlink ref="B361" r:id="rId4" display="https://investorreporting.paragonbankinggroup.co.uk/bondinvestor_viewer/resources/bondinvestor/pdf/investornews/2021/libor-mortgages-transition-july-19" xr:uid="{CB147307-A032-4431-A4A4-DB3E6AAD77E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2" max="18" man="1"/>
    <brk id="243" max="18" man="1"/>
  </rowBreaks>
  <colBreaks count="1" manualBreakCount="1">
    <brk id="29" max="299"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70</vt:i4>
      </vt:variant>
    </vt:vector>
  </HeadingPairs>
  <TitlesOfParts>
    <vt:vector size="84" baseType="lpstr">
      <vt:lpstr>November 20</vt:lpstr>
      <vt:lpstr>February 21</vt:lpstr>
      <vt:lpstr>May 21</vt:lpstr>
      <vt:lpstr>August 21</vt:lpstr>
      <vt:lpstr>November 21</vt:lpstr>
      <vt:lpstr>February 22</vt:lpstr>
      <vt:lpstr>May 22</vt:lpstr>
      <vt:lpstr>August 22</vt:lpstr>
      <vt:lpstr>November 22</vt:lpstr>
      <vt:lpstr>February 23</vt:lpstr>
      <vt:lpstr>May 23</vt:lpstr>
      <vt:lpstr>August 23</vt:lpstr>
      <vt:lpstr>November 23</vt:lpstr>
      <vt:lpstr>February 24</vt:lpstr>
      <vt:lpstr>'August 21'!_1PAGE_1</vt:lpstr>
      <vt:lpstr>'August 22'!_1PAGE_1</vt:lpstr>
      <vt:lpstr>'August 23'!_1PAGE_1</vt:lpstr>
      <vt:lpstr>'February 21'!_1PAGE_1</vt:lpstr>
      <vt:lpstr>'February 22'!_1PAGE_1</vt:lpstr>
      <vt:lpstr>'February 23'!_1PAGE_1</vt:lpstr>
      <vt:lpstr>'February 24'!_1PAGE_1</vt:lpstr>
      <vt:lpstr>'May 21'!_1PAGE_1</vt:lpstr>
      <vt:lpstr>'May 22'!_1PAGE_1</vt:lpstr>
      <vt:lpstr>'May 23'!_1PAGE_1</vt:lpstr>
      <vt:lpstr>'November 20'!_1PAGE_1</vt:lpstr>
      <vt:lpstr>'November 21'!_1PAGE_1</vt:lpstr>
      <vt:lpstr>'November 22'!_1PAGE_1</vt:lpstr>
      <vt:lpstr>'November 23'!_1PAGE_1</vt:lpstr>
      <vt:lpstr>'August 21'!_3PAGE_2</vt:lpstr>
      <vt:lpstr>'August 22'!_3PAGE_2</vt:lpstr>
      <vt:lpstr>'August 23'!_3PAGE_2</vt:lpstr>
      <vt:lpstr>'February 21'!_3PAGE_2</vt:lpstr>
      <vt:lpstr>'February 22'!_3PAGE_2</vt:lpstr>
      <vt:lpstr>'February 23'!_3PAGE_2</vt:lpstr>
      <vt:lpstr>'February 24'!_3PAGE_2</vt:lpstr>
      <vt:lpstr>'May 21'!_3PAGE_2</vt:lpstr>
      <vt:lpstr>'May 22'!_3PAGE_2</vt:lpstr>
      <vt:lpstr>'May 23'!_3PAGE_2</vt:lpstr>
      <vt:lpstr>'November 20'!_3PAGE_2</vt:lpstr>
      <vt:lpstr>'November 21'!_3PAGE_2</vt:lpstr>
      <vt:lpstr>'November 22'!_3PAGE_2</vt:lpstr>
      <vt:lpstr>'November 23'!_3PAGE_2</vt:lpstr>
      <vt:lpstr>'August 21'!_5PAGE_3</vt:lpstr>
      <vt:lpstr>'August 22'!_5PAGE_3</vt:lpstr>
      <vt:lpstr>'August 23'!_5PAGE_3</vt:lpstr>
      <vt:lpstr>'February 21'!_5PAGE_3</vt:lpstr>
      <vt:lpstr>'February 22'!_5PAGE_3</vt:lpstr>
      <vt:lpstr>'February 23'!_5PAGE_3</vt:lpstr>
      <vt:lpstr>'February 24'!_5PAGE_3</vt:lpstr>
      <vt:lpstr>'May 21'!_5PAGE_3</vt:lpstr>
      <vt:lpstr>'May 22'!_5PAGE_3</vt:lpstr>
      <vt:lpstr>'May 23'!_5PAGE_3</vt:lpstr>
      <vt:lpstr>'November 20'!_5PAGE_3</vt:lpstr>
      <vt:lpstr>'November 21'!_5PAGE_3</vt:lpstr>
      <vt:lpstr>'November 22'!_5PAGE_3</vt:lpstr>
      <vt:lpstr>'November 23'!_5PAGE_3</vt:lpstr>
      <vt:lpstr>'August 21'!_7PAGE_4</vt:lpstr>
      <vt:lpstr>'August 22'!_7PAGE_4</vt:lpstr>
      <vt:lpstr>'August 23'!_7PAGE_4</vt:lpstr>
      <vt:lpstr>'February 21'!_7PAGE_4</vt:lpstr>
      <vt:lpstr>'February 22'!_7PAGE_4</vt:lpstr>
      <vt:lpstr>'February 23'!_7PAGE_4</vt:lpstr>
      <vt:lpstr>'February 24'!_7PAGE_4</vt:lpstr>
      <vt:lpstr>'May 21'!_7PAGE_4</vt:lpstr>
      <vt:lpstr>'May 22'!_7PAGE_4</vt:lpstr>
      <vt:lpstr>'May 23'!_7PAGE_4</vt:lpstr>
      <vt:lpstr>'November 20'!_7PAGE_4</vt:lpstr>
      <vt:lpstr>'November 21'!_7PAGE_4</vt:lpstr>
      <vt:lpstr>'November 22'!_7PAGE_4</vt:lpstr>
      <vt:lpstr>'November 23'!_7PAGE_4</vt:lpstr>
      <vt:lpstr>'August 21'!Print_Area</vt:lpstr>
      <vt:lpstr>'August 22'!Print_Area</vt:lpstr>
      <vt:lpstr>'August 23'!Print_Area</vt:lpstr>
      <vt:lpstr>'February 21'!Print_Area</vt:lpstr>
      <vt:lpstr>'February 22'!Print_Area</vt:lpstr>
      <vt:lpstr>'February 23'!Print_Area</vt:lpstr>
      <vt:lpstr>'February 24'!Print_Area</vt:lpstr>
      <vt:lpstr>'May 21'!Print_Area</vt:lpstr>
      <vt:lpstr>'May 22'!Print_Area</vt:lpstr>
      <vt:lpstr>'May 23'!Print_Area</vt:lpstr>
      <vt:lpstr>'November 20'!Print_Area</vt:lpstr>
      <vt:lpstr>'November 21'!Print_Area</vt:lpstr>
      <vt:lpstr>'November 22'!Print_Area</vt:lpstr>
      <vt:lpstr>'November 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2019-11-26T09:11:43Z</cp:lastPrinted>
  <dcterms:created xsi:type="dcterms:W3CDTF">2003-11-18T07:58:35Z</dcterms:created>
  <dcterms:modified xsi:type="dcterms:W3CDTF">2024-03-18T08:07:28Z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