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N:\JPG\Investor Reporting\Paragon Finance\PM27\"/>
    </mc:Choice>
  </mc:AlternateContent>
  <xr:revisionPtr revIDLastSave="0" documentId="13_ncr:1_{D08EE3D7-9B8E-421B-B981-370631FCB630}" xr6:coauthVersionLast="47" xr6:coauthVersionMax="47" xr10:uidLastSave="{00000000-0000-0000-0000-000000000000}"/>
  <bookViews>
    <workbookView xWindow="-108" yWindow="-108" windowWidth="20376" windowHeight="12216" firstSheet="10" activeTab="15" xr2:uid="{00000000-000D-0000-FFFF-FFFF00000000}"/>
  </bookViews>
  <sheets>
    <sheet name="June 20" sheetId="20" r:id="rId1"/>
    <sheet name="September 2020" sheetId="21" r:id="rId2"/>
    <sheet name="December 2020" sheetId="22" r:id="rId3"/>
    <sheet name="March 2021" sheetId="23" r:id="rId4"/>
    <sheet name="June 2021" sheetId="24" r:id="rId5"/>
    <sheet name="September 2021" sheetId="25" r:id="rId6"/>
    <sheet name="December 2021" sheetId="26" r:id="rId7"/>
    <sheet name="March 2022" sheetId="27" r:id="rId8"/>
    <sheet name="June 2022" sheetId="28" r:id="rId9"/>
    <sheet name="September 2022" sheetId="29" r:id="rId10"/>
    <sheet name="December 2022" sheetId="30" r:id="rId11"/>
    <sheet name="March 2023" sheetId="31" r:id="rId12"/>
    <sheet name="June 2023" sheetId="32" r:id="rId13"/>
    <sheet name="September 2023" sheetId="33" r:id="rId14"/>
    <sheet name="December 2023" sheetId="34" r:id="rId15"/>
    <sheet name="March 2024" sheetId="35" r:id="rId16"/>
  </sheets>
  <definedNames>
    <definedName name="_1PAGE_1" localSheetId="2">'December 2020'!$A$1:$AC$53</definedName>
    <definedName name="_1PAGE_1" localSheetId="6">'December 2021'!$A$1:$AC$53</definedName>
    <definedName name="_1PAGE_1" localSheetId="10">'December 2022'!$A$1:$AC$53</definedName>
    <definedName name="_1PAGE_1" localSheetId="14">'December 2023'!$A$1:$AC$53</definedName>
    <definedName name="_1PAGE_1" localSheetId="0">'June 20'!$A$1:$AC$53</definedName>
    <definedName name="_1PAGE_1" localSheetId="4">'June 2021'!$A$1:$AC$53</definedName>
    <definedName name="_1PAGE_1" localSheetId="8">'June 2022'!$A$1:$AC$53</definedName>
    <definedName name="_1PAGE_1" localSheetId="12">'June 2023'!$A$1:$AC$53</definedName>
    <definedName name="_1PAGE_1" localSheetId="3">'March 2021'!$A$1:$AC$53</definedName>
    <definedName name="_1PAGE_1" localSheetId="7">'March 2022'!$A$1:$AC$53</definedName>
    <definedName name="_1PAGE_1" localSheetId="11">'March 2023'!$A$1:$AC$53</definedName>
    <definedName name="_1PAGE_1" localSheetId="15">'March 2024'!$A$1:$AC$53</definedName>
    <definedName name="_1PAGE_1" localSheetId="1">'September 2020'!$A$1:$AC$53</definedName>
    <definedName name="_1PAGE_1" localSheetId="5">'September 2021'!$A$1:$AC$53</definedName>
    <definedName name="_1PAGE_1" localSheetId="9">'September 2022'!$A$1:$AC$53</definedName>
    <definedName name="_1PAGE_1" localSheetId="13">'September 2023'!$A$1:$AC$53</definedName>
    <definedName name="_2PAGE_1" localSheetId="2">#REF!</definedName>
    <definedName name="_2PAGE_1" localSheetId="6">#REF!</definedName>
    <definedName name="_2PAGE_1" localSheetId="10">#REF!</definedName>
    <definedName name="_2PAGE_1" localSheetId="14">#REF!</definedName>
    <definedName name="_2PAGE_1" localSheetId="0">#REF!</definedName>
    <definedName name="_2PAGE_1" localSheetId="4">#REF!</definedName>
    <definedName name="_2PAGE_1" localSheetId="8">#REF!</definedName>
    <definedName name="_2PAGE_1" localSheetId="12">#REF!</definedName>
    <definedName name="_2PAGE_1" localSheetId="3">#REF!</definedName>
    <definedName name="_2PAGE_1" localSheetId="7">#REF!</definedName>
    <definedName name="_2PAGE_1" localSheetId="11">#REF!</definedName>
    <definedName name="_2PAGE_1" localSheetId="15">#REF!</definedName>
    <definedName name="_2PAGE_1" localSheetId="1">#REF!</definedName>
    <definedName name="_2PAGE_1" localSheetId="5">#REF!</definedName>
    <definedName name="_2PAGE_1" localSheetId="9">#REF!</definedName>
    <definedName name="_2PAGE_1" localSheetId="13">#REF!</definedName>
    <definedName name="_2PAGE_1">#REF!</definedName>
    <definedName name="_3PAGE_2" localSheetId="2">'December 2020'!$A$54:$AC$131</definedName>
    <definedName name="_3PAGE_2" localSheetId="6">'December 2021'!$A$54:$AC$131</definedName>
    <definedName name="_3PAGE_2" localSheetId="10">'December 2022'!$A$54:$AC$131</definedName>
    <definedName name="_3PAGE_2" localSheetId="14">'December 2023'!$A$54:$AC$131</definedName>
    <definedName name="_3PAGE_2" localSheetId="0">'June 20'!$A$54:$AC$131</definedName>
    <definedName name="_3PAGE_2" localSheetId="4">'June 2021'!$A$54:$AC$131</definedName>
    <definedName name="_3PAGE_2" localSheetId="8">'June 2022'!$A$54:$AC$131</definedName>
    <definedName name="_3PAGE_2" localSheetId="12">'June 2023'!$A$54:$AC$131</definedName>
    <definedName name="_3PAGE_2" localSheetId="3">'March 2021'!$A$54:$AC$131</definedName>
    <definedName name="_3PAGE_2" localSheetId="7">'March 2022'!$A$54:$AC$131</definedName>
    <definedName name="_3PAGE_2" localSheetId="11">'March 2023'!$A$54:$AC$131</definedName>
    <definedName name="_3PAGE_2" localSheetId="15">'March 2024'!$A$54:$AC$131</definedName>
    <definedName name="_3PAGE_2" localSheetId="1">'September 2020'!$A$54:$AC$131</definedName>
    <definedName name="_3PAGE_2" localSheetId="5">'September 2021'!$A$54:$AC$131</definedName>
    <definedName name="_3PAGE_2" localSheetId="9">'September 2022'!$A$54:$AC$131</definedName>
    <definedName name="_3PAGE_2" localSheetId="13">'September 2023'!$A$54:$AC$131</definedName>
    <definedName name="_4PAGE_2" localSheetId="2">#REF!</definedName>
    <definedName name="_4PAGE_2" localSheetId="6">#REF!</definedName>
    <definedName name="_4PAGE_2" localSheetId="10">#REF!</definedName>
    <definedName name="_4PAGE_2" localSheetId="14">#REF!</definedName>
    <definedName name="_4PAGE_2" localSheetId="0">#REF!</definedName>
    <definedName name="_4PAGE_2" localSheetId="4">#REF!</definedName>
    <definedName name="_4PAGE_2" localSheetId="8">#REF!</definedName>
    <definedName name="_4PAGE_2" localSheetId="12">#REF!</definedName>
    <definedName name="_4PAGE_2" localSheetId="3">#REF!</definedName>
    <definedName name="_4PAGE_2" localSheetId="7">#REF!</definedName>
    <definedName name="_4PAGE_2" localSheetId="11">#REF!</definedName>
    <definedName name="_4PAGE_2" localSheetId="15">#REF!</definedName>
    <definedName name="_4PAGE_2" localSheetId="1">#REF!</definedName>
    <definedName name="_4PAGE_2" localSheetId="5">#REF!</definedName>
    <definedName name="_4PAGE_2" localSheetId="9">#REF!</definedName>
    <definedName name="_4PAGE_2" localSheetId="13">#REF!</definedName>
    <definedName name="_4PAGE_2">#REF!</definedName>
    <definedName name="_5PAGE_3" localSheetId="2">'December 2020'!$A$132:$AC$234</definedName>
    <definedName name="_5PAGE_3" localSheetId="6">'December 2021'!$A$132:$AC$234</definedName>
    <definedName name="_5PAGE_3" localSheetId="10">'December 2022'!$A$132:$AC$234</definedName>
    <definedName name="_5PAGE_3" localSheetId="14">'December 2023'!$A$132:$AC$234</definedName>
    <definedName name="_5PAGE_3" localSheetId="0">'June 20'!$A$132:$AC$234</definedName>
    <definedName name="_5PAGE_3" localSheetId="4">'June 2021'!$A$132:$AC$234</definedName>
    <definedName name="_5PAGE_3" localSheetId="8">'June 2022'!$A$132:$AC$234</definedName>
    <definedName name="_5PAGE_3" localSheetId="12">'June 2023'!$A$132:$AC$234</definedName>
    <definedName name="_5PAGE_3" localSheetId="3">'March 2021'!$A$132:$AC$234</definedName>
    <definedName name="_5PAGE_3" localSheetId="7">'March 2022'!$A$132:$AC$234</definedName>
    <definedName name="_5PAGE_3" localSheetId="11">'March 2023'!$A$132:$AC$234</definedName>
    <definedName name="_5PAGE_3" localSheetId="15">'March 2024'!$A$132:$AC$234</definedName>
    <definedName name="_5PAGE_3" localSheetId="1">'September 2020'!$A$132:$AC$234</definedName>
    <definedName name="_5PAGE_3" localSheetId="5">'September 2021'!$A$132:$AC$234</definedName>
    <definedName name="_5PAGE_3" localSheetId="9">'September 2022'!$A$132:$AC$234</definedName>
    <definedName name="_5PAGE_3" localSheetId="13">'September 2023'!$A$132:$AC$234</definedName>
    <definedName name="_6PAGE_3" localSheetId="2">#REF!</definedName>
    <definedName name="_6PAGE_3" localSheetId="6">#REF!</definedName>
    <definedName name="_6PAGE_3" localSheetId="10">#REF!</definedName>
    <definedName name="_6PAGE_3" localSheetId="14">#REF!</definedName>
    <definedName name="_6PAGE_3" localSheetId="0">#REF!</definedName>
    <definedName name="_6PAGE_3" localSheetId="4">#REF!</definedName>
    <definedName name="_6PAGE_3" localSheetId="8">#REF!</definedName>
    <definedName name="_6PAGE_3" localSheetId="12">#REF!</definedName>
    <definedName name="_6PAGE_3" localSheetId="3">#REF!</definedName>
    <definedName name="_6PAGE_3" localSheetId="7">#REF!</definedName>
    <definedName name="_6PAGE_3" localSheetId="11">#REF!</definedName>
    <definedName name="_6PAGE_3" localSheetId="15">#REF!</definedName>
    <definedName name="_6PAGE_3" localSheetId="1">#REF!</definedName>
    <definedName name="_6PAGE_3" localSheetId="5">#REF!</definedName>
    <definedName name="_6PAGE_3" localSheetId="9">#REF!</definedName>
    <definedName name="_6PAGE_3" localSheetId="13">#REF!</definedName>
    <definedName name="_6PAGE_3">#REF!</definedName>
    <definedName name="_7PAGE_4" localSheetId="2">'December 2020'!$A$235:$AC$365</definedName>
    <definedName name="_7PAGE_4" localSheetId="6">'December 2021'!$A$235:$AC$348</definedName>
    <definedName name="_7PAGE_4" localSheetId="10">'December 2022'!$A$235:$AC$348</definedName>
    <definedName name="_7PAGE_4" localSheetId="14">'December 2023'!$A$235:$AC$348</definedName>
    <definedName name="_7PAGE_4" localSheetId="0">'June 20'!$A$235:$AC$365</definedName>
    <definedName name="_7PAGE_4" localSheetId="4">'June 2021'!$A$235:$AC$365</definedName>
    <definedName name="_7PAGE_4" localSheetId="8">'June 2022'!$A$235:$AC$348</definedName>
    <definedName name="_7PAGE_4" localSheetId="12">'June 2023'!$A$235:$AC$348</definedName>
    <definedName name="_7PAGE_4" localSheetId="3">'March 2021'!$A$235:$AC$365</definedName>
    <definedName name="_7PAGE_4" localSheetId="7">'March 2022'!$A$235:$AC$348</definedName>
    <definedName name="_7PAGE_4" localSheetId="11">'March 2023'!$A$235:$AC$348</definedName>
    <definedName name="_7PAGE_4" localSheetId="15">'March 2024'!$A$235:$AC$348</definedName>
    <definedName name="_7PAGE_4" localSheetId="1">'September 2020'!$A$235:$AC$365</definedName>
    <definedName name="_7PAGE_4" localSheetId="5">'September 2021'!$A$235:$AC$365</definedName>
    <definedName name="_7PAGE_4" localSheetId="9">'September 2022'!$A$235:$AC$348</definedName>
    <definedName name="_7PAGE_4" localSheetId="13">'September 2023'!$A$235:$AC$348</definedName>
    <definedName name="_8PAGE_4" localSheetId="2">#REF!</definedName>
    <definedName name="_8PAGE_4" localSheetId="6">#REF!</definedName>
    <definedName name="_8PAGE_4" localSheetId="10">#REF!</definedName>
    <definedName name="_8PAGE_4" localSheetId="14">#REF!</definedName>
    <definedName name="_8PAGE_4" localSheetId="0">#REF!</definedName>
    <definedName name="_8PAGE_4" localSheetId="4">#REF!</definedName>
    <definedName name="_8PAGE_4" localSheetId="8">#REF!</definedName>
    <definedName name="_8PAGE_4" localSheetId="12">#REF!</definedName>
    <definedName name="_8PAGE_4" localSheetId="3">#REF!</definedName>
    <definedName name="_8PAGE_4" localSheetId="7">#REF!</definedName>
    <definedName name="_8PAGE_4" localSheetId="11">#REF!</definedName>
    <definedName name="_8PAGE_4" localSheetId="15">#REF!</definedName>
    <definedName name="_8PAGE_4" localSheetId="1">#REF!</definedName>
    <definedName name="_8PAGE_4" localSheetId="5">#REF!</definedName>
    <definedName name="_8PAGE_4" localSheetId="9">#REF!</definedName>
    <definedName name="_8PAGE_4" localSheetId="13">#REF!</definedName>
    <definedName name="_8PAGE_4">#REF!</definedName>
    <definedName name="_xlnm.Print_Area" localSheetId="2">'December 2020'!$A$1:$AC$366</definedName>
    <definedName name="_xlnm.Print_Area" localSheetId="6">'December 2021'!$A$1:$AC$349</definedName>
    <definedName name="_xlnm.Print_Area" localSheetId="10">'December 2022'!$A$1:$AC$349</definedName>
    <definedName name="_xlnm.Print_Area" localSheetId="14">'December 2023'!$A$1:$AC$349</definedName>
    <definedName name="_xlnm.Print_Area" localSheetId="0">'June 20'!$A$1:$AC$366</definedName>
    <definedName name="_xlnm.Print_Area" localSheetId="4">'June 2021'!$A$1:$AC$366</definedName>
    <definedName name="_xlnm.Print_Area" localSheetId="8">'June 2022'!$A$1:$AC$349</definedName>
    <definedName name="_xlnm.Print_Area" localSheetId="12">'June 2023'!$A$1:$AC$349</definedName>
    <definedName name="_xlnm.Print_Area" localSheetId="3">'March 2021'!$A$1:$AC$366</definedName>
    <definedName name="_xlnm.Print_Area" localSheetId="7">'March 2022'!$A$1:$AC$349</definedName>
    <definedName name="_xlnm.Print_Area" localSheetId="11">'March 2023'!$A$1:$AC$349</definedName>
    <definedName name="_xlnm.Print_Area" localSheetId="15">'March 2024'!$A$1:$AC$349</definedName>
    <definedName name="_xlnm.Print_Area" localSheetId="1">'September 2020'!$A$1:$AC$366</definedName>
    <definedName name="_xlnm.Print_Area" localSheetId="5">'September 2021'!$A$1:$AC$366</definedName>
    <definedName name="_xlnm.Print_Area" localSheetId="9">'September 2022'!$A$1:$AC$349</definedName>
    <definedName name="_xlnm.Print_Area" localSheetId="13">'September 2023'!$A$1:$AC$349</definedName>
    <definedName name="_xlnm.Print_Are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243" i="35" l="1"/>
  <c r="Z73" i="35" l="1"/>
  <c r="AB74" i="35" l="1"/>
  <c r="AB111" i="35"/>
  <c r="AB90" i="35"/>
  <c r="AB75" i="35"/>
  <c r="T57" i="35"/>
  <c r="AA308" i="35" l="1"/>
  <c r="AA306" i="35"/>
  <c r="Y308" i="35"/>
  <c r="Y306" i="35"/>
  <c r="Z208" i="35" l="1"/>
  <c r="Z210" i="35" s="1"/>
  <c r="Y208" i="35"/>
  <c r="Y210" i="35" s="1"/>
  <c r="AB200" i="35"/>
  <c r="AB192" i="35"/>
  <c r="AB184" i="35"/>
  <c r="AB176" i="35"/>
  <c r="AB159" i="35"/>
  <c r="AB136" i="35"/>
  <c r="AB143" i="35" s="1"/>
  <c r="AA332" i="35"/>
  <c r="Z332" i="35"/>
  <c r="Z259" i="35" s="1"/>
  <c r="Y332" i="35"/>
  <c r="X332" i="35"/>
  <c r="Z320" i="35"/>
  <c r="AA318" i="35" s="1"/>
  <c r="X320" i="35"/>
  <c r="Y318" i="35" s="1"/>
  <c r="Z310" i="35"/>
  <c r="AA304" i="35" s="1"/>
  <c r="X310" i="35"/>
  <c r="Y307" i="35" s="1"/>
  <c r="Z298" i="35"/>
  <c r="AA292" i="35" s="1"/>
  <c r="X298" i="35"/>
  <c r="Y296" i="35" s="1"/>
  <c r="Z284" i="35"/>
  <c r="X284" i="35"/>
  <c r="Z283" i="35"/>
  <c r="X283" i="35"/>
  <c r="Z282" i="35"/>
  <c r="X282" i="35"/>
  <c r="Z281" i="35"/>
  <c r="X281" i="35"/>
  <c r="Z280" i="35"/>
  <c r="X280" i="35"/>
  <c r="Z279" i="35"/>
  <c r="X279" i="35"/>
  <c r="Z278" i="35"/>
  <c r="X278" i="35"/>
  <c r="Z277" i="35"/>
  <c r="X277" i="35"/>
  <c r="Z263" i="35"/>
  <c r="Z264" i="35" s="1"/>
  <c r="Z261" i="35"/>
  <c r="Z260" i="35"/>
  <c r="Y259" i="35"/>
  <c r="Z239" i="35"/>
  <c r="AB217" i="35"/>
  <c r="AB209" i="35"/>
  <c r="Y207" i="35"/>
  <c r="AB202" i="35"/>
  <c r="AB194" i="35"/>
  <c r="AB193" i="35"/>
  <c r="AB186" i="35"/>
  <c r="AB187" i="35" s="1"/>
  <c r="AB178" i="35"/>
  <c r="AB177" i="35"/>
  <c r="AB171" i="35"/>
  <c r="AB169" i="35"/>
  <c r="AB168" i="35"/>
  <c r="AB160" i="35"/>
  <c r="AB147" i="35"/>
  <c r="AB156" i="35" s="1"/>
  <c r="AB146" i="35"/>
  <c r="AB135" i="35"/>
  <c r="B131" i="35"/>
  <c r="B234" i="35" s="1"/>
  <c r="B348" i="35" s="1"/>
  <c r="Z127" i="35"/>
  <c r="Z99" i="35"/>
  <c r="AB127" i="35"/>
  <c r="Z84" i="35"/>
  <c r="AB80" i="35"/>
  <c r="Z72" i="35"/>
  <c r="Z71" i="35"/>
  <c r="Z70" i="35"/>
  <c r="T69" i="35"/>
  <c r="AB64" i="35"/>
  <c r="AB63" i="35"/>
  <c r="Z60" i="35"/>
  <c r="X60" i="35"/>
  <c r="V60" i="35"/>
  <c r="R60" i="35"/>
  <c r="R66" i="35" s="1"/>
  <c r="P60" i="35"/>
  <c r="P66" i="35" s="1"/>
  <c r="AB58" i="35"/>
  <c r="X48" i="35"/>
  <c r="X47" i="35"/>
  <c r="AB41" i="35"/>
  <c r="P31" i="35"/>
  <c r="N31" i="35"/>
  <c r="L31" i="35"/>
  <c r="J31" i="35"/>
  <c r="H31" i="35"/>
  <c r="F31" i="35"/>
  <c r="R30" i="35"/>
  <c r="P30" i="35"/>
  <c r="N30" i="35"/>
  <c r="L30" i="35"/>
  <c r="J30" i="35"/>
  <c r="H30" i="35"/>
  <c r="F30" i="35"/>
  <c r="AB29" i="35"/>
  <c r="AB31" i="34"/>
  <c r="AA317" i="35" l="1"/>
  <c r="AA307" i="35"/>
  <c r="Y258" i="35"/>
  <c r="AB203" i="35"/>
  <c r="AA316" i="35"/>
  <c r="AA295" i="35"/>
  <c r="T60" i="35"/>
  <c r="Z286" i="35"/>
  <c r="AA279" i="35" s="1"/>
  <c r="AB179" i="35"/>
  <c r="Z335" i="35"/>
  <c r="Y293" i="35"/>
  <c r="AB42" i="35"/>
  <c r="Z83" i="35"/>
  <c r="Z86" i="35" s="1"/>
  <c r="Z128" i="35" s="1"/>
  <c r="AA293" i="35"/>
  <c r="AA294" i="35"/>
  <c r="AB162" i="35"/>
  <c r="AA313" i="35"/>
  <c r="AA320" i="35" s="1"/>
  <c r="AA296" i="35"/>
  <c r="AB195" i="35"/>
  <c r="AB31" i="35"/>
  <c r="Z339" i="35" s="1"/>
  <c r="AB83" i="35"/>
  <c r="AB86" i="35" s="1"/>
  <c r="Y289" i="35"/>
  <c r="Y302" i="35"/>
  <c r="AA302" i="35"/>
  <c r="AB170" i="35"/>
  <c r="AA289" i="35"/>
  <c r="AB30" i="35"/>
  <c r="AB35" i="35" s="1"/>
  <c r="Z241" i="35" s="1"/>
  <c r="Z258" i="35"/>
  <c r="AA290" i="35"/>
  <c r="Y303" i="35"/>
  <c r="AA303" i="35"/>
  <c r="AA291" i="35"/>
  <c r="Y304" i="35"/>
  <c r="Z334" i="35"/>
  <c r="Z336" i="35" s="1"/>
  <c r="AB210" i="35"/>
  <c r="Y211" i="35"/>
  <c r="X334" i="35"/>
  <c r="Y290" i="35"/>
  <c r="Y294" i="35"/>
  <c r="Y316" i="35"/>
  <c r="Y313" i="35"/>
  <c r="AB57" i="35"/>
  <c r="AB60" i="35" s="1"/>
  <c r="AB66" i="35" s="1"/>
  <c r="Z337" i="35" s="1"/>
  <c r="AB208" i="35"/>
  <c r="Z253" i="35"/>
  <c r="X286" i="35"/>
  <c r="Y280" i="35" s="1"/>
  <c r="Y291" i="35"/>
  <c r="Y295" i="35"/>
  <c r="Y317" i="35"/>
  <c r="Y292" i="35"/>
  <c r="AB192" i="34"/>
  <c r="AB143" i="34"/>
  <c r="AB128" i="35" l="1"/>
  <c r="AA284" i="35"/>
  <c r="AA280" i="35"/>
  <c r="AA282" i="35"/>
  <c r="AA283" i="35"/>
  <c r="AA278" i="35"/>
  <c r="AA281" i="35"/>
  <c r="AA277" i="35"/>
  <c r="AA286" i="35" s="1"/>
  <c r="AA310" i="35"/>
  <c r="Y310" i="35"/>
  <c r="Y282" i="35"/>
  <c r="AB226" i="35"/>
  <c r="AA298" i="35"/>
  <c r="Y284" i="35"/>
  <c r="AB224" i="35"/>
  <c r="Y298" i="35"/>
  <c r="Y277" i="35"/>
  <c r="AB228" i="35"/>
  <c r="AB230" i="35"/>
  <c r="Y283" i="35"/>
  <c r="Y279" i="35"/>
  <c r="Y281" i="35"/>
  <c r="AB222" i="35"/>
  <c r="Y320" i="35"/>
  <c r="Y278" i="35"/>
  <c r="AB111" i="34"/>
  <c r="AB90" i="34"/>
  <c r="AB74" i="34"/>
  <c r="Y286" i="35" l="1"/>
  <c r="Z73" i="34"/>
  <c r="T57" i="34"/>
  <c r="AA318" i="34" l="1"/>
  <c r="Y318" i="34"/>
  <c r="Z208" i="34" l="1"/>
  <c r="Y208" i="34"/>
  <c r="AB200" i="34"/>
  <c r="AB184" i="34"/>
  <c r="AB176" i="34"/>
  <c r="AB179" i="34" s="1"/>
  <c r="AB159" i="34"/>
  <c r="AB136" i="34"/>
  <c r="AA332" i="34"/>
  <c r="Z332" i="34"/>
  <c r="Y332" i="34"/>
  <c r="X332" i="34"/>
  <c r="Z320" i="34"/>
  <c r="AA317" i="34" s="1"/>
  <c r="X320" i="34"/>
  <c r="Y316" i="34" s="1"/>
  <c r="Z310" i="34"/>
  <c r="AA307" i="34" s="1"/>
  <c r="X310" i="34"/>
  <c r="Y307" i="34" s="1"/>
  <c r="Z298" i="34"/>
  <c r="AA296" i="34" s="1"/>
  <c r="X298" i="34"/>
  <c r="Y296" i="34" s="1"/>
  <c r="Z284" i="34"/>
  <c r="X284" i="34"/>
  <c r="Z283" i="34"/>
  <c r="X283" i="34"/>
  <c r="Z282" i="34"/>
  <c r="X282" i="34"/>
  <c r="Z281" i="34"/>
  <c r="X281" i="34"/>
  <c r="Z280" i="34"/>
  <c r="X280" i="34"/>
  <c r="Z279" i="34"/>
  <c r="X279" i="34"/>
  <c r="Z278" i="34"/>
  <c r="X278" i="34"/>
  <c r="Z277" i="34"/>
  <c r="X277" i="34"/>
  <c r="Z263" i="34"/>
  <c r="Z264" i="34" s="1"/>
  <c r="Z261" i="34"/>
  <c r="Z260" i="34"/>
  <c r="Y259" i="34"/>
  <c r="Z239" i="34"/>
  <c r="AB217" i="34"/>
  <c r="Z210" i="34"/>
  <c r="AB209" i="34"/>
  <c r="Y207" i="34"/>
  <c r="AB202" i="34"/>
  <c r="AB194" i="34"/>
  <c r="AB193" i="34"/>
  <c r="AB187" i="34"/>
  <c r="AB186" i="34"/>
  <c r="AB178" i="34"/>
  <c r="AB177" i="34"/>
  <c r="AB171" i="34"/>
  <c r="AB169" i="34"/>
  <c r="AB168" i="34"/>
  <c r="AB170" i="34" s="1"/>
  <c r="AB160" i="34"/>
  <c r="AB162" i="34" s="1"/>
  <c r="AB147" i="34"/>
  <c r="AB156" i="34" s="1"/>
  <c r="AB146" i="34"/>
  <c r="AB135" i="34"/>
  <c r="B131" i="34"/>
  <c r="B234" i="34" s="1"/>
  <c r="B348" i="34" s="1"/>
  <c r="AB127" i="34"/>
  <c r="Z127" i="34"/>
  <c r="Z128" i="34" s="1"/>
  <c r="Z99" i="34"/>
  <c r="Z84" i="34"/>
  <c r="AB83" i="34"/>
  <c r="AB86" i="34" s="1"/>
  <c r="AB224" i="34" s="1"/>
  <c r="AB80" i="34"/>
  <c r="Z72" i="34"/>
  <c r="Z71" i="34"/>
  <c r="Z70" i="34"/>
  <c r="T69" i="34"/>
  <c r="AB64" i="34"/>
  <c r="AB63" i="34"/>
  <c r="Z60" i="34"/>
  <c r="X60" i="34"/>
  <c r="V60" i="34"/>
  <c r="R60" i="34"/>
  <c r="R66" i="34" s="1"/>
  <c r="P60" i="34"/>
  <c r="P66" i="34" s="1"/>
  <c r="AB58" i="34"/>
  <c r="Z253" i="34"/>
  <c r="X48" i="34"/>
  <c r="X47" i="34"/>
  <c r="AB41" i="34"/>
  <c r="P31" i="34"/>
  <c r="N31" i="34"/>
  <c r="L31" i="34"/>
  <c r="J31" i="34"/>
  <c r="H31" i="34"/>
  <c r="F31" i="34"/>
  <c r="R30" i="34"/>
  <c r="P30" i="34"/>
  <c r="N30" i="34"/>
  <c r="L30" i="34"/>
  <c r="J30" i="34"/>
  <c r="H30" i="34"/>
  <c r="F30" i="34"/>
  <c r="AB30" i="34" s="1"/>
  <c r="AB35" i="34" s="1"/>
  <c r="Z241" i="34" s="1"/>
  <c r="AB29" i="34"/>
  <c r="AB143" i="33"/>
  <c r="AB203" i="34" l="1"/>
  <c r="AB195" i="34"/>
  <c r="Z83" i="34"/>
  <c r="Z86" i="34" s="1"/>
  <c r="Z335" i="34"/>
  <c r="AB42" i="34"/>
  <c r="AA313" i="34"/>
  <c r="AA316" i="34"/>
  <c r="Y317" i="34"/>
  <c r="AA304" i="34"/>
  <c r="Y258" i="34"/>
  <c r="Z286" i="34"/>
  <c r="AA282" i="34" s="1"/>
  <c r="Z334" i="34"/>
  <c r="Z336" i="34" s="1"/>
  <c r="AA289" i="34"/>
  <c r="AA290" i="34"/>
  <c r="AA291" i="34"/>
  <c r="AA293" i="34"/>
  <c r="AA294" i="34"/>
  <c r="AA295" i="34"/>
  <c r="Y291" i="34"/>
  <c r="Y292" i="34"/>
  <c r="Y293" i="34"/>
  <c r="Y294" i="34"/>
  <c r="Y290" i="34"/>
  <c r="Y295" i="34"/>
  <c r="Y289" i="34"/>
  <c r="AB208" i="34"/>
  <c r="AB226" i="34"/>
  <c r="X286" i="34"/>
  <c r="Y281" i="34" s="1"/>
  <c r="Y302" i="34"/>
  <c r="Y210" i="34"/>
  <c r="AB210" i="34" s="1"/>
  <c r="AB228" i="34"/>
  <c r="Z258" i="34"/>
  <c r="AA302" i="34"/>
  <c r="AB230" i="34"/>
  <c r="Y303" i="34"/>
  <c r="X334" i="34"/>
  <c r="Z259" i="34"/>
  <c r="AA292" i="34"/>
  <c r="AA303" i="34"/>
  <c r="T60" i="34"/>
  <c r="Y304" i="34"/>
  <c r="Y313" i="34"/>
  <c r="Y320" i="34" s="1"/>
  <c r="AB57" i="34"/>
  <c r="AB60" i="34" s="1"/>
  <c r="AB66" i="34" s="1"/>
  <c r="Z337" i="34" s="1"/>
  <c r="AB222" i="34"/>
  <c r="Z243" i="34"/>
  <c r="Z339" i="34"/>
  <c r="AB128" i="34"/>
  <c r="AB111" i="33"/>
  <c r="AB90" i="33"/>
  <c r="AB75" i="33"/>
  <c r="AB74" i="33"/>
  <c r="AA320" i="34" l="1"/>
  <c r="AA278" i="34"/>
  <c r="AA281" i="34"/>
  <c r="AA279" i="34"/>
  <c r="AA310" i="34"/>
  <c r="AA284" i="34"/>
  <c r="AA283" i="34"/>
  <c r="AA277" i="34"/>
  <c r="AA286" i="34" s="1"/>
  <c r="AA280" i="34"/>
  <c r="Y310" i="34"/>
  <c r="AA298" i="34"/>
  <c r="Y279" i="34"/>
  <c r="Y298" i="34"/>
  <c r="Y211" i="34"/>
  <c r="Y284" i="34"/>
  <c r="Y282" i="34"/>
  <c r="Y278" i="34"/>
  <c r="Y280" i="34"/>
  <c r="Y277" i="34"/>
  <c r="Y286" i="34" s="1"/>
  <c r="Y283" i="34"/>
  <c r="T57" i="33"/>
  <c r="Z264" i="33" l="1"/>
  <c r="Z208" i="33"/>
  <c r="Z210" i="33" s="1"/>
  <c r="Y208" i="33"/>
  <c r="AB208" i="33" s="1"/>
  <c r="AB200" i="33"/>
  <c r="AB192" i="33"/>
  <c r="AB195" i="33" s="1"/>
  <c r="AB184" i="33"/>
  <c r="AB176" i="33"/>
  <c r="AB179" i="33" s="1"/>
  <c r="AB159" i="33"/>
  <c r="AB162" i="33" s="1"/>
  <c r="AB136" i="33"/>
  <c r="AA332" i="33"/>
  <c r="Z332" i="33"/>
  <c r="Y332" i="33"/>
  <c r="X332" i="33"/>
  <c r="Z320" i="33"/>
  <c r="AA313" i="33" s="1"/>
  <c r="X320" i="33"/>
  <c r="Y317" i="33" s="1"/>
  <c r="Z310" i="33"/>
  <c r="AA307" i="33" s="1"/>
  <c r="X310" i="33"/>
  <c r="Y307" i="33" s="1"/>
  <c r="Y303" i="33"/>
  <c r="Y302" i="33"/>
  <c r="Z298" i="33"/>
  <c r="AA293" i="33" s="1"/>
  <c r="X298" i="33"/>
  <c r="Y296" i="33" s="1"/>
  <c r="Z284" i="33"/>
  <c r="X284" i="33"/>
  <c r="Z283" i="33"/>
  <c r="X283" i="33"/>
  <c r="Z282" i="33"/>
  <c r="X282" i="33"/>
  <c r="Z281" i="33"/>
  <c r="X281" i="33"/>
  <c r="Z280" i="33"/>
  <c r="X280" i="33"/>
  <c r="Z279" i="33"/>
  <c r="X279" i="33"/>
  <c r="Z278" i="33"/>
  <c r="X278" i="33"/>
  <c r="Z277" i="33"/>
  <c r="X277" i="33"/>
  <c r="Z263" i="33"/>
  <c r="Z261" i="33"/>
  <c r="Z260" i="33"/>
  <c r="Z259" i="33"/>
  <c r="Y259" i="33"/>
  <c r="Y258" i="33"/>
  <c r="Z239" i="33"/>
  <c r="AB217" i="33"/>
  <c r="AB209" i="33"/>
  <c r="Y207" i="33"/>
  <c r="AB202" i="33"/>
  <c r="AB194" i="33"/>
  <c r="AB193" i="33"/>
  <c r="AB187" i="33"/>
  <c r="AB186" i="33"/>
  <c r="AB178" i="33"/>
  <c r="AB177" i="33"/>
  <c r="AB171" i="33"/>
  <c r="AB169" i="33"/>
  <c r="AB168" i="33"/>
  <c r="AB170" i="33" s="1"/>
  <c r="AB160" i="33"/>
  <c r="AB147" i="33"/>
  <c r="AB156" i="33" s="1"/>
  <c r="AB146" i="33"/>
  <c r="AB135" i="33"/>
  <c r="B131" i="33"/>
  <c r="B234" i="33" s="1"/>
  <c r="B348" i="33" s="1"/>
  <c r="Z127" i="33"/>
  <c r="Z99" i="33"/>
  <c r="AB127" i="33"/>
  <c r="Z84" i="33"/>
  <c r="AB80" i="33"/>
  <c r="AB83" i="33"/>
  <c r="AB86" i="33" s="1"/>
  <c r="Z72" i="33"/>
  <c r="Z71" i="33"/>
  <c r="Z70" i="33"/>
  <c r="T69" i="33"/>
  <c r="AB64" i="33"/>
  <c r="AB63" i="33"/>
  <c r="Z335" i="33" s="1"/>
  <c r="Z60" i="33"/>
  <c r="X60" i="33"/>
  <c r="V60" i="33"/>
  <c r="T60" i="33"/>
  <c r="R60" i="33"/>
  <c r="R66" i="33" s="1"/>
  <c r="P60" i="33"/>
  <c r="P66" i="33" s="1"/>
  <c r="AB58" i="33"/>
  <c r="Z73" i="33"/>
  <c r="X48" i="33"/>
  <c r="X47" i="33"/>
  <c r="AB41" i="33"/>
  <c r="P31" i="33"/>
  <c r="N31" i="33"/>
  <c r="L31" i="33"/>
  <c r="J31" i="33"/>
  <c r="H31" i="33"/>
  <c r="F31" i="33"/>
  <c r="R30" i="33"/>
  <c r="P30" i="33"/>
  <c r="N30" i="33"/>
  <c r="L30" i="33"/>
  <c r="J30" i="33"/>
  <c r="H30" i="33"/>
  <c r="F30" i="33"/>
  <c r="AB29" i="33"/>
  <c r="Z243" i="32"/>
  <c r="AB136" i="32"/>
  <c r="Z73" i="32"/>
  <c r="AB203" i="33" l="1"/>
  <c r="AB42" i="33"/>
  <c r="AB30" i="33"/>
  <c r="AB35" i="33" s="1"/>
  <c r="Z241" i="33" s="1"/>
  <c r="AA316" i="33"/>
  <c r="AA317" i="33"/>
  <c r="AA320" i="33"/>
  <c r="Z334" i="33"/>
  <c r="AA290" i="33"/>
  <c r="AA295" i="33"/>
  <c r="AA289" i="33"/>
  <c r="AA291" i="33"/>
  <c r="AA294" i="33"/>
  <c r="X286" i="33"/>
  <c r="Y283" i="33" s="1"/>
  <c r="Y293" i="33"/>
  <c r="Y290" i="33"/>
  <c r="Y294" i="33"/>
  <c r="X334" i="33"/>
  <c r="Y295" i="33"/>
  <c r="Y284" i="33"/>
  <c r="Y291" i="33"/>
  <c r="Y289" i="33"/>
  <c r="Y292" i="33"/>
  <c r="Y310" i="33"/>
  <c r="AB226" i="33"/>
  <c r="AB224" i="33"/>
  <c r="AB128" i="33"/>
  <c r="AB230" i="33"/>
  <c r="Z243" i="33"/>
  <c r="AB222" i="33"/>
  <c r="AB228" i="33"/>
  <c r="Z336" i="33"/>
  <c r="Z83" i="33"/>
  <c r="Z86" i="33" s="1"/>
  <c r="Z128" i="33" s="1"/>
  <c r="Y278" i="33"/>
  <c r="Y282" i="33"/>
  <c r="Y210" i="33"/>
  <c r="AB210" i="33" s="1"/>
  <c r="Z258" i="33"/>
  <c r="Y277" i="33"/>
  <c r="AA302" i="33"/>
  <c r="Z286" i="33"/>
  <c r="AA279" i="33" s="1"/>
  <c r="AA292" i="33"/>
  <c r="AA296" i="33"/>
  <c r="AA303" i="33"/>
  <c r="Y304" i="33"/>
  <c r="Y313" i="33"/>
  <c r="AA304" i="33"/>
  <c r="AB57" i="33"/>
  <c r="AB60" i="33" s="1"/>
  <c r="AB66" i="33" s="1"/>
  <c r="Z337" i="33" s="1"/>
  <c r="Y316" i="33"/>
  <c r="AB31" i="33"/>
  <c r="Z339" i="33" s="1"/>
  <c r="Z253" i="33"/>
  <c r="AB30" i="32"/>
  <c r="AA298" i="33" l="1"/>
  <c r="AA277" i="33"/>
  <c r="Y279" i="33"/>
  <c r="Y281" i="33"/>
  <c r="Y280" i="33"/>
  <c r="Y298" i="33"/>
  <c r="AA284" i="33"/>
  <c r="AA280" i="33"/>
  <c r="AA282" i="33"/>
  <c r="AA283" i="33"/>
  <c r="AA281" i="33"/>
  <c r="AA310" i="33"/>
  <c r="AA278" i="33"/>
  <c r="Y320" i="33"/>
  <c r="Y211" i="33"/>
  <c r="AB90" i="32"/>
  <c r="AB75" i="32"/>
  <c r="AB74" i="32"/>
  <c r="T57" i="32"/>
  <c r="AA317" i="32"/>
  <c r="Y317" i="32"/>
  <c r="Y286" i="33" l="1"/>
  <c r="AA286" i="33"/>
  <c r="Y307" i="32"/>
  <c r="Y302" i="32"/>
  <c r="Z208" i="32" l="1"/>
  <c r="Z210" i="32" s="1"/>
  <c r="Y208" i="32"/>
  <c r="Y210" i="32" s="1"/>
  <c r="AB200" i="32"/>
  <c r="AB192" i="32"/>
  <c r="AB184" i="32"/>
  <c r="AB176" i="32"/>
  <c r="AB159" i="32"/>
  <c r="AB143" i="32"/>
  <c r="AA332" i="32"/>
  <c r="Z332" i="32"/>
  <c r="Y332" i="32"/>
  <c r="X332" i="32"/>
  <c r="Y259" i="32" s="1"/>
  <c r="Z320" i="32"/>
  <c r="AA316" i="32" s="1"/>
  <c r="X320" i="32"/>
  <c r="Y313" i="32" s="1"/>
  <c r="AA313" i="32"/>
  <c r="Z310" i="32"/>
  <c r="AA307" i="32" s="1"/>
  <c r="X310" i="32"/>
  <c r="Y303" i="32" s="1"/>
  <c r="AA304" i="32"/>
  <c r="AA303" i="32"/>
  <c r="Z298" i="32"/>
  <c r="AA291" i="32" s="1"/>
  <c r="X298" i="32"/>
  <c r="Y296" i="32" s="1"/>
  <c r="Z284" i="32"/>
  <c r="X284" i="32"/>
  <c r="Z283" i="32"/>
  <c r="X283" i="32"/>
  <c r="Z282" i="32"/>
  <c r="X282" i="32"/>
  <c r="Z281" i="32"/>
  <c r="X281" i="32"/>
  <c r="Z280" i="32"/>
  <c r="X280" i="32"/>
  <c r="Z279" i="32"/>
  <c r="X279" i="32"/>
  <c r="Z278" i="32"/>
  <c r="X278" i="32"/>
  <c r="Z277" i="32"/>
  <c r="X277" i="32"/>
  <c r="Z263" i="32"/>
  <c r="Z264" i="32" s="1"/>
  <c r="Z261" i="32"/>
  <c r="Z260" i="32"/>
  <c r="Z259" i="32"/>
  <c r="Z258" i="32"/>
  <c r="Z239" i="32"/>
  <c r="AB217" i="32"/>
  <c r="AB209" i="32"/>
  <c r="Y207" i="32"/>
  <c r="AB202" i="32"/>
  <c r="AB203" i="32"/>
  <c r="AB194" i="32"/>
  <c r="AB193" i="32"/>
  <c r="AB186" i="32"/>
  <c r="AB187" i="32" s="1"/>
  <c r="AB178" i="32"/>
  <c r="AB177" i="32"/>
  <c r="AB171" i="32"/>
  <c r="AB169" i="32"/>
  <c r="AB168" i="32"/>
  <c r="AB160" i="32"/>
  <c r="AB162" i="32" s="1"/>
  <c r="AB147" i="32"/>
  <c r="AB156" i="32" s="1"/>
  <c r="AB146" i="32"/>
  <c r="AB135" i="32"/>
  <c r="B131" i="32"/>
  <c r="B234" i="32" s="1"/>
  <c r="B348" i="32" s="1"/>
  <c r="Z127" i="32"/>
  <c r="AB111" i="32"/>
  <c r="Z99" i="32"/>
  <c r="AB127" i="32"/>
  <c r="Z84" i="32"/>
  <c r="AB80" i="32"/>
  <c r="AB83" i="32"/>
  <c r="AB86" i="32" s="1"/>
  <c r="Z72" i="32"/>
  <c r="Z71" i="32"/>
  <c r="Z70" i="32"/>
  <c r="T69" i="32"/>
  <c r="AB64" i="32"/>
  <c r="AB63" i="32"/>
  <c r="Z60" i="32"/>
  <c r="X60" i="32"/>
  <c r="V60" i="32"/>
  <c r="T60" i="32"/>
  <c r="R60" i="32"/>
  <c r="R66" i="32" s="1"/>
  <c r="P60" i="32"/>
  <c r="P66" i="32" s="1"/>
  <c r="AB58" i="32"/>
  <c r="Z253" i="32"/>
  <c r="X48" i="32"/>
  <c r="X47" i="32"/>
  <c r="AB41" i="32"/>
  <c r="AB35" i="32"/>
  <c r="Z241" i="32" s="1"/>
  <c r="P31" i="32"/>
  <c r="N31" i="32"/>
  <c r="L31" i="32"/>
  <c r="J31" i="32"/>
  <c r="H31" i="32"/>
  <c r="F31" i="32"/>
  <c r="R30" i="32"/>
  <c r="P30" i="32"/>
  <c r="N30" i="32"/>
  <c r="L30" i="32"/>
  <c r="J30" i="32"/>
  <c r="H30" i="32"/>
  <c r="F30" i="32"/>
  <c r="AB29" i="32"/>
  <c r="AA316" i="31"/>
  <c r="AA313" i="31"/>
  <c r="Y316" i="31"/>
  <c r="Y313" i="31"/>
  <c r="Z243" i="31"/>
  <c r="AB195" i="32" l="1"/>
  <c r="AB170" i="32"/>
  <c r="Z335" i="32"/>
  <c r="Z83" i="32"/>
  <c r="Z86" i="32" s="1"/>
  <c r="Z128" i="32" s="1"/>
  <c r="AA320" i="32"/>
  <c r="Y316" i="32"/>
  <c r="Y320" i="32" s="1"/>
  <c r="AA293" i="32"/>
  <c r="AA294" i="32"/>
  <c r="AA292" i="32"/>
  <c r="AA289" i="32"/>
  <c r="AA295" i="32"/>
  <c r="AA290" i="32"/>
  <c r="AA296" i="32"/>
  <c r="Y291" i="32"/>
  <c r="Y294" i="32"/>
  <c r="Y289" i="32"/>
  <c r="Y292" i="32"/>
  <c r="Y295" i="32"/>
  <c r="Y290" i="32"/>
  <c r="Y293" i="32"/>
  <c r="Z286" i="32"/>
  <c r="AA280" i="32" s="1"/>
  <c r="AA282" i="32"/>
  <c r="Z334" i="32"/>
  <c r="Z336" i="32" s="1"/>
  <c r="AA302" i="32"/>
  <c r="AA310" i="32" s="1"/>
  <c r="Y304" i="32"/>
  <c r="Y258" i="32"/>
  <c r="Y310" i="32"/>
  <c r="AB210" i="32"/>
  <c r="AB208" i="32"/>
  <c r="Y211" i="32"/>
  <c r="AB179" i="32"/>
  <c r="AB230" i="32"/>
  <c r="AB224" i="32"/>
  <c r="AB128" i="32"/>
  <c r="AB222" i="32"/>
  <c r="AB228" i="32"/>
  <c r="AB226" i="32"/>
  <c r="AA277" i="32"/>
  <c r="X334" i="32"/>
  <c r="X286" i="32"/>
  <c r="Y281" i="32" s="1"/>
  <c r="AB57" i="32"/>
  <c r="AB60" i="32" s="1"/>
  <c r="AB66" i="32" s="1"/>
  <c r="Z337" i="32" s="1"/>
  <c r="AB42" i="32"/>
  <c r="AB31" i="32"/>
  <c r="Z339" i="32" s="1"/>
  <c r="AA304" i="31"/>
  <c r="AA303" i="31"/>
  <c r="Y304" i="31"/>
  <c r="Y303" i="31"/>
  <c r="AA283" i="32" l="1"/>
  <c r="AA284" i="32"/>
  <c r="AA298" i="32"/>
  <c r="AA279" i="32"/>
  <c r="AA278" i="32"/>
  <c r="AA281" i="32"/>
  <c r="Y298" i="32"/>
  <c r="Y282" i="32"/>
  <c r="Y278" i="32"/>
  <c r="Y284" i="32"/>
  <c r="Y280" i="32"/>
  <c r="Y277" i="32"/>
  <c r="Y283" i="32"/>
  <c r="Y279" i="32"/>
  <c r="AB30" i="31"/>
  <c r="AA286" i="32" l="1"/>
  <c r="Y286" i="32"/>
  <c r="AB111" i="31"/>
  <c r="AB90" i="31"/>
  <c r="AB75" i="31"/>
  <c r="AB74" i="31"/>
  <c r="T57" i="31"/>
  <c r="AB31" i="31" l="1"/>
  <c r="Z243" i="30" l="1"/>
  <c r="Z243" i="29"/>
  <c r="Z243" i="28"/>
  <c r="Z264" i="31" l="1"/>
  <c r="Z208" i="31"/>
  <c r="Y208" i="31"/>
  <c r="Y210" i="31" s="1"/>
  <c r="AB210" i="31" s="1"/>
  <c r="AB200" i="31"/>
  <c r="AB192" i="31"/>
  <c r="AB184" i="31"/>
  <c r="AB176" i="31"/>
  <c r="AB159" i="31"/>
  <c r="AB162" i="31" s="1"/>
  <c r="AB136" i="31"/>
  <c r="AB143" i="31" s="1"/>
  <c r="AA332" i="31"/>
  <c r="Z332" i="31"/>
  <c r="Z259" i="31" s="1"/>
  <c r="Y332" i="31"/>
  <c r="X332" i="31"/>
  <c r="AA320" i="31"/>
  <c r="Z320" i="31"/>
  <c r="Y320" i="31"/>
  <c r="X320" i="31"/>
  <c r="AA310" i="31"/>
  <c r="Z310" i="31"/>
  <c r="Z258" i="31" s="1"/>
  <c r="Y310" i="31"/>
  <c r="X310" i="31"/>
  <c r="Y258" i="31" s="1"/>
  <c r="Z298" i="31"/>
  <c r="AA295" i="31" s="1"/>
  <c r="X298" i="31"/>
  <c r="Y296" i="31" s="1"/>
  <c r="Z284" i="31"/>
  <c r="X284" i="31"/>
  <c r="Z283" i="31"/>
  <c r="X283" i="31"/>
  <c r="Z282" i="31"/>
  <c r="X282" i="31"/>
  <c r="Z281" i="31"/>
  <c r="X281" i="31"/>
  <c r="Z280" i="31"/>
  <c r="X280" i="31"/>
  <c r="Z279" i="31"/>
  <c r="X279" i="31"/>
  <c r="Z278" i="31"/>
  <c r="X278" i="31"/>
  <c r="Z277" i="31"/>
  <c r="X277" i="31"/>
  <c r="Z263" i="31"/>
  <c r="Z261" i="31"/>
  <c r="Z260" i="31"/>
  <c r="Y259" i="31"/>
  <c r="Z239" i="31"/>
  <c r="AB217" i="31"/>
  <c r="AB209" i="31"/>
  <c r="Z210" i="31"/>
  <c r="Y207" i="31"/>
  <c r="AB202" i="31"/>
  <c r="AB194" i="31"/>
  <c r="AB193" i="31"/>
  <c r="AB186" i="31"/>
  <c r="AB187" i="31" s="1"/>
  <c r="AB178" i="31"/>
  <c r="AB177" i="31"/>
  <c r="AB179" i="31"/>
  <c r="AB171" i="31"/>
  <c r="AB169" i="31"/>
  <c r="AB168" i="31"/>
  <c r="AB170" i="31" s="1"/>
  <c r="AB160" i="31"/>
  <c r="AB147" i="31"/>
  <c r="AB156" i="31" s="1"/>
  <c r="AB146" i="31"/>
  <c r="AB135" i="31"/>
  <c r="B131" i="31"/>
  <c r="B234" i="31" s="1"/>
  <c r="B348" i="31" s="1"/>
  <c r="AB127" i="31"/>
  <c r="Z127" i="31"/>
  <c r="Z99" i="31"/>
  <c r="Z84" i="31"/>
  <c r="AB83" i="31"/>
  <c r="AB86" i="31" s="1"/>
  <c r="AB80" i="31"/>
  <c r="Z72" i="31"/>
  <c r="Z71" i="31"/>
  <c r="Z70" i="31"/>
  <c r="T69" i="31"/>
  <c r="R66" i="31"/>
  <c r="P66" i="31"/>
  <c r="AB64" i="31"/>
  <c r="AB63" i="31"/>
  <c r="Z335" i="31" s="1"/>
  <c r="Z60" i="31"/>
  <c r="X60" i="31"/>
  <c r="V60" i="31"/>
  <c r="R60" i="31"/>
  <c r="P60" i="31"/>
  <c r="AB58" i="31"/>
  <c r="Z73" i="31"/>
  <c r="X48" i="31"/>
  <c r="X47" i="31"/>
  <c r="AB41" i="31"/>
  <c r="P31" i="31"/>
  <c r="N31" i="31"/>
  <c r="L31" i="31"/>
  <c r="J31" i="31"/>
  <c r="H31" i="31"/>
  <c r="F31" i="31"/>
  <c r="R30" i="31"/>
  <c r="P30" i="31"/>
  <c r="N30" i="31"/>
  <c r="L30" i="31"/>
  <c r="J30" i="31"/>
  <c r="H30" i="31"/>
  <c r="F30" i="31"/>
  <c r="AB29" i="31"/>
  <c r="AB127" i="30"/>
  <c r="AA289" i="31" l="1"/>
  <c r="Z334" i="31"/>
  <c r="AA293" i="31"/>
  <c r="Y291" i="31"/>
  <c r="Y293" i="31"/>
  <c r="Y289" i="31"/>
  <c r="Y292" i="31"/>
  <c r="Y294" i="31"/>
  <c r="Y290" i="31"/>
  <c r="Y295" i="31"/>
  <c r="X334" i="31"/>
  <c r="AB195" i="31"/>
  <c r="Z336" i="31"/>
  <c r="AB42" i="31"/>
  <c r="AB35" i="31"/>
  <c r="Z241" i="31" s="1"/>
  <c r="Y211" i="31"/>
  <c r="AB203" i="31"/>
  <c r="Z339" i="31"/>
  <c r="AB228" i="31"/>
  <c r="AB128" i="31"/>
  <c r="AB226" i="31"/>
  <c r="AB222" i="31"/>
  <c r="AB224" i="31"/>
  <c r="AB230" i="31"/>
  <c r="Z83" i="31"/>
  <c r="Z86" i="31" s="1"/>
  <c r="Z128" i="31" s="1"/>
  <c r="Z286" i="31"/>
  <c r="AA280" i="31" s="1"/>
  <c r="AA292" i="31"/>
  <c r="AA296" i="31"/>
  <c r="T60" i="31"/>
  <c r="AB208" i="31"/>
  <c r="Z253" i="31"/>
  <c r="AA290" i="31"/>
  <c r="AA294" i="31"/>
  <c r="AB57" i="31"/>
  <c r="AB60" i="31" s="1"/>
  <c r="AB66" i="31" s="1"/>
  <c r="Z337" i="31" s="1"/>
  <c r="X286" i="31"/>
  <c r="Y281" i="31" s="1"/>
  <c r="AA291" i="31"/>
  <c r="AB31" i="30"/>
  <c r="AB111" i="30"/>
  <c r="AB90" i="30"/>
  <c r="AB75" i="30"/>
  <c r="AB74" i="30"/>
  <c r="Z73" i="30"/>
  <c r="AA298" i="31" l="1"/>
  <c r="Y298" i="31"/>
  <c r="AA284" i="31"/>
  <c r="AA278" i="31"/>
  <c r="AA283" i="31"/>
  <c r="AA279" i="31"/>
  <c r="AA277" i="31"/>
  <c r="AA281" i="31"/>
  <c r="Y279" i="31"/>
  <c r="Y280" i="31"/>
  <c r="Y282" i="31"/>
  <c r="Y284" i="31"/>
  <c r="Y278" i="31"/>
  <c r="Y283" i="31"/>
  <c r="AA282" i="31"/>
  <c r="Y277" i="31"/>
  <c r="T57" i="30"/>
  <c r="AA286" i="31" l="1"/>
  <c r="Y286" i="31"/>
  <c r="Z208" i="30"/>
  <c r="Z210" i="30" s="1"/>
  <c r="Y208" i="30"/>
  <c r="Y210" i="30" s="1"/>
  <c r="AB200" i="30"/>
  <c r="AB203" i="30" s="1"/>
  <c r="AB192" i="30"/>
  <c r="AB184" i="30"/>
  <c r="AB176" i="30"/>
  <c r="AB179" i="30" s="1"/>
  <c r="AB159" i="30"/>
  <c r="AB136" i="30"/>
  <c r="AA332" i="30"/>
  <c r="Z332" i="30"/>
  <c r="Y332" i="30"/>
  <c r="X332" i="30"/>
  <c r="AA320" i="30"/>
  <c r="Z320" i="30"/>
  <c r="Y320" i="30"/>
  <c r="X320" i="30"/>
  <c r="AA310" i="30"/>
  <c r="Z310" i="30"/>
  <c r="Y310" i="30"/>
  <c r="X310" i="30"/>
  <c r="Z298" i="30"/>
  <c r="AA294" i="30" s="1"/>
  <c r="X298" i="30"/>
  <c r="Y296" i="30" s="1"/>
  <c r="Z284" i="30"/>
  <c r="X284" i="30"/>
  <c r="Z283" i="30"/>
  <c r="X283" i="30"/>
  <c r="Z282" i="30"/>
  <c r="X282" i="30"/>
  <c r="Z281" i="30"/>
  <c r="X281" i="30"/>
  <c r="Z280" i="30"/>
  <c r="X280" i="30"/>
  <c r="Z279" i="30"/>
  <c r="X279" i="30"/>
  <c r="Z278" i="30"/>
  <c r="X278" i="30"/>
  <c r="Z277" i="30"/>
  <c r="X277" i="30"/>
  <c r="Z263" i="30"/>
  <c r="Z264" i="30" s="1"/>
  <c r="Z261" i="30"/>
  <c r="Z260" i="30"/>
  <c r="Z259" i="30"/>
  <c r="Y259" i="30"/>
  <c r="Z258" i="30"/>
  <c r="Y258" i="30"/>
  <c r="Z239" i="30"/>
  <c r="AB217" i="30"/>
  <c r="AB209" i="30"/>
  <c r="Y207" i="30"/>
  <c r="AB202" i="30"/>
  <c r="AB194" i="30"/>
  <c r="AB193" i="30"/>
  <c r="AB187" i="30"/>
  <c r="AB186" i="30"/>
  <c r="AB178" i="30"/>
  <c r="AB177" i="30"/>
  <c r="AB171" i="30"/>
  <c r="AB169" i="30"/>
  <c r="AB168" i="30"/>
  <c r="AB170" i="30" s="1"/>
  <c r="AB162" i="30"/>
  <c r="AB160" i="30"/>
  <c r="AB147" i="30"/>
  <c r="AB156" i="30" s="1"/>
  <c r="AB146" i="30"/>
  <c r="AB143" i="30"/>
  <c r="AB135" i="30"/>
  <c r="B131" i="30"/>
  <c r="B234" i="30" s="1"/>
  <c r="B348" i="30" s="1"/>
  <c r="Z127" i="30"/>
  <c r="Z99" i="30"/>
  <c r="Z84" i="30"/>
  <c r="AB83" i="30"/>
  <c r="AB86" i="30" s="1"/>
  <c r="AB80" i="30"/>
  <c r="Z72" i="30"/>
  <c r="Z71" i="30"/>
  <c r="Z70" i="30"/>
  <c r="T69" i="30"/>
  <c r="AB64" i="30"/>
  <c r="AB63" i="30"/>
  <c r="Z60" i="30"/>
  <c r="X60" i="30"/>
  <c r="V60" i="30"/>
  <c r="R60" i="30"/>
  <c r="R66" i="30" s="1"/>
  <c r="P60" i="30"/>
  <c r="P66" i="30" s="1"/>
  <c r="AB58" i="30"/>
  <c r="T60" i="30"/>
  <c r="X48" i="30"/>
  <c r="X47" i="30"/>
  <c r="AB41" i="30"/>
  <c r="P31" i="30"/>
  <c r="N31" i="30"/>
  <c r="L31" i="30"/>
  <c r="J31" i="30"/>
  <c r="H31" i="30"/>
  <c r="F31" i="30"/>
  <c r="AB42" i="30" s="1"/>
  <c r="R30" i="30"/>
  <c r="P30" i="30"/>
  <c r="N30" i="30"/>
  <c r="L30" i="30"/>
  <c r="J30" i="30"/>
  <c r="H30" i="30"/>
  <c r="F30" i="30"/>
  <c r="AB29" i="30"/>
  <c r="AB30" i="29"/>
  <c r="AB195" i="30" l="1"/>
  <c r="Z335" i="30"/>
  <c r="AB30" i="30"/>
  <c r="AB35" i="30" s="1"/>
  <c r="Z241" i="30" s="1"/>
  <c r="Z286" i="30"/>
  <c r="AA277" i="30" s="1"/>
  <c r="AA296" i="30"/>
  <c r="AA291" i="30"/>
  <c r="Z334" i="30"/>
  <c r="Z336" i="30" s="1"/>
  <c r="AA292" i="30"/>
  <c r="AA293" i="30"/>
  <c r="AA295" i="30"/>
  <c r="AA289" i="30"/>
  <c r="AA290" i="30"/>
  <c r="AB210" i="30"/>
  <c r="Y211" i="30"/>
  <c r="AB230" i="30"/>
  <c r="AB228" i="30"/>
  <c r="AB226" i="30"/>
  <c r="AB224" i="30"/>
  <c r="AB128" i="30"/>
  <c r="AB222" i="30"/>
  <c r="Y293" i="30"/>
  <c r="Z339" i="30"/>
  <c r="AB208" i="30"/>
  <c r="Y290" i="30"/>
  <c r="Y294" i="30"/>
  <c r="Y289" i="30"/>
  <c r="Z83" i="30"/>
  <c r="Z86" i="30" s="1"/>
  <c r="Z128" i="30" s="1"/>
  <c r="Z253" i="30"/>
  <c r="X334" i="30"/>
  <c r="AB57" i="30"/>
  <c r="AB60" i="30" s="1"/>
  <c r="AB66" i="30" s="1"/>
  <c r="Z337" i="30" s="1"/>
  <c r="X286" i="30"/>
  <c r="Y280" i="30" s="1"/>
  <c r="Y291" i="30"/>
  <c r="Y295" i="30"/>
  <c r="Y292" i="30"/>
  <c r="AB111" i="29"/>
  <c r="AB90" i="29"/>
  <c r="AB75" i="29"/>
  <c r="AB74" i="29"/>
  <c r="Z73" i="29"/>
  <c r="T57" i="29"/>
  <c r="AA283" i="30" l="1"/>
  <c r="AA278" i="30"/>
  <c r="AA280" i="30"/>
  <c r="AA279" i="30"/>
  <c r="AA281" i="30"/>
  <c r="AA282" i="30"/>
  <c r="AA284" i="30"/>
  <c r="AA298" i="30"/>
  <c r="Y284" i="30"/>
  <c r="Y282" i="30"/>
  <c r="Y298" i="30"/>
  <c r="Y283" i="30"/>
  <c r="Y281" i="30"/>
  <c r="Y279" i="30"/>
  <c r="Y278" i="30"/>
  <c r="Y277" i="30"/>
  <c r="Z208" i="29"/>
  <c r="Z210" i="29" s="1"/>
  <c r="Y208" i="29"/>
  <c r="AB208" i="29" s="1"/>
  <c r="AB200" i="29"/>
  <c r="AB192" i="29"/>
  <c r="AB184" i="29"/>
  <c r="AB176" i="29"/>
  <c r="AB179" i="29" s="1"/>
  <c r="AB159" i="29"/>
  <c r="AB162" i="29" s="1"/>
  <c r="AB136" i="29"/>
  <c r="AB143" i="29" s="1"/>
  <c r="AA332" i="29"/>
  <c r="Z332" i="29"/>
  <c r="Y332" i="29"/>
  <c r="X332" i="29"/>
  <c r="AA320" i="29"/>
  <c r="Z320" i="29"/>
  <c r="Y320" i="29"/>
  <c r="X320" i="29"/>
  <c r="AA310" i="29"/>
  <c r="Z310" i="29"/>
  <c r="Z258" i="29" s="1"/>
  <c r="Y310" i="29"/>
  <c r="X310" i="29"/>
  <c r="Z298" i="29"/>
  <c r="AA295" i="29" s="1"/>
  <c r="X298" i="29"/>
  <c r="Y293" i="29" s="1"/>
  <c r="Z284" i="29"/>
  <c r="X284" i="29"/>
  <c r="Z283" i="29"/>
  <c r="X283" i="29"/>
  <c r="Z282" i="29"/>
  <c r="X282" i="29"/>
  <c r="Z281" i="29"/>
  <c r="X281" i="29"/>
  <c r="Z280" i="29"/>
  <c r="X280" i="29"/>
  <c r="Z279" i="29"/>
  <c r="X279" i="29"/>
  <c r="Z278" i="29"/>
  <c r="X278" i="29"/>
  <c r="Z277" i="29"/>
  <c r="X277" i="29"/>
  <c r="Z263" i="29"/>
  <c r="Z264" i="29" s="1"/>
  <c r="Z261" i="29"/>
  <c r="Z260" i="29"/>
  <c r="Y259" i="29"/>
  <c r="Y258" i="29"/>
  <c r="Z239" i="29"/>
  <c r="AB217" i="29"/>
  <c r="AB209" i="29"/>
  <c r="Y207" i="29"/>
  <c r="AB202" i="29"/>
  <c r="AB203" i="29" s="1"/>
  <c r="AB194" i="29"/>
  <c r="AB193" i="29"/>
  <c r="AB195" i="29"/>
  <c r="AB186" i="29"/>
  <c r="AB187" i="29" s="1"/>
  <c r="AB178" i="29"/>
  <c r="AB177" i="29"/>
  <c r="AB171" i="29"/>
  <c r="AB169" i="29"/>
  <c r="AB168" i="29"/>
  <c r="AB170" i="29" s="1"/>
  <c r="AB160" i="29"/>
  <c r="AB147" i="29"/>
  <c r="AB156" i="29" s="1"/>
  <c r="AB146" i="29"/>
  <c r="AB135" i="29"/>
  <c r="B131" i="29"/>
  <c r="B234" i="29" s="1"/>
  <c r="B348" i="29" s="1"/>
  <c r="Z127" i="29"/>
  <c r="AB127" i="29"/>
  <c r="Z99" i="29"/>
  <c r="Z84" i="29"/>
  <c r="AB80" i="29"/>
  <c r="AB83" i="29"/>
  <c r="AB86" i="29" s="1"/>
  <c r="Z72" i="29"/>
  <c r="Z71" i="29"/>
  <c r="Z70" i="29"/>
  <c r="T69" i="29"/>
  <c r="P66" i="29"/>
  <c r="AB64" i="29"/>
  <c r="AB63" i="29"/>
  <c r="Z335" i="29" s="1"/>
  <c r="Z60" i="29"/>
  <c r="X60" i="29"/>
  <c r="V60" i="29"/>
  <c r="T60" i="29"/>
  <c r="R60" i="29"/>
  <c r="R66" i="29" s="1"/>
  <c r="P60" i="29"/>
  <c r="AB58" i="29"/>
  <c r="Z253" i="29"/>
  <c r="X48" i="29"/>
  <c r="X47" i="29"/>
  <c r="AB41" i="29"/>
  <c r="P31" i="29"/>
  <c r="N31" i="29"/>
  <c r="L31" i="29"/>
  <c r="J31" i="29"/>
  <c r="H31" i="29"/>
  <c r="AB31" i="29" s="1"/>
  <c r="F31" i="29"/>
  <c r="AB42" i="29" s="1"/>
  <c r="R30" i="29"/>
  <c r="P30" i="29"/>
  <c r="N30" i="29"/>
  <c r="L30" i="29"/>
  <c r="J30" i="29"/>
  <c r="H30" i="29"/>
  <c r="F30" i="29"/>
  <c r="AB29" i="29"/>
  <c r="AB127" i="28"/>
  <c r="Z73" i="28"/>
  <c r="AA286" i="30" l="1"/>
  <c r="Y286" i="30"/>
  <c r="Z339" i="29"/>
  <c r="AB35" i="29"/>
  <c r="Z241" i="29" s="1"/>
  <c r="Z242" i="29" s="1"/>
  <c r="Z334" i="29"/>
  <c r="Z336" i="29" s="1"/>
  <c r="Y291" i="29"/>
  <c r="Y295" i="29"/>
  <c r="Y294" i="29"/>
  <c r="Y289" i="29"/>
  <c r="Y296" i="29"/>
  <c r="Y290" i="29"/>
  <c r="X334" i="29"/>
  <c r="Y292" i="29"/>
  <c r="Y210" i="29"/>
  <c r="AB210" i="29" s="1"/>
  <c r="AB230" i="29"/>
  <c r="AB228" i="29"/>
  <c r="AB128" i="29"/>
  <c r="AB226" i="29"/>
  <c r="AB224" i="29"/>
  <c r="AB222" i="29"/>
  <c r="Z286" i="29"/>
  <c r="AA283" i="29" s="1"/>
  <c r="Z259" i="29"/>
  <c r="AA292" i="29"/>
  <c r="AA296" i="29"/>
  <c r="AB57" i="29"/>
  <c r="AB60" i="29" s="1"/>
  <c r="AB66" i="29" s="1"/>
  <c r="Z337" i="29" s="1"/>
  <c r="AA289" i="29"/>
  <c r="AA293" i="29"/>
  <c r="Z83" i="29"/>
  <c r="Z86" i="29" s="1"/>
  <c r="Z128" i="29" s="1"/>
  <c r="AA290" i="29"/>
  <c r="AA294" i="29"/>
  <c r="X286" i="29"/>
  <c r="Y280" i="29" s="1"/>
  <c r="AA291" i="29"/>
  <c r="AB35" i="28"/>
  <c r="AA279" i="29" l="1"/>
  <c r="AA282" i="29"/>
  <c r="AA278" i="29"/>
  <c r="AA281" i="29"/>
  <c r="AA277" i="29"/>
  <c r="AA284" i="29"/>
  <c r="Y298" i="29"/>
  <c r="Y278" i="29"/>
  <c r="Y279" i="29"/>
  <c r="Y211" i="29"/>
  <c r="Y284" i="29"/>
  <c r="Y281" i="29"/>
  <c r="AA298" i="29"/>
  <c r="Y277" i="29"/>
  <c r="Y283" i="29"/>
  <c r="AA280" i="29"/>
  <c r="AA286" i="29" s="1"/>
  <c r="Y282" i="29"/>
  <c r="AB90" i="28"/>
  <c r="AB75" i="28"/>
  <c r="AB74" i="28"/>
  <c r="Y286" i="29" l="1"/>
  <c r="AB30" i="28"/>
  <c r="T57" i="28"/>
  <c r="AB31" i="28" l="1"/>
  <c r="Z264" i="28"/>
  <c r="Z208" i="28"/>
  <c r="Z210" i="28" s="1"/>
  <c r="Y208" i="28"/>
  <c r="AB200" i="28"/>
  <c r="AB192" i="28"/>
  <c r="AB184" i="28"/>
  <c r="AB176" i="28"/>
  <c r="AB159" i="28"/>
  <c r="AB136" i="28"/>
  <c r="AB143" i="28" s="1"/>
  <c r="AA332" i="28"/>
  <c r="Z332" i="28"/>
  <c r="Y332" i="28"/>
  <c r="X332" i="28"/>
  <c r="Y259" i="28" s="1"/>
  <c r="AA320" i="28"/>
  <c r="Z320" i="28"/>
  <c r="Y320" i="28"/>
  <c r="X320" i="28"/>
  <c r="AA310" i="28"/>
  <c r="Z310" i="28"/>
  <c r="Y310" i="28"/>
  <c r="X310" i="28"/>
  <c r="Z298" i="28"/>
  <c r="AA294" i="28" s="1"/>
  <c r="X298" i="28"/>
  <c r="Y296" i="28" s="1"/>
  <c r="Z284" i="28"/>
  <c r="X284" i="28"/>
  <c r="Z283" i="28"/>
  <c r="X283" i="28"/>
  <c r="Z282" i="28"/>
  <c r="X282" i="28"/>
  <c r="Z281" i="28"/>
  <c r="X281" i="28"/>
  <c r="Z280" i="28"/>
  <c r="X280" i="28"/>
  <c r="Z279" i="28"/>
  <c r="X279" i="28"/>
  <c r="Z278" i="28"/>
  <c r="X278" i="28"/>
  <c r="Z277" i="28"/>
  <c r="X277" i="28"/>
  <c r="Z263" i="28"/>
  <c r="Z261" i="28"/>
  <c r="Z260" i="28"/>
  <c r="Z259" i="28"/>
  <c r="Z258" i="28"/>
  <c r="Y258" i="28"/>
  <c r="Z239" i="28"/>
  <c r="AB217" i="28"/>
  <c r="AB209" i="28"/>
  <c r="Y207" i="28"/>
  <c r="AB202" i="28"/>
  <c r="AB203" i="28"/>
  <c r="AB194" i="28"/>
  <c r="AB193" i="28"/>
  <c r="AB187" i="28"/>
  <c r="AB186" i="28"/>
  <c r="AB179" i="28"/>
  <c r="AB178" i="28"/>
  <c r="AB177" i="28"/>
  <c r="AB171" i="28"/>
  <c r="AB169" i="28"/>
  <c r="AB168" i="28"/>
  <c r="AB162" i="28"/>
  <c r="AB160" i="28"/>
  <c r="AB147" i="28"/>
  <c r="AB156" i="28" s="1"/>
  <c r="AB146" i="28"/>
  <c r="AB135" i="28"/>
  <c r="B131" i="28"/>
  <c r="B234" i="28" s="1"/>
  <c r="B348" i="28" s="1"/>
  <c r="Z127" i="28"/>
  <c r="AB111" i="28"/>
  <c r="Z99" i="28"/>
  <c r="Z84" i="28"/>
  <c r="AB80" i="28"/>
  <c r="AB83" i="28"/>
  <c r="AB86" i="28" s="1"/>
  <c r="Z83" i="28"/>
  <c r="Z86" i="28" s="1"/>
  <c r="Z72" i="28"/>
  <c r="Z71" i="28"/>
  <c r="Z70" i="28"/>
  <c r="T69" i="28"/>
  <c r="AB64" i="28"/>
  <c r="AB63" i="28"/>
  <c r="Z60" i="28"/>
  <c r="X60" i="28"/>
  <c r="V60" i="28"/>
  <c r="R60" i="28"/>
  <c r="R66" i="28" s="1"/>
  <c r="P60" i="28"/>
  <c r="P66" i="28" s="1"/>
  <c r="AB58" i="28"/>
  <c r="T60" i="28"/>
  <c r="X48" i="28"/>
  <c r="X47" i="28"/>
  <c r="AB41" i="28"/>
  <c r="P31" i="28"/>
  <c r="N31" i="28"/>
  <c r="L31" i="28"/>
  <c r="J31" i="28"/>
  <c r="H31" i="28"/>
  <c r="F31" i="28"/>
  <c r="R30" i="28"/>
  <c r="P30" i="28"/>
  <c r="N30" i="28"/>
  <c r="L30" i="28"/>
  <c r="Z241" i="28" s="1"/>
  <c r="Z242" i="28" s="1"/>
  <c r="J30" i="28"/>
  <c r="H30" i="28"/>
  <c r="F30" i="28"/>
  <c r="AB29" i="28"/>
  <c r="AB160" i="27"/>
  <c r="AB127" i="27"/>
  <c r="AB195" i="28" l="1"/>
  <c r="AB170" i="28"/>
  <c r="Z128" i="28"/>
  <c r="Z335" i="28"/>
  <c r="X286" i="28"/>
  <c r="Y289" i="28"/>
  <c r="Y295" i="28"/>
  <c r="Z286" i="28"/>
  <c r="AA283" i="28" s="1"/>
  <c r="Y291" i="28"/>
  <c r="Y278" i="28"/>
  <c r="Y280" i="28"/>
  <c r="Y282" i="28"/>
  <c r="Y284" i="28"/>
  <c r="Y293" i="28"/>
  <c r="X334" i="28"/>
  <c r="AA295" i="28"/>
  <c r="AA289" i="28"/>
  <c r="AA292" i="28"/>
  <c r="AA290" i="28"/>
  <c r="AA293" i="28"/>
  <c r="AA296" i="28"/>
  <c r="AA291" i="28"/>
  <c r="Z334" i="28"/>
  <c r="AB208" i="28"/>
  <c r="AB224" i="28"/>
  <c r="AB128" i="28"/>
  <c r="AB228" i="28"/>
  <c r="AB230" i="28"/>
  <c r="AB222" i="28"/>
  <c r="AB226" i="28"/>
  <c r="Y211" i="28"/>
  <c r="Y279" i="28"/>
  <c r="Y281" i="28"/>
  <c r="Y283" i="28"/>
  <c r="AA280" i="28"/>
  <c r="Z253" i="28"/>
  <c r="AB42" i="28"/>
  <c r="AB57" i="28"/>
  <c r="AB60" i="28" s="1"/>
  <c r="AB66" i="28" s="1"/>
  <c r="Z337" i="28" s="1"/>
  <c r="Y277" i="28"/>
  <c r="Z339" i="28"/>
  <c r="Y210" i="28"/>
  <c r="AB210" i="28" s="1"/>
  <c r="Y290" i="28"/>
  <c r="Y292" i="28"/>
  <c r="Y294" i="28"/>
  <c r="AB31" i="27"/>
  <c r="Z86" i="27"/>
  <c r="Z73" i="27"/>
  <c r="Z336" i="28" l="1"/>
  <c r="AA277" i="28"/>
  <c r="AA281" i="28"/>
  <c r="AA282" i="28"/>
  <c r="AA284" i="28"/>
  <c r="AA278" i="28"/>
  <c r="AA279" i="28"/>
  <c r="AA286" i="28" s="1"/>
  <c r="Y298" i="28"/>
  <c r="Y286" i="28"/>
  <c r="AA298" i="28"/>
  <c r="Z70" i="26"/>
  <c r="AB111" i="27" l="1"/>
  <c r="AB90" i="27"/>
  <c r="AB75" i="27"/>
  <c r="AB74" i="27"/>
  <c r="T57" i="27"/>
  <c r="Z208" i="27" l="1"/>
  <c r="Y208" i="27"/>
  <c r="AB200" i="27"/>
  <c r="AB192" i="27"/>
  <c r="AB184" i="27"/>
  <c r="AB176" i="27"/>
  <c r="AB159" i="27"/>
  <c r="AB136" i="27"/>
  <c r="AB143" i="27" s="1"/>
  <c r="AA332" i="27"/>
  <c r="Z332" i="27"/>
  <c r="Y332" i="27"/>
  <c r="X332" i="27"/>
  <c r="Y259" i="27" s="1"/>
  <c r="AA320" i="27"/>
  <c r="Z320" i="27"/>
  <c r="Y320" i="27"/>
  <c r="X320" i="27"/>
  <c r="AA310" i="27"/>
  <c r="Z310" i="27"/>
  <c r="Y310" i="27"/>
  <c r="X310" i="27"/>
  <c r="Z298" i="27"/>
  <c r="AA293" i="27" s="1"/>
  <c r="X298" i="27"/>
  <c r="Y296" i="27" s="1"/>
  <c r="Z284" i="27"/>
  <c r="X284" i="27"/>
  <c r="Z283" i="27"/>
  <c r="X283" i="27"/>
  <c r="Z282" i="27"/>
  <c r="X282" i="27"/>
  <c r="Z281" i="27"/>
  <c r="X281" i="27"/>
  <c r="Z280" i="27"/>
  <c r="X280" i="27"/>
  <c r="Z279" i="27"/>
  <c r="X279" i="27"/>
  <c r="Z278" i="27"/>
  <c r="X278" i="27"/>
  <c r="Z277" i="27"/>
  <c r="X277" i="27"/>
  <c r="Z263" i="27"/>
  <c r="Z264" i="27" s="1"/>
  <c r="Z261" i="27"/>
  <c r="Z260" i="27"/>
  <c r="Z259" i="27"/>
  <c r="Z258" i="27"/>
  <c r="Y258" i="27"/>
  <c r="Z239" i="27"/>
  <c r="AB217" i="27"/>
  <c r="AB209" i="27"/>
  <c r="Z210" i="27"/>
  <c r="Y207" i="27"/>
  <c r="AB202" i="27"/>
  <c r="AB203" i="27"/>
  <c r="AB194" i="27"/>
  <c r="AB193" i="27"/>
  <c r="AB186" i="27"/>
  <c r="AB187" i="27" s="1"/>
  <c r="AB179" i="27"/>
  <c r="AB178" i="27"/>
  <c r="AB177" i="27"/>
  <c r="AB171" i="27"/>
  <c r="AB169" i="27"/>
  <c r="AB168" i="27"/>
  <c r="AB147" i="27"/>
  <c r="AB156" i="27" s="1"/>
  <c r="AB146" i="27"/>
  <c r="AB135" i="27"/>
  <c r="B131" i="27"/>
  <c r="B234" i="27" s="1"/>
  <c r="B348" i="27" s="1"/>
  <c r="Z127" i="27"/>
  <c r="Z99" i="27"/>
  <c r="Z84" i="27"/>
  <c r="AB80" i="27"/>
  <c r="AB83" i="27"/>
  <c r="AB86" i="27" s="1"/>
  <c r="Z72" i="27"/>
  <c r="Z70" i="27"/>
  <c r="T69" i="27"/>
  <c r="AB64" i="27"/>
  <c r="AB63" i="27"/>
  <c r="Z60" i="27"/>
  <c r="X60" i="27"/>
  <c r="V60" i="27"/>
  <c r="R60" i="27"/>
  <c r="R66" i="27" s="1"/>
  <c r="P60" i="27"/>
  <c r="P66" i="27" s="1"/>
  <c r="AB58" i="27"/>
  <c r="Z253" i="27"/>
  <c r="X48" i="27"/>
  <c r="X47" i="27"/>
  <c r="AB41" i="27"/>
  <c r="P31" i="27"/>
  <c r="N31" i="27"/>
  <c r="L31" i="27"/>
  <c r="J31" i="27"/>
  <c r="H31" i="27"/>
  <c r="F31" i="27"/>
  <c r="R30" i="27"/>
  <c r="P30" i="27"/>
  <c r="N30" i="27"/>
  <c r="L30" i="27"/>
  <c r="J30" i="27"/>
  <c r="H30" i="27"/>
  <c r="F30" i="27"/>
  <c r="AB30" i="27" s="1"/>
  <c r="AB35" i="27" s="1"/>
  <c r="Z241" i="27" s="1"/>
  <c r="Z242" i="27" s="1"/>
  <c r="AB29" i="27"/>
  <c r="AB170" i="26"/>
  <c r="AB168" i="26"/>
  <c r="Z335" i="27" l="1"/>
  <c r="Z336" i="27" s="1"/>
  <c r="AB42" i="27"/>
  <c r="T60" i="27"/>
  <c r="AB128" i="27"/>
  <c r="AB162" i="27"/>
  <c r="AB170" i="27"/>
  <c r="Z286" i="27"/>
  <c r="AA280" i="27" s="1"/>
  <c r="Z71" i="27"/>
  <c r="AB195" i="27"/>
  <c r="AB57" i="27"/>
  <c r="AB60" i="27" s="1"/>
  <c r="AB66" i="27" s="1"/>
  <c r="Z337" i="27" s="1"/>
  <c r="AA290" i="27"/>
  <c r="AA294" i="27"/>
  <c r="AA292" i="27"/>
  <c r="AA291" i="27"/>
  <c r="AA295" i="27"/>
  <c r="Z334" i="27"/>
  <c r="AA296" i="27"/>
  <c r="AA289" i="27"/>
  <c r="Y295" i="27"/>
  <c r="Y289" i="27"/>
  <c r="Y293" i="27"/>
  <c r="Y291" i="27"/>
  <c r="AB208" i="27"/>
  <c r="Z243" i="27"/>
  <c r="AB224" i="27"/>
  <c r="AB230" i="27"/>
  <c r="AB222" i="27"/>
  <c r="AB228" i="27"/>
  <c r="AB226" i="27"/>
  <c r="AA284" i="27"/>
  <c r="AA283" i="27"/>
  <c r="AA282" i="27"/>
  <c r="AA281" i="27"/>
  <c r="AA277" i="27"/>
  <c r="Y210" i="27"/>
  <c r="AB210" i="27" s="1"/>
  <c r="X286" i="27"/>
  <c r="Y283" i="27" s="1"/>
  <c r="X334" i="27"/>
  <c r="Z339" i="27"/>
  <c r="Y290" i="27"/>
  <c r="Y292" i="27"/>
  <c r="Y294" i="27"/>
  <c r="AB136" i="26"/>
  <c r="AB90" i="26"/>
  <c r="AB75" i="26"/>
  <c r="AB74" i="26"/>
  <c r="Z73" i="26"/>
  <c r="T57" i="26"/>
  <c r="AA278" i="27" l="1"/>
  <c r="AA279" i="27"/>
  <c r="Z83" i="27"/>
  <c r="Z128" i="27" s="1"/>
  <c r="AA298" i="27"/>
  <c r="Y298" i="27"/>
  <c r="Y282" i="27"/>
  <c r="Y281" i="27"/>
  <c r="Y280" i="27"/>
  <c r="Y211" i="27"/>
  <c r="Y279" i="27"/>
  <c r="Y278" i="27"/>
  <c r="Y277" i="27"/>
  <c r="Y284" i="27"/>
  <c r="AA286" i="27"/>
  <c r="Z208" i="26"/>
  <c r="Y208" i="26"/>
  <c r="AB200" i="26"/>
  <c r="AB192" i="26"/>
  <c r="AB184" i="26"/>
  <c r="AB176" i="26"/>
  <c r="AB159" i="26"/>
  <c r="Y286" i="27" l="1"/>
  <c r="AA332" i="26"/>
  <c r="Z332" i="26"/>
  <c r="Y332" i="26"/>
  <c r="X332" i="26"/>
  <c r="Y259" i="26" s="1"/>
  <c r="AA320" i="26"/>
  <c r="Z320" i="26"/>
  <c r="Y320" i="26"/>
  <c r="X320" i="26"/>
  <c r="AA310" i="26"/>
  <c r="Z310" i="26"/>
  <c r="Y310" i="26"/>
  <c r="X310" i="26"/>
  <c r="Z298" i="26"/>
  <c r="AA296" i="26" s="1"/>
  <c r="X298" i="26"/>
  <c r="Y293" i="26" s="1"/>
  <c r="AA295" i="26"/>
  <c r="AA293" i="26"/>
  <c r="AA291" i="26"/>
  <c r="Y291" i="26"/>
  <c r="AA290" i="26"/>
  <c r="AA289" i="26"/>
  <c r="Z284" i="26"/>
  <c r="X284" i="26"/>
  <c r="Z283" i="26"/>
  <c r="X283" i="26"/>
  <c r="Z282" i="26"/>
  <c r="X282" i="26"/>
  <c r="Z281" i="26"/>
  <c r="X281" i="26"/>
  <c r="Z280" i="26"/>
  <c r="X280" i="26"/>
  <c r="Z279" i="26"/>
  <c r="X279" i="26"/>
  <c r="Z278" i="26"/>
  <c r="X278" i="26"/>
  <c r="Z277" i="26"/>
  <c r="X277" i="26"/>
  <c r="Z263" i="26"/>
  <c r="Z264" i="26" s="1"/>
  <c r="Z261" i="26"/>
  <c r="Z260" i="26"/>
  <c r="Z259" i="26"/>
  <c r="Z258" i="26"/>
  <c r="Z239" i="26"/>
  <c r="AB217" i="26"/>
  <c r="AB209" i="26"/>
  <c r="Z210" i="26"/>
  <c r="Y210" i="26"/>
  <c r="Y207" i="26"/>
  <c r="AB202" i="26"/>
  <c r="AB203" i="26" s="1"/>
  <c r="AB194" i="26"/>
  <c r="AB193" i="26"/>
  <c r="AB186" i="26"/>
  <c r="AB187" i="26" s="1"/>
  <c r="AB178" i="26"/>
  <c r="AB177" i="26"/>
  <c r="AB171" i="26"/>
  <c r="AB169" i="26"/>
  <c r="AB147" i="26"/>
  <c r="AB156" i="26" s="1"/>
  <c r="AB146" i="26"/>
  <c r="AB143" i="26"/>
  <c r="AB135" i="26"/>
  <c r="B131" i="26"/>
  <c r="B234" i="26" s="1"/>
  <c r="B348" i="26" s="1"/>
  <c r="Z127" i="26"/>
  <c r="AB111" i="26"/>
  <c r="Z99" i="26"/>
  <c r="AB127" i="26"/>
  <c r="Z84" i="26"/>
  <c r="AB80" i="26"/>
  <c r="AB83" i="26"/>
  <c r="AB86" i="26" s="1"/>
  <c r="Z72" i="26"/>
  <c r="T69" i="26"/>
  <c r="X64" i="26"/>
  <c r="AB160" i="26" s="1"/>
  <c r="AB162" i="26" s="1"/>
  <c r="AB63" i="26"/>
  <c r="Z60" i="26"/>
  <c r="X60" i="26"/>
  <c r="V60" i="26"/>
  <c r="R60" i="26"/>
  <c r="R66" i="26" s="1"/>
  <c r="P60" i="26"/>
  <c r="P66" i="26" s="1"/>
  <c r="AB58" i="26"/>
  <c r="T60" i="26"/>
  <c r="X48" i="26"/>
  <c r="X47" i="26"/>
  <c r="AB41" i="26"/>
  <c r="P31" i="26"/>
  <c r="N31" i="26"/>
  <c r="L31" i="26"/>
  <c r="J31" i="26"/>
  <c r="H31" i="26"/>
  <c r="F31" i="26"/>
  <c r="R30" i="26"/>
  <c r="P30" i="26"/>
  <c r="N30" i="26"/>
  <c r="L30" i="26"/>
  <c r="J30" i="26"/>
  <c r="H30" i="26"/>
  <c r="F30" i="26"/>
  <c r="AB29" i="26"/>
  <c r="Y344" i="25"/>
  <c r="X334" i="26" l="1"/>
  <c r="Y296" i="26"/>
  <c r="Y289" i="26"/>
  <c r="AB195" i="26"/>
  <c r="AB179" i="26"/>
  <c r="AB42" i="26"/>
  <c r="Y294" i="26"/>
  <c r="Y258" i="26"/>
  <c r="Y290" i="26"/>
  <c r="Y292" i="26"/>
  <c r="Y295" i="26"/>
  <c r="Z334" i="26"/>
  <c r="X286" i="26"/>
  <c r="Y284" i="26" s="1"/>
  <c r="AB31" i="26"/>
  <c r="Z339" i="26" s="1"/>
  <c r="AB64" i="26"/>
  <c r="Z335" i="26" s="1"/>
  <c r="AB30" i="26"/>
  <c r="AB35" i="26" s="1"/>
  <c r="Z241" i="26" s="1"/>
  <c r="Z242" i="26" s="1"/>
  <c r="Z71" i="26"/>
  <c r="AB210" i="26"/>
  <c r="AB228" i="26"/>
  <c r="AB230" i="26"/>
  <c r="AB222" i="26"/>
  <c r="AB226" i="26"/>
  <c r="Z243" i="26"/>
  <c r="AB224" i="26"/>
  <c r="AB128" i="26"/>
  <c r="Y277" i="26"/>
  <c r="Y211" i="26"/>
  <c r="AB208" i="26"/>
  <c r="Z286" i="26"/>
  <c r="AA279" i="26" s="1"/>
  <c r="Z253" i="26"/>
  <c r="AA292" i="26"/>
  <c r="AA294" i="26"/>
  <c r="AB57" i="26"/>
  <c r="AB60" i="26" s="1"/>
  <c r="Z253" i="25"/>
  <c r="Y282" i="26" l="1"/>
  <c r="Y278" i="26"/>
  <c r="Y281" i="26"/>
  <c r="AB66" i="26"/>
  <c r="Z337" i="26" s="1"/>
  <c r="Z336" i="26"/>
  <c r="AA284" i="26"/>
  <c r="Y298" i="26"/>
  <c r="AA298" i="26"/>
  <c r="Z83" i="26"/>
  <c r="Z86" i="26" s="1"/>
  <c r="Z128" i="26" s="1"/>
  <c r="Y279" i="26"/>
  <c r="Y283" i="26"/>
  <c r="Y280" i="26"/>
  <c r="AA277" i="26"/>
  <c r="AA282" i="26"/>
  <c r="AA283" i="26"/>
  <c r="AA280" i="26"/>
  <c r="AA281" i="26"/>
  <c r="AA278" i="26"/>
  <c r="AB127" i="25"/>
  <c r="Y286" i="26" l="1"/>
  <c r="AA286" i="26"/>
  <c r="AB162" i="25"/>
  <c r="AB160" i="25"/>
  <c r="AB111" i="25"/>
  <c r="AB90" i="25"/>
  <c r="AB75" i="25"/>
  <c r="AB74" i="25"/>
  <c r="Z83" i="25"/>
  <c r="Z73" i="25"/>
  <c r="X64" i="25"/>
  <c r="T57" i="25"/>
  <c r="T60" i="25" s="1"/>
  <c r="Z264" i="25"/>
  <c r="Z208" i="25"/>
  <c r="Z210" i="25" s="1"/>
  <c r="Y208" i="25"/>
  <c r="Y210" i="25" s="1"/>
  <c r="AB200" i="25"/>
  <c r="AB203" i="25" s="1"/>
  <c r="AB192" i="25"/>
  <c r="AB184" i="25"/>
  <c r="AB176" i="25"/>
  <c r="AB159" i="25"/>
  <c r="AB136" i="25"/>
  <c r="AB143" i="25" s="1"/>
  <c r="Z344" i="25"/>
  <c r="X344" i="25"/>
  <c r="AA332" i="25"/>
  <c r="Z332" i="25"/>
  <c r="Y332" i="25"/>
  <c r="X332" i="25"/>
  <c r="AA320" i="25"/>
  <c r="Z320" i="25"/>
  <c r="Y320" i="25"/>
  <c r="X320" i="25"/>
  <c r="AA310" i="25"/>
  <c r="Z310" i="25"/>
  <c r="Y310" i="25"/>
  <c r="X310" i="25"/>
  <c r="Z298" i="25"/>
  <c r="AA294" i="25" s="1"/>
  <c r="X298" i="25"/>
  <c r="Y296" i="25" s="1"/>
  <c r="Z284" i="25"/>
  <c r="X284" i="25"/>
  <c r="Z283" i="25"/>
  <c r="X283" i="25"/>
  <c r="Z282" i="25"/>
  <c r="X282" i="25"/>
  <c r="Z281" i="25"/>
  <c r="X281" i="25"/>
  <c r="Z280" i="25"/>
  <c r="X280" i="25"/>
  <c r="Z279" i="25"/>
  <c r="X279" i="25"/>
  <c r="Z278" i="25"/>
  <c r="X278" i="25"/>
  <c r="Z277" i="25"/>
  <c r="X277" i="25"/>
  <c r="Z263" i="25"/>
  <c r="Z261" i="25"/>
  <c r="Z260" i="25"/>
  <c r="Z259" i="25"/>
  <c r="Y259" i="25"/>
  <c r="Z258" i="25"/>
  <c r="Y258" i="25"/>
  <c r="Z239" i="25"/>
  <c r="AB217" i="25"/>
  <c r="AB209" i="25"/>
  <c r="Y207" i="25"/>
  <c r="AB202" i="25"/>
  <c r="AB194" i="25"/>
  <c r="AB193" i="25"/>
  <c r="AB187" i="25"/>
  <c r="AB186" i="25"/>
  <c r="AB178" i="25"/>
  <c r="AB177" i="25"/>
  <c r="AB179" i="25"/>
  <c r="AB171" i="25"/>
  <c r="AB169" i="25"/>
  <c r="AB168" i="25"/>
  <c r="AB170" i="25" s="1"/>
  <c r="AB156" i="25"/>
  <c r="AB147" i="25"/>
  <c r="AB146" i="25"/>
  <c r="AB135" i="25"/>
  <c r="B131" i="25"/>
  <c r="B234" i="25" s="1"/>
  <c r="B365" i="25" s="1"/>
  <c r="Z127" i="25"/>
  <c r="Z99" i="25"/>
  <c r="Z84" i="25"/>
  <c r="AB80" i="25"/>
  <c r="AB83" i="25"/>
  <c r="AB86" i="25" s="1"/>
  <c r="Z72" i="25"/>
  <c r="Z71" i="25"/>
  <c r="Z70" i="25"/>
  <c r="T69" i="25"/>
  <c r="P66" i="25"/>
  <c r="AB63" i="25"/>
  <c r="Z60" i="25"/>
  <c r="X60" i="25"/>
  <c r="V60" i="25"/>
  <c r="R60" i="25"/>
  <c r="R66" i="25" s="1"/>
  <c r="P60" i="25"/>
  <c r="AB58" i="25"/>
  <c r="AB57" i="25"/>
  <c r="AB60" i="25" s="1"/>
  <c r="X48" i="25"/>
  <c r="X47" i="25"/>
  <c r="AB41" i="25"/>
  <c r="P31" i="25"/>
  <c r="N31" i="25"/>
  <c r="L31" i="25"/>
  <c r="J31" i="25"/>
  <c r="H31" i="25"/>
  <c r="F31" i="25"/>
  <c r="R30" i="25"/>
  <c r="P30" i="25"/>
  <c r="N30" i="25"/>
  <c r="L30" i="25"/>
  <c r="J30" i="25"/>
  <c r="H30" i="25"/>
  <c r="F30" i="25"/>
  <c r="AB29" i="25"/>
  <c r="AB176" i="24"/>
  <c r="AB184" i="24"/>
  <c r="X286" i="25" l="1"/>
  <c r="Y283" i="25" s="1"/>
  <c r="AA291" i="25"/>
  <c r="AA289" i="25"/>
  <c r="AA295" i="25"/>
  <c r="AA290" i="25"/>
  <c r="AA296" i="25"/>
  <c r="AA292" i="25"/>
  <c r="Z349" i="25"/>
  <c r="AA293" i="25"/>
  <c r="Y289" i="25"/>
  <c r="Y292" i="25"/>
  <c r="X349" i="25"/>
  <c r="Y345" i="25" s="1"/>
  <c r="Y290" i="25"/>
  <c r="Y291" i="25"/>
  <c r="Y293" i="25"/>
  <c r="Y295" i="25"/>
  <c r="AB195" i="25"/>
  <c r="AB42" i="25"/>
  <c r="AB31" i="25"/>
  <c r="Z354" i="25" s="1"/>
  <c r="AB30" i="25"/>
  <c r="AB35" i="25" s="1"/>
  <c r="Z241" i="25" s="1"/>
  <c r="Z242" i="25" s="1"/>
  <c r="Y211" i="25"/>
  <c r="AB228" i="25"/>
  <c r="AB226" i="25"/>
  <c r="AB128" i="25"/>
  <c r="Z243" i="25"/>
  <c r="AB224" i="25"/>
  <c r="AB230" i="25"/>
  <c r="AB222" i="25"/>
  <c r="AA345" i="25"/>
  <c r="AB210" i="25"/>
  <c r="Y284" i="25"/>
  <c r="Y278" i="25"/>
  <c r="AB208" i="25"/>
  <c r="Z286" i="25"/>
  <c r="AA282" i="25" s="1"/>
  <c r="Y294" i="25"/>
  <c r="AB64" i="25"/>
  <c r="Z350" i="25" s="1"/>
  <c r="Z86" i="25"/>
  <c r="Z128" i="25" s="1"/>
  <c r="AA344" i="25"/>
  <c r="AB168" i="24"/>
  <c r="AB168" i="23"/>
  <c r="Z83" i="24"/>
  <c r="Z73" i="24"/>
  <c r="P31" i="24"/>
  <c r="Y279" i="25" l="1"/>
  <c r="Y280" i="25"/>
  <c r="Z351" i="25"/>
  <c r="Y281" i="25"/>
  <c r="Y282" i="25"/>
  <c r="Y277" i="25"/>
  <c r="Y298" i="25"/>
  <c r="AA279" i="25"/>
  <c r="AA277" i="25"/>
  <c r="AA280" i="25"/>
  <c r="AA278" i="25"/>
  <c r="AA298" i="25"/>
  <c r="AB66" i="25"/>
  <c r="Z352" i="25" s="1"/>
  <c r="AA283" i="25"/>
  <c r="AA284" i="25"/>
  <c r="AA281" i="25"/>
  <c r="AB35" i="24"/>
  <c r="AA286" i="25" l="1"/>
  <c r="Y286" i="25"/>
  <c r="AB226" i="24"/>
  <c r="AB192" i="24" l="1"/>
  <c r="AB200" i="24"/>
  <c r="AB159" i="24"/>
  <c r="AB136" i="24"/>
  <c r="AB111" i="24"/>
  <c r="AB90" i="24"/>
  <c r="AB75" i="24"/>
  <c r="AB74" i="24"/>
  <c r="T57" i="24"/>
  <c r="Z208" i="24" l="1"/>
  <c r="Z210" i="24" s="1"/>
  <c r="Y208" i="24"/>
  <c r="Y210" i="24" s="1"/>
  <c r="AA347" i="24"/>
  <c r="Z344" i="24"/>
  <c r="AA346" i="24" s="1"/>
  <c r="X344" i="24"/>
  <c r="Y347" i="24" s="1"/>
  <c r="Y341" i="24"/>
  <c r="Y340" i="24"/>
  <c r="Y338" i="24"/>
  <c r="AA337" i="24"/>
  <c r="Y337" i="24"/>
  <c r="AA335" i="24"/>
  <c r="Y335" i="24"/>
  <c r="AA332" i="24"/>
  <c r="Z332" i="24"/>
  <c r="Y332" i="24"/>
  <c r="X332" i="24"/>
  <c r="AA320" i="24"/>
  <c r="Z320" i="24"/>
  <c r="Y320" i="24"/>
  <c r="X320" i="24"/>
  <c r="AA310" i="24"/>
  <c r="Z310" i="24"/>
  <c r="Y310" i="24"/>
  <c r="X310" i="24"/>
  <c r="Z298" i="24"/>
  <c r="AA296" i="24" s="1"/>
  <c r="X298" i="24"/>
  <c r="Y293" i="24" s="1"/>
  <c r="Z284" i="24"/>
  <c r="X284" i="24"/>
  <c r="Z283" i="24"/>
  <c r="X283" i="24"/>
  <c r="Z282" i="24"/>
  <c r="X282" i="24"/>
  <c r="Z281" i="24"/>
  <c r="X281" i="24"/>
  <c r="Z280" i="24"/>
  <c r="X280" i="24"/>
  <c r="Z279" i="24"/>
  <c r="X279" i="24"/>
  <c r="Z278" i="24"/>
  <c r="X278" i="24"/>
  <c r="Z277" i="24"/>
  <c r="X277" i="24"/>
  <c r="Z263" i="24"/>
  <c r="Z264" i="24" s="1"/>
  <c r="Z261" i="24"/>
  <c r="Z260" i="24"/>
  <c r="Z259" i="24"/>
  <c r="Y259" i="24"/>
  <c r="Z258" i="24"/>
  <c r="Y258" i="24"/>
  <c r="Z239" i="24"/>
  <c r="AB217" i="24"/>
  <c r="AB209" i="24"/>
  <c r="Y207" i="24"/>
  <c r="AB202" i="24"/>
  <c r="AB203" i="24"/>
  <c r="AB194" i="24"/>
  <c r="AB193" i="24"/>
  <c r="AB195" i="24" s="1"/>
  <c r="AB186" i="24"/>
  <c r="AB187" i="24" s="1"/>
  <c r="AB178" i="24"/>
  <c r="AB177" i="24"/>
  <c r="AB179" i="24"/>
  <c r="AB171" i="24"/>
  <c r="AB169" i="24"/>
  <c r="AB170" i="24"/>
  <c r="AB156" i="24"/>
  <c r="AB147" i="24"/>
  <c r="AB146" i="24"/>
  <c r="AB143" i="24"/>
  <c r="AB135" i="24"/>
  <c r="B131" i="24"/>
  <c r="B234" i="24" s="1"/>
  <c r="B365" i="24" s="1"/>
  <c r="Z127" i="24"/>
  <c r="Z99" i="24"/>
  <c r="AB127" i="24"/>
  <c r="Z84" i="24"/>
  <c r="AB80" i="24"/>
  <c r="AB83" i="24"/>
  <c r="AB86" i="24" s="1"/>
  <c r="Z72" i="24"/>
  <c r="Z71" i="24"/>
  <c r="Z70" i="24"/>
  <c r="T69" i="24"/>
  <c r="X64" i="24"/>
  <c r="AB160" i="24" s="1"/>
  <c r="AB63" i="24"/>
  <c r="Z60" i="24"/>
  <c r="X60" i="24"/>
  <c r="V60" i="24"/>
  <c r="R60" i="24"/>
  <c r="R66" i="24" s="1"/>
  <c r="P60" i="24"/>
  <c r="P66" i="24" s="1"/>
  <c r="AB58" i="24"/>
  <c r="T60" i="24"/>
  <c r="X48" i="24"/>
  <c r="X47" i="24"/>
  <c r="AB41" i="24"/>
  <c r="N31" i="24"/>
  <c r="L31" i="24"/>
  <c r="J31" i="24"/>
  <c r="H31" i="24"/>
  <c r="F31" i="24"/>
  <c r="AB42" i="24" s="1"/>
  <c r="R30" i="24"/>
  <c r="P30" i="24"/>
  <c r="N30" i="24"/>
  <c r="L30" i="24"/>
  <c r="J30" i="24"/>
  <c r="H30" i="24"/>
  <c r="F30" i="24"/>
  <c r="AB29" i="24"/>
  <c r="AA341" i="24" l="1"/>
  <c r="AA339" i="24"/>
  <c r="Y342" i="24"/>
  <c r="Y344" i="24" s="1"/>
  <c r="Y336" i="24"/>
  <c r="Y339" i="24"/>
  <c r="AA291" i="24"/>
  <c r="AA293" i="24"/>
  <c r="AA295" i="24"/>
  <c r="AA289" i="24"/>
  <c r="Z349" i="24"/>
  <c r="AA345" i="24" s="1"/>
  <c r="Y291" i="24"/>
  <c r="Y294" i="24"/>
  <c r="X286" i="24"/>
  <c r="Y277" i="24" s="1"/>
  <c r="Y289" i="24"/>
  <c r="Y295" i="24"/>
  <c r="Y292" i="24"/>
  <c r="Y290" i="24"/>
  <c r="Y296" i="24"/>
  <c r="X349" i="24"/>
  <c r="AB64" i="24"/>
  <c r="Z350" i="24" s="1"/>
  <c r="AB31" i="24"/>
  <c r="Z354" i="24" s="1"/>
  <c r="AB30" i="24"/>
  <c r="Z241" i="24" s="1"/>
  <c r="Z242" i="24" s="1"/>
  <c r="AB210" i="24"/>
  <c r="Y211" i="24"/>
  <c r="AB228" i="24"/>
  <c r="AB230" i="24"/>
  <c r="AB222" i="24"/>
  <c r="Z243" i="24"/>
  <c r="AB224" i="24"/>
  <c r="AB128" i="24"/>
  <c r="Y278" i="24"/>
  <c r="AB162" i="24"/>
  <c r="AB208" i="24"/>
  <c r="Z286" i="24"/>
  <c r="AA281" i="24" s="1"/>
  <c r="Y346" i="24"/>
  <c r="Z86" i="24"/>
  <c r="Z128" i="24" s="1"/>
  <c r="Z253" i="24"/>
  <c r="AA290" i="24"/>
  <c r="AA292" i="24"/>
  <c r="AA294" i="24"/>
  <c r="AA336" i="24"/>
  <c r="AA344" i="24" s="1"/>
  <c r="AA338" i="24"/>
  <c r="AA340" i="24"/>
  <c r="AA342" i="24"/>
  <c r="AB57" i="24"/>
  <c r="AB60" i="24" s="1"/>
  <c r="AB66" i="24" s="1"/>
  <c r="Z352" i="24" s="1"/>
  <c r="Y345" i="24"/>
  <c r="R30" i="23"/>
  <c r="AA298" i="24" l="1"/>
  <c r="AA284" i="24"/>
  <c r="Z351" i="24"/>
  <c r="AA279" i="24"/>
  <c r="AA282" i="24"/>
  <c r="Y281" i="24"/>
  <c r="Y298" i="24"/>
  <c r="Y279" i="24"/>
  <c r="Y282" i="24"/>
  <c r="Y283" i="24"/>
  <c r="Y284" i="24"/>
  <c r="Y280" i="24"/>
  <c r="AA277" i="24"/>
  <c r="AA280" i="24"/>
  <c r="AA283" i="24"/>
  <c r="AA278" i="24"/>
  <c r="Z73" i="23"/>
  <c r="Y286" i="24" l="1"/>
  <c r="AA286" i="24"/>
  <c r="AB35" i="23"/>
  <c r="AB31" i="23"/>
  <c r="P31" i="23"/>
  <c r="AA346" i="23" l="1"/>
  <c r="AB203" i="23" l="1"/>
  <c r="AB111" i="23"/>
  <c r="AB90" i="23"/>
  <c r="AB75" i="23"/>
  <c r="AB74" i="23"/>
  <c r="T57" i="23" l="1"/>
  <c r="Z208" i="23" l="1"/>
  <c r="Y208" i="23"/>
  <c r="Y210" i="23" s="1"/>
  <c r="AB200" i="23"/>
  <c r="AB192" i="23"/>
  <c r="AB184" i="23"/>
  <c r="AB176" i="23"/>
  <c r="AB159" i="23"/>
  <c r="AB136" i="23"/>
  <c r="AB143" i="23" s="1"/>
  <c r="Z344" i="23"/>
  <c r="X344" i="23"/>
  <c r="Y347" i="23" s="1"/>
  <c r="Y341" i="23"/>
  <c r="Y339" i="23"/>
  <c r="Y337" i="23"/>
  <c r="Y335" i="23"/>
  <c r="AA332" i="23"/>
  <c r="Z332" i="23"/>
  <c r="Y332" i="23"/>
  <c r="X332" i="23"/>
  <c r="AA320" i="23"/>
  <c r="Z320" i="23"/>
  <c r="Y320" i="23"/>
  <c r="X320" i="23"/>
  <c r="AA310" i="23"/>
  <c r="Z310" i="23"/>
  <c r="Y310" i="23"/>
  <c r="X310" i="23"/>
  <c r="Z298" i="23"/>
  <c r="AA296" i="23" s="1"/>
  <c r="X298" i="23"/>
  <c r="Y296" i="23" s="1"/>
  <c r="AA293" i="23"/>
  <c r="AA291" i="23"/>
  <c r="AA290" i="23"/>
  <c r="Z284" i="23"/>
  <c r="X284" i="23"/>
  <c r="Z283" i="23"/>
  <c r="X283" i="23"/>
  <c r="Z282" i="23"/>
  <c r="X282" i="23"/>
  <c r="Z281" i="23"/>
  <c r="X281" i="23"/>
  <c r="Z280" i="23"/>
  <c r="X280" i="23"/>
  <c r="Z279" i="23"/>
  <c r="X279" i="23"/>
  <c r="Z278" i="23"/>
  <c r="X278" i="23"/>
  <c r="Z277" i="23"/>
  <c r="X277" i="23"/>
  <c r="Z263" i="23"/>
  <c r="Z264" i="23" s="1"/>
  <c r="Z261" i="23"/>
  <c r="Z260" i="23"/>
  <c r="Z259" i="23"/>
  <c r="Y259" i="23"/>
  <c r="Z258" i="23"/>
  <c r="Y258" i="23"/>
  <c r="Z239" i="23"/>
  <c r="AB217" i="23"/>
  <c r="AB209" i="23"/>
  <c r="Z210" i="23"/>
  <c r="Y207" i="23"/>
  <c r="AB202" i="23"/>
  <c r="AB194" i="23"/>
  <c r="AB193" i="23"/>
  <c r="AB187" i="23"/>
  <c r="AB186" i="23"/>
  <c r="AB178" i="23"/>
  <c r="AB177" i="23"/>
  <c r="AB179" i="23"/>
  <c r="AB171" i="23"/>
  <c r="AB169" i="23"/>
  <c r="AB156" i="23"/>
  <c r="AB147" i="23"/>
  <c r="AB146" i="23"/>
  <c r="AB135" i="23"/>
  <c r="B131" i="23"/>
  <c r="B234" i="23" s="1"/>
  <c r="B365" i="23" s="1"/>
  <c r="Z127" i="23"/>
  <c r="Z99" i="23"/>
  <c r="AB127" i="23"/>
  <c r="Z84" i="23"/>
  <c r="AB80" i="23"/>
  <c r="AB83" i="23"/>
  <c r="AB86" i="23" s="1"/>
  <c r="Z72" i="23"/>
  <c r="Z71" i="23"/>
  <c r="Z70" i="23"/>
  <c r="T69" i="23"/>
  <c r="P66" i="23"/>
  <c r="X64" i="23"/>
  <c r="AB160" i="23" s="1"/>
  <c r="AB63" i="23"/>
  <c r="Z60" i="23"/>
  <c r="X60" i="23"/>
  <c r="V60" i="23"/>
  <c r="T60" i="23"/>
  <c r="R60" i="23"/>
  <c r="R66" i="23" s="1"/>
  <c r="P60" i="23"/>
  <c r="AB58" i="23"/>
  <c r="AB57" i="23"/>
  <c r="AB60" i="23" s="1"/>
  <c r="Z253" i="23"/>
  <c r="X48" i="23"/>
  <c r="X47" i="23"/>
  <c r="AB41" i="23"/>
  <c r="N31" i="23"/>
  <c r="L31" i="23"/>
  <c r="J31" i="23"/>
  <c r="H31" i="23"/>
  <c r="AB42" i="23" s="1"/>
  <c r="F31" i="23"/>
  <c r="P30" i="23"/>
  <c r="N30" i="23"/>
  <c r="L30" i="23"/>
  <c r="J30" i="23"/>
  <c r="H30" i="23"/>
  <c r="F30" i="23"/>
  <c r="AB30" i="23" s="1"/>
  <c r="Z241" i="23" s="1"/>
  <c r="Z242" i="23" s="1"/>
  <c r="AB29" i="23"/>
  <c r="AB195" i="23" l="1"/>
  <c r="AB170" i="23"/>
  <c r="AB64" i="23"/>
  <c r="Z350" i="23"/>
  <c r="AB66" i="23"/>
  <c r="Z352" i="23" s="1"/>
  <c r="Z354" i="23"/>
  <c r="AA340" i="23"/>
  <c r="AA339" i="23"/>
  <c r="AA335" i="23"/>
  <c r="AA338" i="23"/>
  <c r="AA347" i="23"/>
  <c r="AA337" i="23"/>
  <c r="AA336" i="23"/>
  <c r="AA341" i="23"/>
  <c r="Y336" i="23"/>
  <c r="Y344" i="23" s="1"/>
  <c r="Y338" i="23"/>
  <c r="Y340" i="23"/>
  <c r="Y342" i="23"/>
  <c r="AA289" i="23"/>
  <c r="AA294" i="23"/>
  <c r="AA295" i="23"/>
  <c r="AA292" i="23"/>
  <c r="AA298" i="23" s="1"/>
  <c r="Z349" i="23"/>
  <c r="AA345" i="23" s="1"/>
  <c r="X349" i="23"/>
  <c r="X286" i="23"/>
  <c r="Y284" i="23" s="1"/>
  <c r="Y293" i="23"/>
  <c r="Y289" i="23"/>
  <c r="Y291" i="23"/>
  <c r="Y290" i="23"/>
  <c r="Y295" i="23"/>
  <c r="Y211" i="23"/>
  <c r="AB162" i="23"/>
  <c r="AB210" i="23"/>
  <c r="Y277" i="23"/>
  <c r="Y283" i="23"/>
  <c r="Y280" i="23"/>
  <c r="Y282" i="23"/>
  <c r="Y281" i="23"/>
  <c r="Y279" i="23"/>
  <c r="AB228" i="23"/>
  <c r="AB230" i="23"/>
  <c r="AB226" i="23"/>
  <c r="AB222" i="23"/>
  <c r="Z243" i="23"/>
  <c r="AB224" i="23"/>
  <c r="AB128" i="23"/>
  <c r="Z351" i="23"/>
  <c r="AB208" i="23"/>
  <c r="Z286" i="23"/>
  <c r="AA284" i="23" s="1"/>
  <c r="Y292" i="23"/>
  <c r="Y294" i="23"/>
  <c r="Y346" i="23"/>
  <c r="Z83" i="23"/>
  <c r="Z86" i="23" s="1"/>
  <c r="Z128" i="23" s="1"/>
  <c r="AA342" i="23"/>
  <c r="AA344" i="23" s="1"/>
  <c r="Y345" i="23"/>
  <c r="Z239" i="21"/>
  <c r="AA280" i="23" l="1"/>
  <c r="AA277" i="23"/>
  <c r="AA281" i="23"/>
  <c r="AA279" i="23"/>
  <c r="AA282" i="23"/>
  <c r="Y278" i="23"/>
  <c r="Y286" i="23" s="1"/>
  <c r="Y298" i="23"/>
  <c r="AA283" i="23"/>
  <c r="AA278" i="23"/>
  <c r="AB42" i="21"/>
  <c r="AB35" i="21"/>
  <c r="AA286" i="23" l="1"/>
  <c r="Z253" i="22"/>
  <c r="AB35" i="22" l="1"/>
  <c r="AB111" i="22" l="1"/>
  <c r="AB90" i="22"/>
  <c r="AB75" i="22"/>
  <c r="AB74" i="22"/>
  <c r="Z73" i="22"/>
  <c r="T57" i="22" l="1"/>
  <c r="AB30" i="22" l="1"/>
  <c r="Z344" i="22" l="1"/>
  <c r="AA346" i="22" s="1"/>
  <c r="X344" i="22"/>
  <c r="Y347" i="22" s="1"/>
  <c r="Y341" i="22"/>
  <c r="AA340" i="22"/>
  <c r="Y338" i="22"/>
  <c r="Y336" i="22"/>
  <c r="AA332" i="22"/>
  <c r="Z332" i="22"/>
  <c r="Y332" i="22"/>
  <c r="X332" i="22"/>
  <c r="X349" i="22" s="1"/>
  <c r="AA320" i="22"/>
  <c r="Z320" i="22"/>
  <c r="Y320" i="22"/>
  <c r="X320" i="22"/>
  <c r="AA310" i="22"/>
  <c r="Z310" i="22"/>
  <c r="Y310" i="22"/>
  <c r="X310" i="22"/>
  <c r="Z298" i="22"/>
  <c r="AA294" i="22" s="1"/>
  <c r="X298" i="22"/>
  <c r="Y294" i="22" s="1"/>
  <c r="Y295" i="22"/>
  <c r="Y293" i="22"/>
  <c r="Y292" i="22"/>
  <c r="Y291" i="22"/>
  <c r="Y290" i="22"/>
  <c r="Y289" i="22"/>
  <c r="Z284" i="22"/>
  <c r="X284" i="22"/>
  <c r="Z283" i="22"/>
  <c r="X283" i="22"/>
  <c r="Z282" i="22"/>
  <c r="X282" i="22"/>
  <c r="Z281" i="22"/>
  <c r="X281" i="22"/>
  <c r="Z280" i="22"/>
  <c r="X280" i="22"/>
  <c r="Z279" i="22"/>
  <c r="X279" i="22"/>
  <c r="Z278" i="22"/>
  <c r="X278" i="22"/>
  <c r="Z277" i="22"/>
  <c r="X277" i="22"/>
  <c r="Z263" i="22"/>
  <c r="Z261" i="22"/>
  <c r="Z260" i="22"/>
  <c r="Z259" i="22"/>
  <c r="Y259" i="22"/>
  <c r="Z258" i="22"/>
  <c r="Y258" i="22"/>
  <c r="AB217" i="22"/>
  <c r="AB209" i="22"/>
  <c r="Y207" i="22"/>
  <c r="AB202" i="22"/>
  <c r="AB203" i="22" s="1"/>
  <c r="AB194" i="22"/>
  <c r="AB193" i="22"/>
  <c r="AB186" i="22"/>
  <c r="AB187" i="22" s="1"/>
  <c r="AB178" i="22"/>
  <c r="AB177" i="22"/>
  <c r="AB171" i="22"/>
  <c r="AB169" i="22"/>
  <c r="AB168" i="22"/>
  <c r="AB147" i="22"/>
  <c r="AB156" i="22" s="1"/>
  <c r="AB146" i="22"/>
  <c r="AB135" i="22"/>
  <c r="B131" i="22"/>
  <c r="B234" i="22" s="1"/>
  <c r="B365" i="22" s="1"/>
  <c r="AB127" i="22"/>
  <c r="Z127" i="22"/>
  <c r="Z99" i="22"/>
  <c r="Z84" i="22"/>
  <c r="AB80" i="22"/>
  <c r="Z72" i="22"/>
  <c r="Z70" i="22"/>
  <c r="T69" i="22"/>
  <c r="X64" i="22"/>
  <c r="AB160" i="22" s="1"/>
  <c r="AB63" i="22"/>
  <c r="Z60" i="22"/>
  <c r="X60" i="22"/>
  <c r="V60" i="22"/>
  <c r="R60" i="22"/>
  <c r="R66" i="22" s="1"/>
  <c r="P60" i="22"/>
  <c r="P66" i="22" s="1"/>
  <c r="AB58" i="22"/>
  <c r="T60" i="22"/>
  <c r="X48" i="22"/>
  <c r="X47" i="22"/>
  <c r="AB41" i="22"/>
  <c r="P31" i="22"/>
  <c r="N31" i="22"/>
  <c r="L31" i="22"/>
  <c r="J31" i="22"/>
  <c r="H31" i="22"/>
  <c r="F31" i="22"/>
  <c r="AB31" i="22" s="1"/>
  <c r="P30" i="22"/>
  <c r="N30" i="22"/>
  <c r="L30" i="22"/>
  <c r="J30" i="22"/>
  <c r="H30" i="22"/>
  <c r="F30" i="22"/>
  <c r="AB29" i="22"/>
  <c r="AB64" i="22" l="1"/>
  <c r="Z350" i="22" s="1"/>
  <c r="AA337" i="22"/>
  <c r="AA341" i="22"/>
  <c r="AA335" i="22"/>
  <c r="AA338" i="22"/>
  <c r="Y335" i="22"/>
  <c r="Y340" i="22"/>
  <c r="Y342" i="22"/>
  <c r="Y337" i="22"/>
  <c r="Y339" i="22"/>
  <c r="Y296" i="22"/>
  <c r="Y298" i="22" s="1"/>
  <c r="Z71" i="22"/>
  <c r="AA289" i="22"/>
  <c r="AA292" i="22"/>
  <c r="AA295" i="22"/>
  <c r="X286" i="22"/>
  <c r="Y278" i="22" s="1"/>
  <c r="AA347" i="22"/>
  <c r="AB42" i="22"/>
  <c r="AB83" i="22"/>
  <c r="AB86" i="22" s="1"/>
  <c r="Z243" i="22" s="1"/>
  <c r="AA290" i="22"/>
  <c r="AA293" i="22"/>
  <c r="AA296" i="22"/>
  <c r="Z241" i="22"/>
  <c r="Z242" i="22" s="1"/>
  <c r="AA336" i="22"/>
  <c r="AA344" i="22" s="1"/>
  <c r="AA339" i="22"/>
  <c r="AA342" i="22"/>
  <c r="AB170" i="22"/>
  <c r="AA291" i="22"/>
  <c r="Z349" i="22"/>
  <c r="Y284" i="22"/>
  <c r="Y282" i="22"/>
  <c r="Z286" i="22"/>
  <c r="AA282" i="22" s="1"/>
  <c r="Y346" i="22"/>
  <c r="Z83" i="22"/>
  <c r="Z86" i="22" s="1"/>
  <c r="Z128" i="22" s="1"/>
  <c r="Z354" i="22"/>
  <c r="AB57" i="22"/>
  <c r="AB60" i="22" s="1"/>
  <c r="AB66" i="22" s="1"/>
  <c r="Z352" i="22" s="1"/>
  <c r="Y345" i="22"/>
  <c r="AB222" i="22" l="1"/>
  <c r="AB226" i="22"/>
  <c r="AB224" i="22"/>
  <c r="AB228" i="22"/>
  <c r="Z351" i="22"/>
  <c r="Y344" i="22"/>
  <c r="AA345" i="22"/>
  <c r="Y281" i="22"/>
  <c r="Y277" i="22"/>
  <c r="Y280" i="22"/>
  <c r="AA281" i="22"/>
  <c r="AA283" i="22"/>
  <c r="AB128" i="22"/>
  <c r="AB230" i="22"/>
  <c r="Y279" i="22"/>
  <c r="Y283" i="22"/>
  <c r="AA298" i="22"/>
  <c r="AA278" i="22"/>
  <c r="Z239" i="22"/>
  <c r="AA279" i="22"/>
  <c r="AA280" i="22"/>
  <c r="AA277" i="22"/>
  <c r="AA286" i="22" s="1"/>
  <c r="AA284" i="22"/>
  <c r="Y286" i="22" l="1"/>
  <c r="Z253" i="20"/>
  <c r="AB136" i="21" l="1"/>
  <c r="AB41" i="21" l="1"/>
  <c r="AB90" i="21" l="1"/>
  <c r="AB75" i="21"/>
  <c r="AB74" i="21"/>
  <c r="Z70" i="21" l="1"/>
  <c r="Z72" i="21"/>
  <c r="T57" i="21"/>
  <c r="Z253" i="21" s="1"/>
  <c r="X47" i="21"/>
  <c r="Z73" i="21" l="1"/>
  <c r="P30" i="21"/>
  <c r="N30" i="21"/>
  <c r="L30" i="21"/>
  <c r="J30" i="21"/>
  <c r="H30" i="21"/>
  <c r="F30" i="21"/>
  <c r="F31" i="21"/>
  <c r="Z208" i="21" l="1"/>
  <c r="Z210" i="21" s="1"/>
  <c r="Z208" i="22" s="1"/>
  <c r="Z210" i="22" s="1"/>
  <c r="Y208" i="21"/>
  <c r="Y210" i="21" s="1"/>
  <c r="Y208" i="22" s="1"/>
  <c r="AB200" i="21"/>
  <c r="AB192" i="21"/>
  <c r="AB195" i="21" s="1"/>
  <c r="AB192" i="22" s="1"/>
  <c r="AB195" i="22" s="1"/>
  <c r="AB184" i="21"/>
  <c r="AB176" i="21"/>
  <c r="AB159" i="21"/>
  <c r="Z344" i="21"/>
  <c r="AA346" i="21" s="1"/>
  <c r="X344" i="21"/>
  <c r="Y347" i="21" s="1"/>
  <c r="AA341" i="21"/>
  <c r="AA332" i="21"/>
  <c r="Z332" i="21"/>
  <c r="Y332" i="21"/>
  <c r="X332" i="21"/>
  <c r="Y259" i="21" s="1"/>
  <c r="AA320" i="21"/>
  <c r="Z320" i="21"/>
  <c r="Y320" i="21"/>
  <c r="X320" i="21"/>
  <c r="AA310" i="21"/>
  <c r="Z310" i="21"/>
  <c r="Y310" i="21"/>
  <c r="X310" i="21"/>
  <c r="Z298" i="21"/>
  <c r="AA296" i="21" s="1"/>
  <c r="X298" i="21"/>
  <c r="Y296" i="21" s="1"/>
  <c r="Y295" i="21"/>
  <c r="AA292" i="21"/>
  <c r="Y292" i="21"/>
  <c r="Y291" i="21"/>
  <c r="Z284" i="21"/>
  <c r="X284" i="21"/>
  <c r="Z283" i="21"/>
  <c r="X283" i="21"/>
  <c r="Z282" i="21"/>
  <c r="X282" i="21"/>
  <c r="Z281" i="21"/>
  <c r="X281" i="21"/>
  <c r="Z280" i="21"/>
  <c r="X280" i="21"/>
  <c r="Z279" i="21"/>
  <c r="X279" i="21"/>
  <c r="Z278" i="21"/>
  <c r="X278" i="21"/>
  <c r="Z277" i="21"/>
  <c r="X277" i="21"/>
  <c r="X286" i="21" s="1"/>
  <c r="Z263" i="21"/>
  <c r="Z264" i="21" s="1"/>
  <c r="Z264" i="22" s="1"/>
  <c r="Z261" i="21"/>
  <c r="Z260" i="21"/>
  <c r="Z259" i="21"/>
  <c r="Z258" i="21"/>
  <c r="Y258" i="21"/>
  <c r="AB217" i="21"/>
  <c r="AB209" i="21"/>
  <c r="Y207" i="21"/>
  <c r="AB202" i="21"/>
  <c r="AB203" i="21" s="1"/>
  <c r="AB200" i="22" s="1"/>
  <c r="AB194" i="21"/>
  <c r="AB193" i="21"/>
  <c r="AB186" i="21"/>
  <c r="AB187" i="21" s="1"/>
  <c r="AB184" i="22" s="1"/>
  <c r="AB178" i="21"/>
  <c r="AB177" i="21"/>
  <c r="AB171" i="21"/>
  <c r="AB169" i="21"/>
  <c r="AB168" i="21"/>
  <c r="AB170" i="21" s="1"/>
  <c r="AB147" i="21"/>
  <c r="AB156" i="21" s="1"/>
  <c r="AB146" i="21"/>
  <c r="AB143" i="21"/>
  <c r="AB136" i="22" s="1"/>
  <c r="AB143" i="22" s="1"/>
  <c r="AB135" i="21"/>
  <c r="B131" i="21"/>
  <c r="B234" i="21" s="1"/>
  <c r="B365" i="21" s="1"/>
  <c r="Z127" i="21"/>
  <c r="Z99" i="21"/>
  <c r="AB127" i="21"/>
  <c r="Z84" i="21"/>
  <c r="AB80" i="21"/>
  <c r="AB83" i="21"/>
  <c r="AB86" i="21" s="1"/>
  <c r="T69" i="21"/>
  <c r="X64" i="21"/>
  <c r="AB160" i="21" s="1"/>
  <c r="AB63" i="21"/>
  <c r="Z60" i="21"/>
  <c r="X60" i="21"/>
  <c r="V60" i="21"/>
  <c r="R60" i="21"/>
  <c r="R66" i="21" s="1"/>
  <c r="P60" i="21"/>
  <c r="P66" i="21" s="1"/>
  <c r="AB58" i="21"/>
  <c r="T60" i="21"/>
  <c r="X48" i="21"/>
  <c r="P31" i="21"/>
  <c r="N31" i="21"/>
  <c r="L31" i="21"/>
  <c r="J31" i="21"/>
  <c r="H31" i="21"/>
  <c r="AB30" i="21"/>
  <c r="Z241" i="21" s="1"/>
  <c r="Z242" i="21" s="1"/>
  <c r="AB29" i="21"/>
  <c r="AA290" i="21" l="1"/>
  <c r="Y211" i="21"/>
  <c r="Z349" i="21"/>
  <c r="AA345" i="21" s="1"/>
  <c r="AB208" i="22"/>
  <c r="Y210" i="22"/>
  <c r="Y289" i="21"/>
  <c r="Y298" i="21" s="1"/>
  <c r="Y293" i="21"/>
  <c r="AA336" i="21"/>
  <c r="AB179" i="21"/>
  <c r="AB176" i="22" s="1"/>
  <c r="AB179" i="22" s="1"/>
  <c r="Z243" i="21"/>
  <c r="AB228" i="21"/>
  <c r="Y290" i="21"/>
  <c r="Y294" i="21"/>
  <c r="AA337" i="21"/>
  <c r="AB31" i="21"/>
  <c r="Z354" i="21" s="1"/>
  <c r="AA294" i="21"/>
  <c r="AB64" i="21"/>
  <c r="AA338" i="21"/>
  <c r="AA335" i="21"/>
  <c r="AA339" i="21"/>
  <c r="AA347" i="21"/>
  <c r="Y336" i="21"/>
  <c r="Y338" i="21"/>
  <c r="Y340" i="21"/>
  <c r="Y341" i="21"/>
  <c r="Y335" i="21"/>
  <c r="Y337" i="21"/>
  <c r="Y339" i="21"/>
  <c r="Y342" i="21"/>
  <c r="AA289" i="21"/>
  <c r="AA291" i="21"/>
  <c r="AA293" i="21"/>
  <c r="AA295" i="21"/>
  <c r="X349" i="21"/>
  <c r="AB210" i="21"/>
  <c r="AB208" i="21"/>
  <c r="AB162" i="21"/>
  <c r="AB159" i="22" s="1"/>
  <c r="AB162" i="22" s="1"/>
  <c r="AB230" i="21"/>
  <c r="AB222" i="21"/>
  <c r="AB128" i="21"/>
  <c r="AB224" i="21"/>
  <c r="AB226" i="21"/>
  <c r="AA277" i="21"/>
  <c r="Y284" i="21"/>
  <c r="Y281" i="21"/>
  <c r="Y279" i="21"/>
  <c r="Y277" i="21"/>
  <c r="Y283" i="21"/>
  <c r="Y282" i="21"/>
  <c r="Y280" i="21"/>
  <c r="Y278" i="21"/>
  <c r="Z286" i="21"/>
  <c r="AA283" i="21" s="1"/>
  <c r="Y346" i="21"/>
  <c r="AA340" i="21"/>
  <c r="AA342" i="21"/>
  <c r="AB57" i="21"/>
  <c r="AB60" i="21" s="1"/>
  <c r="Z71" i="21"/>
  <c r="Y345" i="21"/>
  <c r="AB90" i="20"/>
  <c r="AB75" i="20"/>
  <c r="AB74" i="20"/>
  <c r="Z72" i="20"/>
  <c r="X64" i="20"/>
  <c r="T57" i="20"/>
  <c r="AB66" i="21" l="1"/>
  <c r="Z352" i="21" s="1"/>
  <c r="Z83" i="21"/>
  <c r="Z86" i="21" s="1"/>
  <c r="Z128" i="21" s="1"/>
  <c r="Z350" i="21"/>
  <c r="Z351" i="21" s="1"/>
  <c r="AB210" i="22"/>
  <c r="Y211" i="22"/>
  <c r="AA344" i="21"/>
  <c r="Y344" i="21"/>
  <c r="AA282" i="21"/>
  <c r="AA281" i="21"/>
  <c r="AA298" i="21"/>
  <c r="AA280" i="21"/>
  <c r="Y286" i="21"/>
  <c r="AA279" i="21"/>
  <c r="AA278" i="21"/>
  <c r="AA284" i="21"/>
  <c r="P31" i="20"/>
  <c r="F31" i="20"/>
  <c r="AA286" i="21" l="1"/>
  <c r="AB41" i="20"/>
  <c r="Y207" i="20" l="1"/>
  <c r="AB202" i="20"/>
  <c r="AB203" i="20" s="1"/>
  <c r="AB193" i="20"/>
  <c r="AB186" i="20"/>
  <c r="AB187" i="20" s="1"/>
  <c r="AB178" i="20"/>
  <c r="AB177" i="20"/>
  <c r="AB169" i="20"/>
  <c r="AB168" i="20"/>
  <c r="AB147" i="20"/>
  <c r="AB136" i="20"/>
  <c r="AB143" i="20" s="1"/>
  <c r="AB29" i="20"/>
  <c r="AB35" i="20" s="1"/>
  <c r="AB179" i="20" l="1"/>
  <c r="AB146" i="20" l="1"/>
  <c r="AB135" i="20"/>
  <c r="X48" i="20"/>
  <c r="AB30" i="20"/>
  <c r="Z320" i="20" l="1"/>
  <c r="X320" i="20"/>
  <c r="AA320" i="20" l="1"/>
  <c r="Y320" i="20"/>
  <c r="AB64" i="20" l="1"/>
  <c r="Z73" i="20"/>
  <c r="Z344" i="20" l="1"/>
  <c r="X344" i="20"/>
  <c r="Y347" i="20" l="1"/>
  <c r="Y346" i="20"/>
  <c r="AA339" i="20"/>
  <c r="AA347" i="20"/>
  <c r="AA346" i="20"/>
  <c r="Y342" i="20"/>
  <c r="AA342" i="20"/>
  <c r="AA337" i="20"/>
  <c r="AA341" i="20"/>
  <c r="AA335" i="20"/>
  <c r="Y337" i="20"/>
  <c r="Y335" i="20"/>
  <c r="Y339" i="20"/>
  <c r="Y340" i="20"/>
  <c r="Y341" i="20"/>
  <c r="Y336" i="20"/>
  <c r="Y338" i="20"/>
  <c r="AA336" i="20"/>
  <c r="AA338" i="20"/>
  <c r="AA340" i="20"/>
  <c r="AA344" i="20" l="1"/>
  <c r="Y344" i="20"/>
  <c r="AB156" i="20" l="1"/>
  <c r="AA332" i="20"/>
  <c r="Z332" i="20"/>
  <c r="Z259" i="20" s="1"/>
  <c r="Y332" i="20"/>
  <c r="X332" i="20"/>
  <c r="Y259" i="20" s="1"/>
  <c r="AA310" i="20"/>
  <c r="Z310" i="20"/>
  <c r="Z258" i="20" s="1"/>
  <c r="Y310" i="20"/>
  <c r="X310" i="20"/>
  <c r="Y258" i="20" s="1"/>
  <c r="Z298" i="20"/>
  <c r="AA296" i="20" s="1"/>
  <c r="X298" i="20"/>
  <c r="Z284" i="20"/>
  <c r="X284" i="20"/>
  <c r="Z283" i="20"/>
  <c r="X283" i="20"/>
  <c r="Z282" i="20"/>
  <c r="X282" i="20"/>
  <c r="Z281" i="20"/>
  <c r="X281" i="20"/>
  <c r="Z280" i="20"/>
  <c r="X280" i="20"/>
  <c r="Z279" i="20"/>
  <c r="X279" i="20"/>
  <c r="Z278" i="20"/>
  <c r="X278" i="20"/>
  <c r="Z277" i="20"/>
  <c r="X277" i="20"/>
  <c r="Z263" i="20"/>
  <c r="Z264" i="20" s="1"/>
  <c r="Z261" i="20"/>
  <c r="Z260" i="20"/>
  <c r="AB217" i="20"/>
  <c r="AB209" i="20"/>
  <c r="AB194" i="20"/>
  <c r="AB171" i="20"/>
  <c r="AB160" i="20"/>
  <c r="B131" i="20"/>
  <c r="B234" i="20" s="1"/>
  <c r="B365" i="20" s="1"/>
  <c r="AB127" i="20"/>
  <c r="Z127" i="20"/>
  <c r="Z99" i="20"/>
  <c r="Z84" i="20"/>
  <c r="AB80" i="20"/>
  <c r="AB83" i="20" s="1"/>
  <c r="AB86" i="20" s="1"/>
  <c r="Z71" i="20"/>
  <c r="T69" i="20"/>
  <c r="AB63" i="20"/>
  <c r="Z350" i="20" s="1"/>
  <c r="Z60" i="20"/>
  <c r="X60" i="20"/>
  <c r="V60" i="20"/>
  <c r="R60" i="20"/>
  <c r="R66" i="20" s="1"/>
  <c r="P60" i="20"/>
  <c r="P66" i="20" s="1"/>
  <c r="AB58" i="20"/>
  <c r="N31" i="20"/>
  <c r="L31" i="20"/>
  <c r="J31" i="20"/>
  <c r="H31" i="20"/>
  <c r="AB128" i="20" l="1"/>
  <c r="Z243" i="20"/>
  <c r="AB230" i="20"/>
  <c r="AB222" i="20"/>
  <c r="AB31" i="20"/>
  <c r="AB42" i="20"/>
  <c r="AB226" i="20"/>
  <c r="AB224" i="20"/>
  <c r="AB228" i="20"/>
  <c r="Y296" i="20"/>
  <c r="X349" i="20"/>
  <c r="Y345" i="20" s="1"/>
  <c r="Y289" i="20"/>
  <c r="Z354" i="20"/>
  <c r="AA290" i="20"/>
  <c r="Y293" i="20"/>
  <c r="AA293" i="20"/>
  <c r="Z238" i="20"/>
  <c r="Z239" i="20" s="1"/>
  <c r="AA294" i="20"/>
  <c r="AA291" i="20"/>
  <c r="Z83" i="20"/>
  <c r="Z86" i="20" s="1"/>
  <c r="Z128" i="20" s="1"/>
  <c r="AA292" i="20"/>
  <c r="AA295" i="20"/>
  <c r="Z349" i="20"/>
  <c r="AA345" i="20" s="1"/>
  <c r="AA289" i="20"/>
  <c r="Z286" i="20"/>
  <c r="Y291" i="20"/>
  <c r="X286" i="20"/>
  <c r="Y282" i="20" s="1"/>
  <c r="Y295" i="20"/>
  <c r="AB195" i="20"/>
  <c r="AB162" i="20"/>
  <c r="AB57" i="20"/>
  <c r="AB60" i="20" s="1"/>
  <c r="AB66" i="20" s="1"/>
  <c r="Z352" i="20" s="1"/>
  <c r="T60" i="20"/>
  <c r="Y290" i="20"/>
  <c r="Y292" i="20"/>
  <c r="Y294" i="20"/>
  <c r="Z351" i="20" l="1"/>
  <c r="AA281" i="20"/>
  <c r="AA278" i="20"/>
  <c r="AA277" i="20"/>
  <c r="Y277" i="20"/>
  <c r="AA279" i="20"/>
  <c r="AA298" i="20"/>
  <c r="Y284" i="20"/>
  <c r="Z241" i="20"/>
  <c r="Z242" i="20" s="1"/>
  <c r="AA282" i="20"/>
  <c r="AA283" i="20"/>
  <c r="AA280" i="20"/>
  <c r="AA284" i="20"/>
  <c r="Y281" i="20"/>
  <c r="Y280" i="20"/>
  <c r="Y279" i="20"/>
  <c r="Y278" i="20"/>
  <c r="Y283" i="20"/>
  <c r="Y298" i="20"/>
  <c r="AA286" i="20" l="1"/>
  <c r="Y286" i="20"/>
  <c r="AB170" i="20" l="1"/>
  <c r="Y210" i="20" l="1"/>
  <c r="Z210" i="20"/>
  <c r="AB208" i="20" l="1"/>
  <c r="AB210" i="20"/>
  <c r="Y211" i="20"/>
</calcChain>
</file>

<file path=xl/sharedStrings.xml><?xml version="1.0" encoding="utf-8"?>
<sst xmlns="http://schemas.openxmlformats.org/spreadsheetml/2006/main" count="7926" uniqueCount="375">
  <si>
    <t>Summary Transaction  Features</t>
  </si>
  <si>
    <t>Name of Issuer</t>
  </si>
  <si>
    <t>Originator % at Closing</t>
  </si>
  <si>
    <t xml:space="preserve">Originator % at the Quarter End </t>
  </si>
  <si>
    <t>Date of Issue</t>
  </si>
  <si>
    <t>Date of Production</t>
  </si>
  <si>
    <t>Security Level Data</t>
  </si>
  <si>
    <t>ISIN</t>
  </si>
  <si>
    <t xml:space="preserve">Note Interest Margins: </t>
  </si>
  <si>
    <t>Current Note Interest Rates:</t>
  </si>
  <si>
    <t>Previous Note Interest Rates:</t>
  </si>
  <si>
    <t>Step-up Dates</t>
  </si>
  <si>
    <t>Record Date</t>
  </si>
  <si>
    <t>Asset Movements</t>
  </si>
  <si>
    <t>Mortgages</t>
  </si>
  <si>
    <t>Current Principal Balance (£'000)</t>
  </si>
  <si>
    <t>Accrued Arrears and Interest Sold to Issuer (£'000)</t>
  </si>
  <si>
    <t>Total (£'000)</t>
  </si>
  <si>
    <t>Credit Enhancement</t>
  </si>
  <si>
    <t>Unreplenished Losses on Mortgages</t>
  </si>
  <si>
    <t>Outstanding Note Principal</t>
  </si>
  <si>
    <t>Principal/Revenue Analysis</t>
  </si>
  <si>
    <t>Opening cash balance</t>
  </si>
  <si>
    <t xml:space="preserve">Total principal cash received this period from assets </t>
  </si>
  <si>
    <t>Initial income for distribution this period</t>
  </si>
  <si>
    <t>Revenue adjustment for payment of Accrued Arrears and Interest Sold at closing</t>
  </si>
  <si>
    <t>Final income for distribution this period</t>
  </si>
  <si>
    <t>Revenue payments made or accrued from Revenue Income:</t>
  </si>
  <si>
    <t>Third Party payments for Corporation Tax and VAT</t>
  </si>
  <si>
    <t>Principal payments made from Principal Income:</t>
  </si>
  <si>
    <t>Total payments to be made this quarter</t>
  </si>
  <si>
    <t>Total closing cash balance</t>
  </si>
  <si>
    <t>Available Credit Enhancement</t>
  </si>
  <si>
    <t>PDL Replenishment</t>
  </si>
  <si>
    <t>Principal Deficiency Ledger (PDL)</t>
  </si>
  <si>
    <t>Opening PDL Balance</t>
  </si>
  <si>
    <t>Losses this quarter</t>
  </si>
  <si>
    <t>Total PDL balance</t>
  </si>
  <si>
    <t>Closing PDL Balance</t>
  </si>
  <si>
    <t xml:space="preserve">Cash Flow Interest Coverage </t>
  </si>
  <si>
    <t>Cover Ratio for Class A Notes (at last Interest Payment Date)</t>
  </si>
  <si>
    <t xml:space="preserve">Cover Ratio for Class A Notes (cumulative) </t>
  </si>
  <si>
    <t>Collateral Level Data</t>
  </si>
  <si>
    <t>Original Weighted Average Yield</t>
  </si>
  <si>
    <t>Original Spread</t>
  </si>
  <si>
    <t>Current Weighted Average Yield</t>
  </si>
  <si>
    <t>Current Spread</t>
  </si>
  <si>
    <t>Original Weighted Average Maturity</t>
  </si>
  <si>
    <t>Current Weighted Average Maturity</t>
  </si>
  <si>
    <t>Quarterly Prepayment Rate</t>
  </si>
  <si>
    <t>Life Time Prepayment Rate</t>
  </si>
  <si>
    <t>Delinquency Status</t>
  </si>
  <si>
    <t>Enforcements in Progress</t>
  </si>
  <si>
    <t>Enforcements Completed</t>
  </si>
  <si>
    <t>Principal Losses</t>
  </si>
  <si>
    <t>Agg Loan Principal Losses (during related Collection Period)</t>
  </si>
  <si>
    <t>Cumulative Principal Losses (since closing date)</t>
  </si>
  <si>
    <t>Average Number of months in Arrears @ Redemption date</t>
  </si>
  <si>
    <t>Average months between Possession &amp; Redemption</t>
  </si>
  <si>
    <t>Performing</t>
  </si>
  <si>
    <t>&gt;1&lt;=2 Months</t>
  </si>
  <si>
    <t>&gt;2&lt;=3 Months</t>
  </si>
  <si>
    <t>Contact Name/Address</t>
  </si>
  <si>
    <t>As at Closing</t>
  </si>
  <si>
    <t>PDD =</t>
  </si>
  <si>
    <t>Last Quarter Balance</t>
  </si>
  <si>
    <t>Tel.</t>
  </si>
  <si>
    <t>E-mail</t>
  </si>
  <si>
    <t>Additions this quarter</t>
  </si>
  <si>
    <t>No.</t>
  </si>
  <si>
    <t>%</t>
  </si>
  <si>
    <t>Senior/Subordinate</t>
  </si>
  <si>
    <t>Repurchases this quarter</t>
  </si>
  <si>
    <t>Principal (£'000)</t>
  </si>
  <si>
    <t>£'000 Value</t>
  </si>
  <si>
    <t>£'000 Principal</t>
  </si>
  <si>
    <t>years</t>
  </si>
  <si>
    <t>Quarterly</t>
  </si>
  <si>
    <t>Current Principal Outstanding</t>
  </si>
  <si>
    <t>Revenue (£'000)</t>
  </si>
  <si>
    <t>Total</t>
  </si>
  <si>
    <t>x</t>
  </si>
  <si>
    <t>Payments to Swap Counterparty</t>
  </si>
  <si>
    <t>N/A</t>
  </si>
  <si>
    <t>Note Step-Up Margins</t>
  </si>
  <si>
    <t>Previous Quarterly Interest Period (No. of Days)</t>
  </si>
  <si>
    <t>Current Quarterly Interest Period (No. of Days)</t>
  </si>
  <si>
    <t>Replenishments from excess Revenue cash</t>
  </si>
  <si>
    <t>Current Pool Factor</t>
  </si>
  <si>
    <t>Previous Pool Factor</t>
  </si>
  <si>
    <t xml:space="preserve">Previous Outstanding Note Principal </t>
  </si>
  <si>
    <t>Original Issue Amount ('000)</t>
  </si>
  <si>
    <t xml:space="preserve">Current Outstanding Note Principal </t>
  </si>
  <si>
    <t>Drawings this quarter to fund</t>
  </si>
  <si>
    <t>N.B. This data fact sheet and its notes can only be a summary of certain features of the bonds and their structure. No representation can be made that the information herein is accurate or complete and no liability is accepted therefor. Reference should be made to the issued</t>
  </si>
  <si>
    <t xml:space="preserve">information herein when making any decision whether to buy, hold or sell bonds (or other securities) or for any other purpose. </t>
  </si>
  <si>
    <t>documentation for a full description of the bonds and their structure. This data fact sheet and its notes are for information purposes only and are not intended as an offer or invitation with respect to the purchase or sale of any security. Reliance should not be placed on the</t>
  </si>
  <si>
    <t>Appointment of a Receiver of Rent</t>
  </si>
  <si>
    <t>+44 (0) 121 712 2315</t>
  </si>
  <si>
    <t>ACTUAL/365</t>
  </si>
  <si>
    <t>&gt;3&lt;=4 Months</t>
  </si>
  <si>
    <t>&gt;4&lt;=5 Months</t>
  </si>
  <si>
    <t>&gt;5&lt;=6 Months</t>
  </si>
  <si>
    <t>&gt;6&lt;=12 Months</t>
  </si>
  <si>
    <t>&gt;12 Months</t>
  </si>
  <si>
    <t>Delinquency Summary (Excluding Receiver of Rent and Possession Cases)</t>
  </si>
  <si>
    <t>Delinquency Summary (For Possession Cases)</t>
  </si>
  <si>
    <t>Total Assets</t>
  </si>
  <si>
    <t xml:space="preserve">FOR FURTHER ASSISTANCE ON THE INVESTOR REPORTS, PLEASE REFER TO THE "INVESTOR TERMS" POSTED ON THE PARAGON WEBSITE   </t>
  </si>
  <si>
    <t xml:space="preserve">FOR ADDITIONAL INFORMATION ON THE UNDERLYING ASSETS, PLEASE REFER TO THE "POOL TABLES" AND "SUMMARY" SECTIONS POSTED ON THE PARAGON WEBSITE  </t>
  </si>
  <si>
    <t xml:space="preserve"> </t>
  </si>
  <si>
    <t>Quarterly Interest Payment Date</t>
  </si>
  <si>
    <t>Stated Maturity - Class A Notes</t>
  </si>
  <si>
    <t>Redemption Income</t>
  </si>
  <si>
    <t>Investment Income</t>
  </si>
  <si>
    <t>Quarterly Interest Income</t>
  </si>
  <si>
    <t>Receiver of Rent Properties Sold</t>
  </si>
  <si>
    <t>Average Number of months in Arrears @ Sale date</t>
  </si>
  <si>
    <t>Termination Fees to the Swap Providers</t>
  </si>
  <si>
    <t>Total Income as a % of the Total Assets</t>
  </si>
  <si>
    <t>Swap Receipts</t>
  </si>
  <si>
    <t>Delinquency Summary (For Receiver of Rent Cases)</t>
  </si>
  <si>
    <t>+44 (0) 121 712 3896</t>
  </si>
  <si>
    <t>N/A: Sequential Paydown</t>
  </si>
  <si>
    <t>Accrual from Revenue for potential Losses</t>
  </si>
  <si>
    <t>Possession Properties Sold</t>
  </si>
  <si>
    <t>Delinquency Summary</t>
  </si>
  <si>
    <t>Unrated</t>
  </si>
  <si>
    <t>PM (2010) Ltd</t>
  </si>
  <si>
    <t>Class A Note Interest</t>
  </si>
  <si>
    <t>Issuer Profit Amount</t>
  </si>
  <si>
    <t>Swap Retention fund</t>
  </si>
  <si>
    <t>Original Weighted Average Note Coupon</t>
  </si>
  <si>
    <t>Current Weighted Average Note Coupon</t>
  </si>
  <si>
    <t>Properties Sold by Mortgagee - Outstanding Principal Balance</t>
  </si>
  <si>
    <t>This Quarter's Scheduled Repayments</t>
  </si>
  <si>
    <t>This Quarter's Unscheduled / Redemptions</t>
  </si>
  <si>
    <t>Issuer Services Provider Fee</t>
  </si>
  <si>
    <t>Accrued Arrears and Interest not Sold to Issuer</t>
  </si>
  <si>
    <t>Total Mortgage Assets</t>
  </si>
  <si>
    <t>Class B Notes</t>
  </si>
  <si>
    <t>Class C Notes</t>
  </si>
  <si>
    <t>Class B Note repayment</t>
  </si>
  <si>
    <t>Class C Note repayment</t>
  </si>
  <si>
    <t>Cover Ratio for Class B Notes (at last Interest Payment Date)</t>
  </si>
  <si>
    <t xml:space="preserve">Cover Ratio for Class B Notes (cumulative) </t>
  </si>
  <si>
    <t>Cover Ratio for Class C Notes (at last Interest Payment Date)</t>
  </si>
  <si>
    <t xml:space="preserve">Cover Ratio for Class C Notes (cumulative) </t>
  </si>
  <si>
    <t>Stated Maturity - Class B Notes</t>
  </si>
  <si>
    <t>Stated Maturity - Class C Notes</t>
  </si>
  <si>
    <t>Class B Note Interest</t>
  </si>
  <si>
    <t>Class C Note Interest</t>
  </si>
  <si>
    <t>Andrew Kitching, 51 Homer Road, Solihull, West Midlands, B91 3QJ</t>
  </si>
  <si>
    <t>Jimmy Giles, 51 Homer Road, Solihull, West Midlands, B91 3QJ</t>
  </si>
  <si>
    <t>Moody's Rating at Closing</t>
  </si>
  <si>
    <t>Current Moody's Rating</t>
  </si>
  <si>
    <t>PM (2010) Mandatory Further Advances</t>
  </si>
  <si>
    <t>PM (2010) Discretionary Further Advances</t>
  </si>
  <si>
    <t>Fitch Rating at Closing</t>
  </si>
  <si>
    <t>Current Fitch Rating</t>
  </si>
  <si>
    <t>Optional Redemption (Call)  Dates</t>
  </si>
  <si>
    <t>Class Z Notes</t>
  </si>
  <si>
    <t>Class Z Note Interest and Deferred Interest</t>
  </si>
  <si>
    <t>Class Z Note repayment</t>
  </si>
  <si>
    <t>Cover Ratio for Class Z Notes (at last Interest Payment Date)</t>
  </si>
  <si>
    <t xml:space="preserve">Cover Ratio for Class Z Notes (cumulative) </t>
  </si>
  <si>
    <t>Stated Maturity - Class Z Notes</t>
  </si>
  <si>
    <t>Aggregate Principal Balance of Repurchased Loans (during related Collection Period)</t>
  </si>
  <si>
    <t>http://www.paragonbankinggroup.co.uk</t>
  </si>
  <si>
    <t>andrew.kitching@paragonbank.co.uk</t>
  </si>
  <si>
    <t>jimmy.giles@paragonbank.co.uk</t>
  </si>
  <si>
    <t>Class D Notes</t>
  </si>
  <si>
    <t>Mandatory Further Advance Pre Funding Reserve</t>
  </si>
  <si>
    <t>Class D Note repayment</t>
  </si>
  <si>
    <t>Mandatory Further Advance Pre Funding Reserve Ledger (MFAPFRL)</t>
  </si>
  <si>
    <t>Mandatory Further Advance Pre Funding Reserve utilised this quarter</t>
  </si>
  <si>
    <t xml:space="preserve">Closing Mandatory Further Advance Pre Funding Reserve </t>
  </si>
  <si>
    <t>Cover Ratio for Class D Notes (at last Interest Payment Date)</t>
  </si>
  <si>
    <t xml:space="preserve">Cover Ratio for Class D Notes (cumulative) </t>
  </si>
  <si>
    <t>Stated Maturity - Class D Notes</t>
  </si>
  <si>
    <t>Class D Note Interest</t>
  </si>
  <si>
    <t>Class S Notes</t>
  </si>
  <si>
    <t>Class S VFN Notes</t>
  </si>
  <si>
    <t>RC1a Residential Certificates</t>
  </si>
  <si>
    <t>RC1b Residential Certificates</t>
  </si>
  <si>
    <t>RC2a Residential Certificates</t>
  </si>
  <si>
    <t>RC2b Residential Certificates</t>
  </si>
  <si>
    <t>Class A, B, C, D, Z, S and SVFN Interest Calculated on</t>
  </si>
  <si>
    <t>Surplus Income diverted to Principal (On or after the Step Up Date)</t>
  </si>
  <si>
    <t>Class S Note repayment</t>
  </si>
  <si>
    <t>General Reserve Fund</t>
  </si>
  <si>
    <t>General Reserve Fund at Closing</t>
  </si>
  <si>
    <t>Class A and Class B Liquidity Reserve Fund</t>
  </si>
  <si>
    <t xml:space="preserve">Mortgage Margin Reserve Fund </t>
  </si>
  <si>
    <t>Stated Maturity - Class S Notes</t>
  </si>
  <si>
    <t>Stated Maturity - Class S VFN Notes</t>
  </si>
  <si>
    <t>Class A, B, C, D, Z, S and SVFN Interest Payment Cycle</t>
  </si>
  <si>
    <t>Determination Event for Paying Class B, C, D, Z, S and SVFN Notes</t>
  </si>
  <si>
    <t xml:space="preserve">Class A Note Interest </t>
  </si>
  <si>
    <t xml:space="preserve">Class A and Class B Liquidity Reserve Fund at Closing </t>
  </si>
  <si>
    <t>General Reserve Fund replenishment to the General Reserve Fund Required Amount</t>
  </si>
  <si>
    <t>Class A and B Liquidity Reserve Fund replenishment to the Class A and B Liquidity Reserve Fund Required Amount</t>
  </si>
  <si>
    <t>Closing General Reserve Fund Balance</t>
  </si>
  <si>
    <t>Closing Class A and Class B Liquidity Reserve Fund Balance</t>
  </si>
  <si>
    <t>Last Quarter closing Class A and B Liquidity Reserve Fund Balance (1.50% of the Class A and B Notes outstanding)</t>
  </si>
  <si>
    <t>Last Quarter closing General Reserve Fund Balance (1.50% of the Class C and D Notes outstanding)</t>
  </si>
  <si>
    <t xml:space="preserve">Mortgage Margin Reserve Fund Discretionary Fund </t>
  </si>
  <si>
    <t>Closing Mortgage Margin Reserve Fund Balance</t>
  </si>
  <si>
    <t>Mortgage Margin Reserve Fund Discretionary Amount at Closing</t>
  </si>
  <si>
    <t>Closing Mortgage Margin Reserve Fund Discretionary Amount Balance</t>
  </si>
  <si>
    <t>Last Quarter Mortgage Margin Reserve Fund Balance</t>
  </si>
  <si>
    <t>Last Quarter Mortgage Margin Reserve Fund Discretionary Amount balance</t>
  </si>
  <si>
    <t xml:space="preserve">Conversion Margin Reserve Fund </t>
  </si>
  <si>
    <t>Last Quarter Conversion Margin Reserve Fund Balance</t>
  </si>
  <si>
    <t>Conversion Margin Reserve Fund Discretionary Amount at Closing</t>
  </si>
  <si>
    <t xml:space="preserve">Last quarter Conversion Margin Reserve Fund Discretionary Amount balance </t>
  </si>
  <si>
    <t>Closing Conversion Margin Reserve Fund Discretionary Amount Balance</t>
  </si>
  <si>
    <t xml:space="preserve">Funding of the PM(2010) Mandatory Further Advances </t>
  </si>
  <si>
    <t>PM(2010) Mandatory Further Advance Pre Funding Reserve diverted to Principal</t>
  </si>
  <si>
    <t>Principal Receipts to Revenue to fund Senior Expenses Deficit</t>
  </si>
  <si>
    <t>AAA</t>
  </si>
  <si>
    <t>AA</t>
  </si>
  <si>
    <t>Aaa</t>
  </si>
  <si>
    <t>Aa1</t>
  </si>
  <si>
    <t>Class A and B Liquidity Reserve Fund Release Amount / Excess Amount</t>
  </si>
  <si>
    <t>General Reserve Fund Release Amount / Excess Amount</t>
  </si>
  <si>
    <t>Residual Certificates Payments (prior to but excluding the Step Up Date)</t>
  </si>
  <si>
    <t>Principal to meet Senior Expenses Deficit</t>
  </si>
  <si>
    <t>Amounts credited to the Mortgage Margin Reserve Fund during the period</t>
  </si>
  <si>
    <t>Amounts credited to the Mortgage MRF Discretionary Fund from Revenue during the period</t>
  </si>
  <si>
    <t xml:space="preserve">Scheduled Conversion Margin Reserve Fund Release Amount to the Revenue Ledger </t>
  </si>
  <si>
    <t>Amounts credited to the Conversion MRF Discretionary Fund from Revenue during the period</t>
  </si>
  <si>
    <t>Principal to meet Senior Expenses / Note Interest</t>
  </si>
  <si>
    <t>Interest Rate Converted Mortgage Release Amount and any excess</t>
  </si>
  <si>
    <t>Amounts credited to the Mortgage MRF from the Mortgage MRF Discretionary Fund during the period</t>
  </si>
  <si>
    <t>Amounts credited to the Conversion MRF from the Conversion MRF Discretionary Fund during the period</t>
  </si>
  <si>
    <t xml:space="preserve">Scheduled Mortgage Margin Reserve Fund Release Amount to the Revenue Ledger </t>
  </si>
  <si>
    <t>Mandatory and Discretionary Further Advances (FA's)</t>
  </si>
  <si>
    <t>Total FA's permitted</t>
  </si>
  <si>
    <t>FA's made to last quarter</t>
  </si>
  <si>
    <t>FA's made this quarter</t>
  </si>
  <si>
    <t>Total FA's made to date</t>
  </si>
  <si>
    <t>Remaining permitted FA's</t>
  </si>
  <si>
    <t>DFA's</t>
  </si>
  <si>
    <t>MFA's</t>
  </si>
  <si>
    <t>Total Class A , B, C , D and Z Note Principal</t>
  </si>
  <si>
    <t>Scheduled Mortgage Margin Reserve Fund Release Amount and any excess</t>
  </si>
  <si>
    <t xml:space="preserve">Senior Administration Fee to PM (2010)/ PB / Substitute Administrator Facilitator / Out of pocket expenses / Senior Expenses </t>
  </si>
  <si>
    <t xml:space="preserve">Drawings this quarter to fund: </t>
  </si>
  <si>
    <t>Mandatory Further Advance Pre Funding Reserve Diverted to the Principal Ledger</t>
  </si>
  <si>
    <t>Senior Expenses</t>
  </si>
  <si>
    <t>Excess amount released to the Revenue Ledger</t>
  </si>
  <si>
    <t>Current Outstanding Class B, C, D and Z Notes as a percentage of the Current Outstanding Class A Notes</t>
  </si>
  <si>
    <t xml:space="preserve">Class B, C, D and Z Notes as a percentage of the Class A Notes at issue </t>
  </si>
  <si>
    <t>400bp</t>
  </si>
  <si>
    <t>Amounts due to Administrators and Paragon Corporate Services Provider</t>
  </si>
  <si>
    <t>Amounts credited to the Conversion Margin Reserve Fund during the period</t>
  </si>
  <si>
    <t xml:space="preserve">Class S Note Interest </t>
  </si>
  <si>
    <t>Class S Note Principal</t>
  </si>
  <si>
    <t xml:space="preserve">Class S VFN Note Interest </t>
  </si>
  <si>
    <t>Class S VFN Note Principal</t>
  </si>
  <si>
    <t>Aggregate Balance of Substituted Loans</t>
  </si>
  <si>
    <t>Paragon Bank Mandatory Further Advances</t>
  </si>
  <si>
    <t>Paragon Bank Discretionary Further Advances</t>
  </si>
  <si>
    <t>Paragon Bank</t>
  </si>
  <si>
    <t>Total Hedge Amount</t>
  </si>
  <si>
    <t>Over (+) / Under (-) Hedging</t>
  </si>
  <si>
    <t>Hedging Corridor</t>
  </si>
  <si>
    <t>PDL replenishment (-) from Revenue income / Recovery (+) to Revenue income</t>
  </si>
  <si>
    <t>A</t>
  </si>
  <si>
    <t>Aa3</t>
  </si>
  <si>
    <t>BBB</t>
  </si>
  <si>
    <t>225bp</t>
  </si>
  <si>
    <t>180bp</t>
  </si>
  <si>
    <t>Available Redemption Funds</t>
  </si>
  <si>
    <t>Trustee Fee/Costs and Expenses claimed by the Substitute Administrator &amp; Maples Corporate Services Provider</t>
  </si>
  <si>
    <t>Mortgage MRF Discretionary Amount (prior to the Step Up Date)</t>
  </si>
  <si>
    <t>Conversion MRF Discretionary Amount (prior to the Step Up Date)</t>
  </si>
  <si>
    <t>Legal Entity Identifier (LEI)</t>
  </si>
  <si>
    <t>Weighted Average Swap Rate</t>
  </si>
  <si>
    <t>MFAPFRL and Available Redemption Funds</t>
  </si>
  <si>
    <t>Mandatory Further Advance Pre Funding Reserve at last quarter end</t>
  </si>
  <si>
    <t>**</t>
  </si>
  <si>
    <t>Delinquency Summary (For COVID19 Payment Holiday Cases)</t>
  </si>
  <si>
    <t>Payment Holidays</t>
  </si>
  <si>
    <t>On 18th March 2020, the UK Government instructed Lenders to grant a three-month mortgage payment holiday to Buy to Let landlords who may be experiencing difficulties in meeting their buy to let mortgage payments caused by the impact of the COVID19 virus.</t>
  </si>
  <si>
    <t>Following this guidance and where appropriate, Paragon have agreed a mortgage payment holiday with customers, ranging between one and three months. Paragon have emphasised to the customers (a) this is only a temporary arrangement and that the position</t>
  </si>
  <si>
    <t xml:space="preserve">will be reviewed after the payment holiday period and (b) interest will continue to be charged on the payment holiday amount that forms part of the customers' outstanding mortgage balance. Following the expiry of the relevant payment holiday arrangement, </t>
  </si>
  <si>
    <t xml:space="preserve">Paragon will contact the customer with a range of available options, including an overpayment on the customers' monthly payment to clear the payment holiday amount. In accordance with the practices of a reasonable prudent administrator, each case will be </t>
  </si>
  <si>
    <t>assessed individually and on its own merits.</t>
  </si>
  <si>
    <t>Paragon have also made the necessary system changes to accommodate payment holidays. For reporting purposes, and in line with the UK Finance's expectations, customers that have been granted a payment holiday will not be categorised nor reported as an arrears</t>
  </si>
  <si>
    <t xml:space="preserve">loan. It is expected that Paragon will be in a position to identify and report on the payment holiday customers for investor reporting and loan by loan disclosure requirements. </t>
  </si>
  <si>
    <t>LIBOR transition</t>
  </si>
  <si>
    <t>Paragon are proactively working with other banks, industry bodies, our regulators and trade associations to define the next steps to consider alternatives to LIBOR and explore all reasonable alternatives. The decision regarding the replacement will be based on a variety of factors,</t>
  </si>
  <si>
    <t>% by Number of Accounts/Balance</t>
  </si>
  <si>
    <t>Rented</t>
  </si>
  <si>
    <t>Vacant - to be let</t>
  </si>
  <si>
    <t>Vacant - to be sold</t>
  </si>
  <si>
    <t>Property Rented/For Sale</t>
  </si>
  <si>
    <t>Receiver of Rent Cases by Current Status, as at the PDD</t>
  </si>
  <si>
    <t xml:space="preserve">Strategic review </t>
  </si>
  <si>
    <t>PM27 PLC</t>
  </si>
  <si>
    <t>Paragon Mortgages (No.27) PLC</t>
  </si>
  <si>
    <t>This performance report is issued by Paragon Mortgages (2010) Limited for and on behalf of Paragon Mortgages (No.27) PLC</t>
  </si>
  <si>
    <t>Class A Notes</t>
  </si>
  <si>
    <t>110bp</t>
  </si>
  <si>
    <t>150bp</t>
  </si>
  <si>
    <t>210bp</t>
  </si>
  <si>
    <t>310bp</t>
  </si>
  <si>
    <t>165bp</t>
  </si>
  <si>
    <t>270bp</t>
  </si>
  <si>
    <t>PM27 INVESTOR REPORT QUARTER ENDING JUNE 2020</t>
  </si>
  <si>
    <t>Class A Note repayment</t>
  </si>
  <si>
    <t>XS2132036737</t>
  </si>
  <si>
    <t>XS2132137337</t>
  </si>
  <si>
    <t>XS2132137410</t>
  </si>
  <si>
    <t>XS2132137683</t>
  </si>
  <si>
    <t>XS2132137766</t>
  </si>
  <si>
    <t>XS2132137840</t>
  </si>
  <si>
    <t>XS2132138061</t>
  </si>
  <si>
    <t>XS2132146320</t>
  </si>
  <si>
    <t>XS2132193165</t>
  </si>
  <si>
    <t>XS2132193322</t>
  </si>
  <si>
    <t>213800D66FYI8ZILGC69</t>
  </si>
  <si>
    <t>Baa1</t>
  </si>
  <si>
    <t xml:space="preserve">Total Current Balance of Fixed Rate Assets </t>
  </si>
  <si>
    <t>** For transparency, a table has been included where customers have elected to take a payment holiday, caused by COVID19. Rows 335 - 345 Delinquency Summary (For COVID19 Payment Holiday Cases) are included in the Overall Delinquency Summary in rows 277 - 287.</t>
  </si>
  <si>
    <t>Retention Requirement under Article 6 of Regulation (EU) 2017/2402 (the "Securitisation Regulation") held by Paragon Bank PLC</t>
  </si>
  <si>
    <t>Payment Holiday Extensions</t>
  </si>
  <si>
    <t xml:space="preserve">On 22nd May 2020, the UK Government announced that payment holidays would be extended for a further three months for Buy to Let landlords who may be experiencing, or continue to experience, difficulties in meeting their buy to let mortgage payments caused </t>
  </si>
  <si>
    <t xml:space="preserve">by the impact of the COVID19 virus. There is a deadline of 31st October 2020 for customers who have yet to apply for a payment holiday with their lenders. The same principles as outlined above for the "original" payment holiday customers will also apply to the </t>
  </si>
  <si>
    <t>"extended" payment holiday customers.</t>
  </si>
  <si>
    <t>Mortgage Margin Reserve Fund Required Amount at Closing</t>
  </si>
  <si>
    <t>Conversion Margin Reserve Fund Discretionary Fund</t>
  </si>
  <si>
    <t>Conversion Margin Reserve Fund Amount at Closing</t>
  </si>
  <si>
    <t>WA PH Remaining Term (months)</t>
  </si>
  <si>
    <t>Original Payment Holiday Borrowers</t>
  </si>
  <si>
    <t>Extended Payment Holiday Borrowers</t>
  </si>
  <si>
    <t xml:space="preserve">to the Standard Variable Rate. All converted mortgages revert to the Standard Variable Rate. There are no LIBOR linked mortgage assets in PM27. </t>
  </si>
  <si>
    <t xml:space="preserve">including taking into account the interests of our customers, market consultations and the expectations of our regulators (the PRA and FCA). This statement is not relevant to PM27 as SONIA is the PM27 Note Reference Rate (and not LIBOR) and all of the PM27 mortgage assets are fixed rate that revert   </t>
  </si>
  <si>
    <t>PM27 INVESTOR REPORT QUARTER ENDING SEPTEMBER 2020</t>
  </si>
  <si>
    <t>PM27 INVESTOR REPORT QUARTER ENDING DECEMBER 2020</t>
  </si>
  <si>
    <t>Payment holidays were extended in June 2020 and November 2020 for Buy to Let landlords who may be experiencing, or continue to experience, difficulties in meeting their buy to let mortgage payments caused by the impact of the COVID19 virus.</t>
  </si>
  <si>
    <t>PM27 INVESTOR REPORT QUARTER ENDING MARCH 2021</t>
  </si>
  <si>
    <t>The deadline for customers to apply for a payment holiday with their lenders was 31st March 2021 and all payment holidays must end by 31st July 2021. The same principles as outlined above for the "original" payment holiday customers also applies to the "extended" payment holiday customers.</t>
  </si>
  <si>
    <t>PM27 INVESTOR REPORT QUARTER ENDING JUNE 2021</t>
  </si>
  <si>
    <t>Closing Conversion Mortgage Margin Reserve Fund Balance</t>
  </si>
  <si>
    <t xml:space="preserve">There is a deadline of 31st January 2021 for customers who have yet to apply for a payment holiday with their lenders. The same principles as outlined above for the "original" payment holiday customers will also apply to the "extended" payment holiday customers. </t>
  </si>
  <si>
    <t>PM27 INVESTOR REPORT QUARTER ENDING SEPTEMBER 2021</t>
  </si>
  <si>
    <t>All payment holidays expired on 31st July 2021.</t>
  </si>
  <si>
    <t>The same principles as outlined above for the "original" payment holiday customers also applies to the "extended" payment holiday customers.</t>
  </si>
  <si>
    <t>LIBOR transition on the Libor Linked Assets</t>
  </si>
  <si>
    <t xml:space="preserve">For information purpsoes, the Paragon Mortgages (2010) Limited originated mortgages transitioned to a term SONIA basis on 1st July 2021. Please see the below link for further details. </t>
  </si>
  <si>
    <t>libor-mortgages-transition-july-19 (paragonbankinggroup.co.uk)</t>
  </si>
  <si>
    <t>AA+</t>
  </si>
  <si>
    <t>A+</t>
  </si>
  <si>
    <t>BBB+</t>
  </si>
  <si>
    <t>PM27 INVESTOR REPORT QUARTER ENDING DECEMBER 2021</t>
  </si>
  <si>
    <t>PM27 INVESTOR REPORT QUARTER ENDING MARCH 2022</t>
  </si>
  <si>
    <t>PM27 INVESTOR REPORT QUARTER ENDING JUNE 2022</t>
  </si>
  <si>
    <t>PM27 INVESTOR REPORT QUARTER ENDING SEPTEMBER 2022</t>
  </si>
  <si>
    <t>PM27 INVESTOR REPORT QUARTER ENDING DECEMBER 2022</t>
  </si>
  <si>
    <t>PM27 INVESTOR REPORT QUARTER ENDING MARCH 2023</t>
  </si>
  <si>
    <t>Current Spread *</t>
  </si>
  <si>
    <t xml:space="preserve">reporting on the revenue as a % of the assets in the next row. </t>
  </si>
  <si>
    <t xml:space="preserve">* The negative spread has been capped at zero. The swap receipts in respect of the fixed rate assets and the respective releases from the conversion margin reserve fund and the margin reserve fund to the Revenue Ledger are not included in the weighted average interest charging rate. This is the reason for </t>
  </si>
  <si>
    <t>PM27 INVESTOR REPORT QUARTER ENDING JUNE 2023</t>
  </si>
  <si>
    <t>PM27 INVESTOR REPORT QUARTER ENDING SEPTEMBER 2023</t>
  </si>
  <si>
    <t>Offer Issued/Offer Accepted/Contracts Issued/Contracts Exchanged</t>
  </si>
  <si>
    <t>PM27 INVESTOR REPORT QUARTER ENDING DECEMBER 2023</t>
  </si>
  <si>
    <t>PM27 INVESTOR REPORT QUARTER ENDING MARCH 2024</t>
  </si>
  <si>
    <t>Total Hedge Amount*</t>
  </si>
  <si>
    <t xml:space="preserve">** The negative spread has been capped at zero. The swap receipts in respect of the fixed rate assets and the respective releases from the conversion margin reserve fund and the margin reserve fund to the Revenue Ledger are not included in the weighted average interest charging rate. This is the reason for </t>
  </si>
  <si>
    <t>Current Spread **</t>
  </si>
  <si>
    <t>* Total Hedge Amount split: Lloyds = 52.58%,  Santander = 47.42%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</si>
</sst>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809]#,##0"/>
    <numFmt numFmtId="165" formatCode="0.00000%"/>
    <numFmt numFmtId="166" formatCode="0.0%"/>
    <numFmt numFmtId="167" formatCode="d\-mmm\-yy"/>
    <numFmt numFmtId="168" formatCode="[$€-2]\ #,##0"/>
    <numFmt numFmtId="169" formatCode="&quot;£&quot;#,##0"/>
    <numFmt numFmtId="170" formatCode="0.0000000"/>
    <numFmt numFmtId="171" formatCode="&quot;£&quot;#,##0.00"/>
  </numFmts>
  <fonts count="32" x14ac:knownFonts="1">
    <font>
      <sz val="12"/>
      <name val="Arial"/>
    </font>
    <font>
      <u/>
      <sz val="8.4"/>
      <color indexed="12"/>
      <name val="Arial"/>
      <family val="2"/>
    </font>
    <font>
      <sz val="12"/>
      <name val="Arial"/>
      <family val="2"/>
    </font>
    <font>
      <sz val="12"/>
      <name val="Calibri"/>
      <family val="2"/>
      <scheme val="minor"/>
    </font>
    <font>
      <b/>
      <u/>
      <sz val="16"/>
      <color rgb="FF2D2926"/>
      <name val="Calibri"/>
      <family val="2"/>
      <scheme val="minor"/>
    </font>
    <font>
      <u/>
      <sz val="12"/>
      <name val="Calibri"/>
      <family val="2"/>
      <scheme val="minor"/>
    </font>
    <font>
      <b/>
      <sz val="12"/>
      <color rgb="FF89CB31"/>
      <name val="Calibri"/>
      <family val="2"/>
      <scheme val="minor"/>
    </font>
    <font>
      <b/>
      <i/>
      <sz val="10"/>
      <color rgb="FF2D2926"/>
      <name val="Calibri"/>
      <family val="2"/>
      <scheme val="minor"/>
    </font>
    <font>
      <b/>
      <i/>
      <sz val="10"/>
      <name val="Calibri"/>
      <family val="2"/>
      <scheme val="minor"/>
    </font>
    <font>
      <b/>
      <u/>
      <sz val="14"/>
      <color indexed="53"/>
      <name val="Calibri"/>
      <family val="2"/>
      <scheme val="minor"/>
    </font>
    <font>
      <b/>
      <u/>
      <sz val="12"/>
      <color rgb="FF89CB31"/>
      <name val="Calibri"/>
      <family val="2"/>
      <scheme val="minor"/>
    </font>
    <font>
      <b/>
      <sz val="12"/>
      <name val="Calibri"/>
      <family val="2"/>
      <scheme val="minor"/>
    </font>
    <font>
      <sz val="12"/>
      <color rgb="FF2D2926"/>
      <name val="Calibri"/>
      <family val="2"/>
      <scheme val="minor"/>
    </font>
    <font>
      <b/>
      <sz val="12"/>
      <color rgb="FF2D2926"/>
      <name val="Calibri"/>
      <family val="2"/>
      <scheme val="minor"/>
    </font>
    <font>
      <b/>
      <u/>
      <sz val="12"/>
      <color rgb="FF2D2926"/>
      <name val="Calibri"/>
      <family val="2"/>
      <scheme val="minor"/>
    </font>
    <font>
      <sz val="12"/>
      <color indexed="9"/>
      <name val="Calibri"/>
      <family val="2"/>
      <scheme val="minor"/>
    </font>
    <font>
      <b/>
      <sz val="12"/>
      <color indexed="9"/>
      <name val="Calibri"/>
      <family val="2"/>
      <scheme val="minor"/>
    </font>
    <font>
      <sz val="12"/>
      <color rgb="FF89CB31"/>
      <name val="Calibri"/>
      <family val="2"/>
      <scheme val="minor"/>
    </font>
    <font>
      <b/>
      <sz val="14"/>
      <color rgb="FF2D2926"/>
      <name val="Calibri"/>
      <family val="2"/>
      <scheme val="minor"/>
    </font>
    <font>
      <b/>
      <u/>
      <sz val="12"/>
      <color indexed="9"/>
      <name val="Calibri"/>
      <family val="2"/>
      <scheme val="minor"/>
    </font>
    <font>
      <sz val="12"/>
      <color indexed="8"/>
      <name val="Calibri"/>
      <family val="2"/>
      <scheme val="minor"/>
    </font>
    <font>
      <sz val="12"/>
      <color indexed="18"/>
      <name val="Calibri"/>
      <family val="2"/>
      <scheme val="minor"/>
    </font>
    <font>
      <b/>
      <u/>
      <sz val="12"/>
      <name val="Calibri"/>
      <family val="2"/>
      <scheme val="minor"/>
    </font>
    <font>
      <b/>
      <u/>
      <sz val="12"/>
      <color indexed="8"/>
      <name val="Calibri"/>
      <family val="2"/>
      <scheme val="minor"/>
    </font>
    <font>
      <b/>
      <sz val="12"/>
      <color indexed="8"/>
      <name val="Calibri"/>
      <family val="2"/>
      <scheme val="minor"/>
    </font>
    <font>
      <b/>
      <sz val="14"/>
      <color rgb="FF89CB31"/>
      <name val="Calibri"/>
      <family val="2"/>
      <scheme val="minor"/>
    </font>
    <font>
      <b/>
      <u/>
      <sz val="14"/>
      <color rgb="FF89CB31"/>
      <name val="Calibri"/>
      <family val="2"/>
      <scheme val="minor"/>
    </font>
    <font>
      <b/>
      <sz val="14"/>
      <color indexed="53"/>
      <name val="Calibri"/>
      <family val="2"/>
      <scheme val="minor"/>
    </font>
    <font>
      <b/>
      <sz val="12"/>
      <color indexed="18"/>
      <name val="Calibri"/>
      <family val="2"/>
      <scheme val="minor"/>
    </font>
    <font>
      <sz val="12"/>
      <color rgb="FFFF0000"/>
      <name val="Calibri"/>
      <family val="2"/>
      <scheme val="minor"/>
    </font>
    <font>
      <b/>
      <sz val="12"/>
      <color rgb="FFFF0000"/>
      <name val="Calibri"/>
      <family val="2"/>
      <scheme val="minor"/>
    </font>
    <font>
      <u/>
      <sz val="12"/>
      <color indexed="12"/>
      <name val="Calibri"/>
      <family val="2"/>
      <scheme val="minor"/>
    </font>
  </fonts>
  <fills count="5">
    <fill>
      <patternFill patternType="none"/>
    </fill>
    <fill>
      <patternFill patternType="gray125"/>
    </fill>
    <fill>
      <patternFill patternType="solid">
        <fgColor indexed="38"/>
        <bgColor indexed="64"/>
      </patternFill>
    </fill>
    <fill>
      <patternFill patternType="solid">
        <fgColor rgb="FF89CB31"/>
        <bgColor indexed="64"/>
      </patternFill>
    </fill>
    <fill>
      <patternFill patternType="solid">
        <fgColor rgb="FFF4F4F4"/>
        <bgColor indexed="64"/>
      </patternFill>
    </fill>
  </fills>
  <borders count="32">
    <border>
      <left/>
      <right/>
      <top/>
      <bottom/>
      <diagonal/>
    </border>
    <border>
      <left style="medium">
        <color indexed="8"/>
      </left>
      <right/>
      <top/>
      <bottom/>
      <diagonal/>
    </border>
    <border>
      <left/>
      <right/>
      <top style="medium">
        <color indexed="8"/>
      </top>
      <bottom/>
      <diagonal/>
    </border>
    <border>
      <left/>
      <right/>
      <top style="thin">
        <color indexed="64"/>
      </top>
      <bottom style="thin">
        <color indexed="64"/>
      </bottom>
      <diagonal/>
    </border>
    <border>
      <left/>
      <right/>
      <top style="thin">
        <color indexed="64"/>
      </top>
      <bottom/>
      <diagonal/>
    </border>
    <border>
      <left style="medium">
        <color indexed="8"/>
      </left>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top style="thin">
        <color indexed="55"/>
      </top>
      <bottom style="thin">
        <color indexed="55"/>
      </bottom>
      <diagonal/>
    </border>
    <border>
      <left/>
      <right/>
      <top style="thin">
        <color indexed="55"/>
      </top>
      <bottom style="thin">
        <color indexed="55"/>
      </bottom>
      <diagonal/>
    </border>
    <border>
      <left/>
      <right style="medium">
        <color indexed="8"/>
      </right>
      <top style="thin">
        <color indexed="55"/>
      </top>
      <bottom style="thin">
        <color indexed="55"/>
      </bottom>
      <diagonal/>
    </border>
    <border>
      <left/>
      <right style="medium">
        <color indexed="8"/>
      </right>
      <top style="medium">
        <color indexed="8"/>
      </top>
      <bottom/>
      <diagonal/>
    </border>
    <border>
      <left/>
      <right style="medium">
        <color indexed="8"/>
      </right>
      <top/>
      <bottom/>
      <diagonal/>
    </border>
    <border>
      <left style="medium">
        <color indexed="8"/>
      </left>
      <right/>
      <top style="thin">
        <color rgb="FF969696"/>
      </top>
      <bottom style="thin">
        <color rgb="FF969696"/>
      </bottom>
      <diagonal/>
    </border>
    <border>
      <left/>
      <right/>
      <top style="thin">
        <color rgb="FF969696"/>
      </top>
      <bottom style="thin">
        <color rgb="FF969696"/>
      </bottom>
      <diagonal/>
    </border>
    <border>
      <left/>
      <right style="medium">
        <color indexed="8"/>
      </right>
      <top style="thin">
        <color rgb="FF969696"/>
      </top>
      <bottom style="thin">
        <color rgb="FF969696"/>
      </bottom>
      <diagonal/>
    </border>
    <border>
      <left/>
      <right/>
      <top style="thin">
        <color rgb="FF969696"/>
      </top>
      <bottom/>
      <diagonal/>
    </border>
    <border>
      <left/>
      <right/>
      <top style="thin">
        <color indexed="55"/>
      </top>
      <bottom/>
      <diagonal/>
    </border>
    <border>
      <left/>
      <right/>
      <top/>
      <bottom style="thin">
        <color rgb="FF969696"/>
      </bottom>
      <diagonal/>
    </border>
    <border>
      <left/>
      <right/>
      <top/>
      <bottom style="thin">
        <color indexed="55"/>
      </bottom>
      <diagonal/>
    </border>
    <border>
      <left/>
      <right/>
      <top style="thin">
        <color theme="0" tint="-0.499984740745262"/>
      </top>
      <bottom style="thin">
        <color theme="0" tint="-0.499984740745262"/>
      </bottom>
      <diagonal/>
    </border>
    <border>
      <left style="medium">
        <color indexed="8"/>
      </left>
      <right/>
      <top style="thin">
        <color indexed="23"/>
      </top>
      <bottom style="thin">
        <color indexed="23"/>
      </bottom>
      <diagonal/>
    </border>
    <border>
      <left/>
      <right/>
      <top style="thin">
        <color indexed="23"/>
      </top>
      <bottom style="thin">
        <color indexed="23"/>
      </bottom>
      <diagonal/>
    </border>
    <border>
      <left/>
      <right style="medium">
        <color indexed="8"/>
      </right>
      <top style="thin">
        <color indexed="55"/>
      </top>
      <bottom/>
      <diagonal/>
    </border>
    <border>
      <left/>
      <right style="medium">
        <color indexed="8"/>
      </right>
      <top/>
      <bottom style="thin">
        <color indexed="55"/>
      </bottom>
      <diagonal/>
    </border>
    <border>
      <left style="thick">
        <color rgb="FFFF0000"/>
      </left>
      <right/>
      <top style="thick">
        <color rgb="FFFF0000"/>
      </top>
      <bottom style="thin">
        <color indexed="55"/>
      </bottom>
      <diagonal/>
    </border>
    <border>
      <left/>
      <right/>
      <top style="thick">
        <color rgb="FFFF0000"/>
      </top>
      <bottom style="thin">
        <color indexed="55"/>
      </bottom>
      <diagonal/>
    </border>
    <border>
      <left/>
      <right style="thick">
        <color rgb="FFFF0000"/>
      </right>
      <top style="thick">
        <color rgb="FFFF0000"/>
      </top>
      <bottom style="thin">
        <color indexed="55"/>
      </bottom>
      <diagonal/>
    </border>
    <border>
      <left style="thick">
        <color rgb="FFFF0000"/>
      </left>
      <right/>
      <top style="thin">
        <color indexed="55"/>
      </top>
      <bottom style="thick">
        <color rgb="FFFF0000"/>
      </bottom>
      <diagonal/>
    </border>
    <border>
      <left/>
      <right/>
      <top style="thin">
        <color indexed="55"/>
      </top>
      <bottom style="thick">
        <color rgb="FFFF0000"/>
      </bottom>
      <diagonal/>
    </border>
    <border>
      <left/>
      <right style="thick">
        <color rgb="FFFF0000"/>
      </right>
      <top style="thin">
        <color indexed="55"/>
      </top>
      <bottom style="thick">
        <color rgb="FFFF0000"/>
      </bottom>
      <diagonal/>
    </border>
  </borders>
  <cellStyleXfs count="3">
    <xf numFmtId="0" fontId="0" fillId="0" borderId="0"/>
    <xf numFmtId="0" fontId="1" fillId="0" borderId="0" applyNumberFormat="0" applyFill="0" applyBorder="0" applyAlignment="0" applyProtection="0">
      <alignment vertical="top"/>
      <protection locked="0"/>
    </xf>
    <xf numFmtId="9" fontId="2" fillId="0" borderId="0" applyFont="0" applyFill="0" applyBorder="0" applyAlignment="0" applyProtection="0"/>
  </cellStyleXfs>
  <cellXfs count="300">
    <xf numFmtId="0" fontId="0" fillId="0" borderId="0" xfId="0"/>
    <xf numFmtId="0" fontId="3" fillId="2" borderId="5" xfId="0" applyNumberFormat="1" applyFont="1" applyFill="1" applyBorder="1" applyAlignment="1"/>
    <xf numFmtId="0" fontId="4" fillId="2" borderId="2" xfId="0" applyNumberFormat="1" applyFont="1" applyFill="1" applyBorder="1" applyAlignment="1"/>
    <xf numFmtId="0" fontId="3" fillId="2" borderId="2" xfId="0" applyNumberFormat="1" applyFont="1" applyFill="1" applyBorder="1" applyAlignment="1"/>
    <xf numFmtId="0" fontId="3" fillId="2" borderId="12" xfId="0" applyNumberFormat="1" applyFont="1" applyFill="1" applyBorder="1" applyAlignment="1"/>
    <xf numFmtId="0" fontId="3" fillId="0" borderId="1" xfId="0" applyNumberFormat="1" applyFont="1" applyBorder="1"/>
    <xf numFmtId="0" fontId="3" fillId="0" borderId="0" xfId="0" applyNumberFormat="1" applyFont="1" applyAlignment="1"/>
    <xf numFmtId="0" fontId="3" fillId="2" borderId="1" xfId="0" applyNumberFormat="1" applyFont="1" applyFill="1" applyBorder="1" applyAlignment="1"/>
    <xf numFmtId="0" fontId="5" fillId="2" borderId="0" xfId="0" applyNumberFormat="1" applyFont="1" applyFill="1" applyAlignment="1"/>
    <xf numFmtId="0" fontId="3" fillId="2" borderId="0" xfId="0" applyNumberFormat="1" applyFont="1" applyFill="1" applyAlignment="1"/>
    <xf numFmtId="0" fontId="3" fillId="2" borderId="13" xfId="0" applyNumberFormat="1" applyFont="1" applyFill="1" applyBorder="1" applyAlignment="1"/>
    <xf numFmtId="0" fontId="3" fillId="2" borderId="1" xfId="0" applyNumberFormat="1" applyFont="1" applyFill="1" applyBorder="1" applyAlignment="1">
      <alignment horizontal="center"/>
    </xf>
    <xf numFmtId="0" fontId="6" fillId="2" borderId="0" xfId="0" applyNumberFormat="1" applyFont="1" applyFill="1" applyAlignment="1"/>
    <xf numFmtId="0" fontId="7" fillId="2" borderId="0" xfId="0" applyNumberFormat="1" applyFont="1" applyFill="1" applyAlignment="1"/>
    <xf numFmtId="0" fontId="8" fillId="2" borderId="0" xfId="0" applyNumberFormat="1" applyFont="1" applyFill="1" applyAlignment="1"/>
    <xf numFmtId="0" fontId="9" fillId="2" borderId="0" xfId="1" applyNumberFormat="1" applyFont="1" applyFill="1" applyAlignment="1" applyProtection="1"/>
    <xf numFmtId="0" fontId="10" fillId="2" borderId="0" xfId="1" applyNumberFormat="1" applyFont="1" applyFill="1" applyAlignment="1" applyProtection="1"/>
    <xf numFmtId="0" fontId="11" fillId="2" borderId="0" xfId="0" applyNumberFormat="1" applyFont="1" applyFill="1" applyAlignment="1"/>
    <xf numFmtId="0" fontId="12" fillId="2" borderId="1" xfId="0" applyNumberFormat="1" applyFont="1" applyFill="1" applyBorder="1" applyAlignment="1"/>
    <xf numFmtId="0" fontId="13" fillId="2" borderId="0" xfId="0" applyNumberFormat="1" applyFont="1" applyFill="1" applyAlignment="1"/>
    <xf numFmtId="0" fontId="12" fillId="2" borderId="0" xfId="0" applyNumberFormat="1" applyFont="1" applyFill="1" applyAlignment="1"/>
    <xf numFmtId="0" fontId="12" fillId="2" borderId="13" xfId="0" applyNumberFormat="1" applyFont="1" applyFill="1" applyBorder="1" applyAlignment="1"/>
    <xf numFmtId="0" fontId="12" fillId="0" borderId="1" xfId="0" applyNumberFormat="1" applyFont="1" applyBorder="1"/>
    <xf numFmtId="0" fontId="12" fillId="0" borderId="0" xfId="0" applyNumberFormat="1" applyFont="1" applyAlignment="1"/>
    <xf numFmtId="0" fontId="12" fillId="2" borderId="5" xfId="0" applyNumberFormat="1" applyFont="1" applyFill="1" applyBorder="1" applyAlignment="1"/>
    <xf numFmtId="0" fontId="12" fillId="2" borderId="2" xfId="0" applyNumberFormat="1" applyFont="1" applyFill="1" applyBorder="1" applyAlignment="1"/>
    <xf numFmtId="0" fontId="12" fillId="2" borderId="12" xfId="0" applyNumberFormat="1" applyFont="1" applyFill="1" applyBorder="1" applyAlignment="1"/>
    <xf numFmtId="0" fontId="14" fillId="2" borderId="0" xfId="0" applyNumberFormat="1" applyFont="1" applyFill="1" applyAlignment="1">
      <alignment horizontal="center" wrapText="1"/>
    </xf>
    <xf numFmtId="9" fontId="13" fillId="2" borderId="0" xfId="0" applyNumberFormat="1" applyFont="1" applyFill="1" applyAlignment="1">
      <alignment horizontal="center"/>
    </xf>
    <xf numFmtId="10" fontId="13" fillId="2" borderId="0" xfId="0" applyNumberFormat="1" applyFont="1" applyFill="1" applyAlignment="1">
      <alignment horizontal="center"/>
    </xf>
    <xf numFmtId="0" fontId="12" fillId="2" borderId="0" xfId="0" applyNumberFormat="1" applyFont="1" applyFill="1" applyAlignment="1">
      <alignment horizontal="center"/>
    </xf>
    <xf numFmtId="0" fontId="14" fillId="2" borderId="0" xfId="0" applyNumberFormat="1" applyFont="1" applyFill="1" applyAlignment="1"/>
    <xf numFmtId="0" fontId="3" fillId="2" borderId="0" xfId="0" applyNumberFormat="1" applyFont="1" applyFill="1" applyAlignment="1">
      <alignment horizontal="right"/>
    </xf>
    <xf numFmtId="0" fontId="15" fillId="3" borderId="1" xfId="0" applyNumberFormat="1" applyFont="1" applyFill="1" applyBorder="1" applyAlignment="1"/>
    <xf numFmtId="0" fontId="15" fillId="3" borderId="0" xfId="0" applyNumberFormat="1" applyFont="1" applyFill="1" applyBorder="1" applyAlignment="1"/>
    <xf numFmtId="0" fontId="16" fillId="3" borderId="0" xfId="0" applyNumberFormat="1" applyFont="1" applyFill="1" applyBorder="1" applyAlignment="1">
      <alignment horizontal="center" wrapText="1"/>
    </xf>
    <xf numFmtId="0" fontId="15" fillId="3" borderId="13" xfId="0" applyNumberFormat="1" applyFont="1" applyFill="1" applyBorder="1" applyAlignment="1"/>
    <xf numFmtId="0" fontId="12" fillId="2" borderId="0" xfId="0" applyNumberFormat="1" applyFont="1" applyFill="1" applyBorder="1" applyAlignment="1"/>
    <xf numFmtId="0" fontId="12" fillId="2" borderId="0" xfId="0" applyNumberFormat="1" applyFont="1" applyFill="1" applyBorder="1" applyAlignment="1">
      <alignment horizontal="center" wrapText="1"/>
    </xf>
    <xf numFmtId="0" fontId="13" fillId="2" borderId="9" xfId="0" applyNumberFormat="1" applyFont="1" applyFill="1" applyBorder="1" applyAlignment="1"/>
    <xf numFmtId="0" fontId="12" fillId="2" borderId="10" xfId="0" applyNumberFormat="1" applyFont="1" applyFill="1" applyBorder="1" applyAlignment="1"/>
    <xf numFmtId="0" fontId="13" fillId="2" borderId="10" xfId="0" applyNumberFormat="1" applyFont="1" applyFill="1" applyBorder="1" applyAlignment="1">
      <alignment horizontal="center" wrapText="1"/>
    </xf>
    <xf numFmtId="0" fontId="12" fillId="2" borderId="10" xfId="0" applyNumberFormat="1" applyFont="1" applyFill="1" applyBorder="1" applyAlignment="1">
      <alignment horizontal="center" wrapText="1"/>
    </xf>
    <xf numFmtId="0" fontId="12" fillId="2" borderId="11" xfId="0" applyNumberFormat="1" applyFont="1" applyFill="1" applyBorder="1" applyAlignment="1"/>
    <xf numFmtId="0" fontId="13" fillId="2" borderId="10" xfId="0" applyNumberFormat="1" applyFont="1" applyFill="1" applyBorder="1" applyAlignment="1"/>
    <xf numFmtId="169" fontId="12" fillId="0" borderId="0" xfId="0" applyNumberFormat="1" applyFont="1" applyAlignment="1"/>
    <xf numFmtId="171" fontId="12" fillId="0" borderId="0" xfId="0" applyNumberFormat="1" applyFont="1" applyAlignment="1"/>
    <xf numFmtId="0" fontId="12" fillId="2" borderId="9" xfId="0" applyNumberFormat="1" applyFont="1" applyFill="1" applyBorder="1" applyAlignment="1"/>
    <xf numFmtId="0" fontId="12" fillId="2" borderId="10" xfId="0" applyNumberFormat="1" applyFont="1" applyFill="1" applyBorder="1" applyAlignment="1">
      <alignment horizontal="center"/>
    </xf>
    <xf numFmtId="164" fontId="12" fillId="2" borderId="10" xfId="0" applyNumberFormat="1" applyFont="1" applyFill="1" applyBorder="1" applyAlignment="1"/>
    <xf numFmtId="164" fontId="12" fillId="2" borderId="10" xfId="0" applyNumberFormat="1" applyFont="1" applyFill="1" applyBorder="1" applyAlignment="1">
      <alignment horizontal="center"/>
    </xf>
    <xf numFmtId="3" fontId="12" fillId="2" borderId="11" xfId="0" applyNumberFormat="1" applyFont="1" applyFill="1" applyBorder="1" applyAlignment="1"/>
    <xf numFmtId="164" fontId="13" fillId="2" borderId="10" xfId="0" applyNumberFormat="1" applyFont="1" applyFill="1" applyBorder="1" applyAlignment="1"/>
    <xf numFmtId="168" fontId="12" fillId="2" borderId="10" xfId="0" applyNumberFormat="1" applyFont="1" applyFill="1" applyBorder="1" applyAlignment="1">
      <alignment horizontal="center"/>
    </xf>
    <xf numFmtId="169" fontId="12" fillId="2" borderId="10" xfId="0" applyNumberFormat="1" applyFont="1" applyFill="1" applyBorder="1" applyAlignment="1">
      <alignment horizontal="center"/>
    </xf>
    <xf numFmtId="171" fontId="12" fillId="2" borderId="10" xfId="0" applyNumberFormat="1" applyFont="1" applyFill="1" applyBorder="1" applyAlignment="1">
      <alignment horizontal="center"/>
    </xf>
    <xf numFmtId="164" fontId="13" fillId="2" borderId="10" xfId="0" applyNumberFormat="1" applyFont="1" applyFill="1" applyBorder="1" applyAlignment="1">
      <alignment horizontal="center"/>
    </xf>
    <xf numFmtId="169" fontId="13" fillId="2" borderId="10" xfId="0" applyNumberFormat="1" applyFont="1" applyFill="1" applyBorder="1" applyAlignment="1">
      <alignment horizontal="center"/>
    </xf>
    <xf numFmtId="0" fontId="17" fillId="2" borderId="9" xfId="0" applyNumberFormat="1" applyFont="1" applyFill="1" applyBorder="1" applyAlignment="1"/>
    <xf numFmtId="0" fontId="3" fillId="2" borderId="10" xfId="0" applyNumberFormat="1" applyFont="1" applyFill="1" applyBorder="1" applyAlignment="1"/>
    <xf numFmtId="170" fontId="6" fillId="2" borderId="10" xfId="0" applyNumberFormat="1" applyFont="1" applyFill="1" applyBorder="1" applyAlignment="1">
      <alignment horizontal="center"/>
    </xf>
    <xf numFmtId="0" fontId="17" fillId="2" borderId="10" xfId="0" applyNumberFormat="1" applyFont="1" applyFill="1" applyBorder="1" applyAlignment="1"/>
    <xf numFmtId="164" fontId="17" fillId="2" borderId="10" xfId="0" applyNumberFormat="1" applyFont="1" applyFill="1" applyBorder="1" applyAlignment="1"/>
    <xf numFmtId="0" fontId="17" fillId="2" borderId="11" xfId="0" applyNumberFormat="1" applyFont="1" applyFill="1" applyBorder="1" applyAlignment="1"/>
    <xf numFmtId="0" fontId="17" fillId="0" borderId="1" xfId="0" applyNumberFormat="1" applyFont="1" applyBorder="1"/>
    <xf numFmtId="0" fontId="17" fillId="0" borderId="0" xfId="0" applyNumberFormat="1" applyFont="1" applyAlignment="1"/>
    <xf numFmtId="10" fontId="17" fillId="2" borderId="10" xfId="0" applyNumberFormat="1" applyFont="1" applyFill="1" applyBorder="1" applyAlignment="1">
      <alignment horizontal="center"/>
    </xf>
    <xf numFmtId="10" fontId="12" fillId="2" borderId="10" xfId="0" applyNumberFormat="1" applyFont="1" applyFill="1" applyBorder="1" applyAlignment="1">
      <alignment horizontal="center"/>
    </xf>
    <xf numFmtId="165" fontId="12" fillId="2" borderId="10" xfId="0" applyNumberFormat="1" applyFont="1" applyFill="1" applyBorder="1" applyAlignment="1">
      <alignment horizontal="center"/>
    </xf>
    <xf numFmtId="167" fontId="12" fillId="2" borderId="10" xfId="0" applyNumberFormat="1" applyFont="1" applyFill="1" applyBorder="1" applyAlignment="1">
      <alignment horizontal="center"/>
    </xf>
    <xf numFmtId="0" fontId="12" fillId="2" borderId="10" xfId="0" applyNumberFormat="1" applyFont="1" applyFill="1" applyBorder="1" applyAlignment="1">
      <alignment horizontal="right"/>
    </xf>
    <xf numFmtId="4" fontId="12" fillId="2" borderId="10" xfId="0" applyNumberFormat="1" applyFont="1" applyFill="1" applyBorder="1" applyAlignment="1">
      <alignment horizontal="center"/>
    </xf>
    <xf numFmtId="0" fontId="13" fillId="2" borderId="10" xfId="0" applyNumberFormat="1" applyFont="1" applyFill="1" applyBorder="1" applyAlignment="1">
      <alignment horizontal="center"/>
    </xf>
    <xf numFmtId="15" fontId="13" fillId="2" borderId="10" xfId="0" applyNumberFormat="1" applyFont="1" applyFill="1" applyBorder="1" applyAlignment="1">
      <alignment horizontal="center"/>
    </xf>
    <xf numFmtId="15" fontId="13" fillId="2" borderId="10" xfId="0" applyNumberFormat="1" applyFont="1" applyFill="1" applyBorder="1" applyAlignment="1" applyProtection="1">
      <alignment horizontal="center"/>
      <protection locked="0"/>
    </xf>
    <xf numFmtId="15" fontId="12" fillId="2" borderId="10" xfId="0" applyNumberFormat="1" applyFont="1" applyFill="1" applyBorder="1" applyAlignment="1"/>
    <xf numFmtId="15" fontId="12" fillId="2" borderId="10" xfId="0" applyNumberFormat="1" applyFont="1" applyFill="1" applyBorder="1" applyAlignment="1" applyProtection="1">
      <alignment horizontal="center"/>
      <protection locked="0"/>
    </xf>
    <xf numFmtId="15" fontId="12" fillId="2" borderId="10" xfId="0" applyNumberFormat="1" applyFont="1" applyFill="1" applyBorder="1" applyAlignment="1">
      <alignment horizontal="center"/>
    </xf>
    <xf numFmtId="0" fontId="12" fillId="0" borderId="0" xfId="0" applyNumberFormat="1" applyFont="1" applyFill="1" applyBorder="1" applyAlignment="1"/>
    <xf numFmtId="15" fontId="12" fillId="2" borderId="0" xfId="0" applyNumberFormat="1" applyFont="1" applyFill="1" applyBorder="1" applyAlignment="1" applyProtection="1">
      <alignment horizontal="center"/>
      <protection locked="0"/>
    </xf>
    <xf numFmtId="15" fontId="12" fillId="2" borderId="0" xfId="0" applyNumberFormat="1" applyFont="1" applyFill="1" applyBorder="1" applyAlignment="1">
      <alignment horizontal="center"/>
    </xf>
    <xf numFmtId="15" fontId="12" fillId="2" borderId="0" xfId="0" applyNumberFormat="1" applyFont="1" applyFill="1" applyAlignment="1" applyProtection="1">
      <alignment horizontal="center"/>
      <protection locked="0"/>
    </xf>
    <xf numFmtId="15" fontId="12" fillId="2" borderId="0" xfId="0" applyNumberFormat="1" applyFont="1" applyFill="1" applyAlignment="1">
      <alignment horizontal="center"/>
    </xf>
    <xf numFmtId="0" fontId="12" fillId="2" borderId="6" xfId="0" applyNumberFormat="1" applyFont="1" applyFill="1" applyBorder="1" applyAlignment="1"/>
    <xf numFmtId="0" fontId="18" fillId="2" borderId="7" xfId="0" applyNumberFormat="1" applyFont="1" applyFill="1" applyBorder="1" applyAlignment="1"/>
    <xf numFmtId="0" fontId="12" fillId="2" borderId="7" xfId="0" applyNumberFormat="1" applyFont="1" applyFill="1" applyBorder="1" applyAlignment="1"/>
    <xf numFmtId="0" fontId="12" fillId="2" borderId="7" xfId="0" applyNumberFormat="1" applyFont="1" applyFill="1" applyBorder="1" applyAlignment="1" applyProtection="1">
      <alignment horizontal="right"/>
      <protection locked="0"/>
    </xf>
    <xf numFmtId="0" fontId="12" fillId="2" borderId="8" xfId="0" applyNumberFormat="1" applyFont="1" applyFill="1" applyBorder="1" applyAlignment="1"/>
    <xf numFmtId="0" fontId="19" fillId="3" borderId="0" xfId="0" applyNumberFormat="1" applyFont="1" applyFill="1" applyAlignment="1"/>
    <xf numFmtId="0" fontId="15" fillId="3" borderId="0" xfId="0" applyNumberFormat="1" applyFont="1" applyFill="1" applyAlignment="1"/>
    <xf numFmtId="4" fontId="15" fillId="3" borderId="0" xfId="0" applyNumberFormat="1" applyFont="1" applyFill="1" applyAlignment="1" applyProtection="1">
      <alignment horizontal="right"/>
      <protection locked="0"/>
    </xf>
    <xf numFmtId="4" fontId="3" fillId="2" borderId="0" xfId="0" applyNumberFormat="1" applyFont="1" applyFill="1" applyAlignment="1" applyProtection="1">
      <alignment horizontal="right"/>
      <protection locked="0"/>
    </xf>
    <xf numFmtId="0" fontId="17" fillId="2" borderId="1" xfId="0" applyNumberFormat="1" applyFont="1" applyFill="1" applyBorder="1" applyAlignment="1"/>
    <xf numFmtId="0" fontId="6" fillId="2" borderId="0" xfId="0" applyNumberFormat="1" applyFont="1" applyFill="1" applyAlignment="1">
      <alignment horizontal="left" vertical="top" wrapText="1"/>
    </xf>
    <xf numFmtId="0" fontId="6" fillId="2" borderId="0" xfId="0" applyNumberFormat="1" applyFont="1" applyFill="1" applyAlignment="1">
      <alignment horizontal="center" vertical="top" wrapText="1"/>
    </xf>
    <xf numFmtId="4" fontId="6" fillId="2" borderId="0" xfId="0" applyNumberFormat="1" applyFont="1" applyFill="1" applyAlignment="1" applyProtection="1">
      <alignment horizontal="center" vertical="top" wrapText="1"/>
      <protection locked="0"/>
    </xf>
    <xf numFmtId="0" fontId="17" fillId="2" borderId="13" xfId="0" applyNumberFormat="1" applyFont="1" applyFill="1" applyBorder="1" applyAlignment="1"/>
    <xf numFmtId="3" fontId="12" fillId="2" borderId="10" xfId="0" applyNumberFormat="1" applyFont="1" applyFill="1" applyBorder="1" applyAlignment="1"/>
    <xf numFmtId="3" fontId="12" fillId="2" borderId="10" xfId="0" applyNumberFormat="1" applyFont="1" applyFill="1" applyBorder="1" applyAlignment="1" applyProtection="1">
      <alignment horizontal="right"/>
      <protection locked="0"/>
    </xf>
    <xf numFmtId="0" fontId="3" fillId="2" borderId="0" xfId="0" applyNumberFormat="1" applyFont="1" applyFill="1" applyBorder="1" applyAlignment="1"/>
    <xf numFmtId="3" fontId="3" fillId="2" borderId="0" xfId="0" applyNumberFormat="1" applyFont="1" applyFill="1" applyBorder="1" applyAlignment="1"/>
    <xf numFmtId="3" fontId="20" fillId="2" borderId="0" xfId="0" applyNumberFormat="1" applyFont="1" applyFill="1" applyBorder="1" applyAlignment="1"/>
    <xf numFmtId="0" fontId="16" fillId="3" borderId="0" xfId="0" applyNumberFormat="1" applyFont="1" applyFill="1" applyBorder="1" applyAlignment="1"/>
    <xf numFmtId="0" fontId="16" fillId="3" borderId="0" xfId="0" applyNumberFormat="1" applyFont="1" applyFill="1" applyBorder="1" applyAlignment="1">
      <alignment horizontal="center"/>
    </xf>
    <xf numFmtId="0" fontId="16" fillId="3" borderId="0" xfId="0" applyNumberFormat="1" applyFont="1" applyFill="1" applyBorder="1" applyAlignment="1">
      <alignment horizontal="right"/>
    </xf>
    <xf numFmtId="15" fontId="16" fillId="3" borderId="0" xfId="0" applyNumberFormat="1" applyFont="1" applyFill="1" applyBorder="1" applyAlignment="1">
      <alignment horizontal="right"/>
    </xf>
    <xf numFmtId="3" fontId="12" fillId="2" borderId="0" xfId="0" applyNumberFormat="1" applyFont="1" applyFill="1" applyBorder="1" applyAlignment="1"/>
    <xf numFmtId="3" fontId="12" fillId="2" borderId="0" xfId="0" applyNumberFormat="1" applyFont="1" applyFill="1" applyBorder="1" applyAlignment="1" applyProtection="1">
      <alignment horizontal="right"/>
      <protection locked="0"/>
    </xf>
    <xf numFmtId="14" fontId="12" fillId="2" borderId="10" xfId="0" applyNumberFormat="1" applyFont="1" applyFill="1" applyBorder="1" applyAlignment="1">
      <alignment horizontal="right"/>
    </xf>
    <xf numFmtId="167" fontId="12" fillId="2" borderId="10" xfId="0" applyNumberFormat="1" applyFont="1" applyFill="1" applyBorder="1" applyAlignment="1">
      <alignment horizontal="right"/>
    </xf>
    <xf numFmtId="0" fontId="3" fillId="2" borderId="9" xfId="0" applyNumberFormat="1" applyFont="1" applyFill="1" applyBorder="1" applyAlignment="1"/>
    <xf numFmtId="0" fontId="10" fillId="2" borderId="10" xfId="0" applyNumberFormat="1" applyFont="1" applyFill="1" applyBorder="1" applyAlignment="1"/>
    <xf numFmtId="0" fontId="21" fillId="2" borderId="10" xfId="0" applyNumberFormat="1" applyFont="1" applyFill="1" applyBorder="1" applyAlignment="1"/>
    <xf numFmtId="3" fontId="21" fillId="2" borderId="10" xfId="0" applyNumberFormat="1" applyFont="1" applyFill="1" applyBorder="1" applyAlignment="1" applyProtection="1">
      <alignment horizontal="right"/>
      <protection locked="0"/>
    </xf>
    <xf numFmtId="0" fontId="3" fillId="2" borderId="11" xfId="0" applyNumberFormat="1" applyFont="1" applyFill="1" applyBorder="1" applyAlignment="1"/>
    <xf numFmtId="3" fontId="12" fillId="0" borderId="0" xfId="0" applyNumberFormat="1" applyFont="1" applyAlignment="1"/>
    <xf numFmtId="4" fontId="21" fillId="2" borderId="10" xfId="0" applyNumberFormat="1" applyFont="1" applyFill="1" applyBorder="1" applyAlignment="1" applyProtection="1">
      <alignment horizontal="right"/>
      <protection locked="0"/>
    </xf>
    <xf numFmtId="4" fontId="12" fillId="2" borderId="0" xfId="0" applyNumberFormat="1" applyFont="1" applyFill="1" applyAlignment="1" applyProtection="1">
      <alignment horizontal="right"/>
      <protection locked="0"/>
    </xf>
    <xf numFmtId="4" fontId="12" fillId="2" borderId="7" xfId="0" applyNumberFormat="1" applyFont="1" applyFill="1" applyBorder="1" applyAlignment="1" applyProtection="1">
      <alignment horizontal="right"/>
      <protection locked="0"/>
    </xf>
    <xf numFmtId="0" fontId="15" fillId="3" borderId="5" xfId="0" applyNumberFormat="1" applyFont="1" applyFill="1" applyBorder="1" applyAlignment="1"/>
    <xf numFmtId="0" fontId="16" fillId="3" borderId="2" xfId="0" applyNumberFormat="1" applyFont="1" applyFill="1" applyBorder="1" applyAlignment="1"/>
    <xf numFmtId="0" fontId="15" fillId="3" borderId="2" xfId="0" applyNumberFormat="1" applyFont="1" applyFill="1" applyBorder="1" applyAlignment="1"/>
    <xf numFmtId="4" fontId="15" fillId="3" borderId="2" xfId="0" applyNumberFormat="1" applyFont="1" applyFill="1" applyBorder="1" applyAlignment="1" applyProtection="1">
      <alignment horizontal="right"/>
      <protection locked="0"/>
    </xf>
    <xf numFmtId="0" fontId="15" fillId="3" borderId="12" xfId="0" applyNumberFormat="1" applyFont="1" applyFill="1" applyBorder="1" applyAlignment="1"/>
    <xf numFmtId="0" fontId="22" fillId="2" borderId="0" xfId="0" applyNumberFormat="1" applyFont="1" applyFill="1" applyAlignment="1"/>
    <xf numFmtId="0" fontId="10" fillId="2" borderId="0" xfId="0" applyNumberFormat="1" applyFont="1" applyFill="1" applyAlignment="1"/>
    <xf numFmtId="4" fontId="3" fillId="2" borderId="0" xfId="0" applyNumberFormat="1" applyFont="1" applyFill="1" applyBorder="1" applyAlignment="1" applyProtection="1">
      <alignment horizontal="right"/>
      <protection locked="0"/>
    </xf>
    <xf numFmtId="0" fontId="21" fillId="2" borderId="0" xfId="0" applyNumberFormat="1" applyFont="1" applyFill="1" applyBorder="1" applyAlignment="1"/>
    <xf numFmtId="3" fontId="21" fillId="2" borderId="0" xfId="0" applyNumberFormat="1" applyFont="1" applyFill="1" applyBorder="1" applyAlignment="1" applyProtection="1">
      <alignment horizontal="right"/>
      <protection locked="0"/>
    </xf>
    <xf numFmtId="0" fontId="12" fillId="2" borderId="14" xfId="0" applyNumberFormat="1" applyFont="1" applyFill="1" applyBorder="1" applyAlignment="1"/>
    <xf numFmtId="0" fontId="12" fillId="2" borderId="15" xfId="0" applyNumberFormat="1" applyFont="1" applyFill="1" applyBorder="1" applyAlignment="1"/>
    <xf numFmtId="3" fontId="12" fillId="2" borderId="15" xfId="0" applyNumberFormat="1" applyFont="1" applyFill="1" applyBorder="1" applyAlignment="1" applyProtection="1">
      <alignment horizontal="right"/>
      <protection locked="0"/>
    </xf>
    <xf numFmtId="0" fontId="12" fillId="2" borderId="16" xfId="0" applyNumberFormat="1" applyFont="1" applyFill="1" applyBorder="1" applyAlignment="1"/>
    <xf numFmtId="4" fontId="20" fillId="2" borderId="0" xfId="0" applyNumberFormat="1" applyFont="1" applyFill="1" applyAlignment="1" applyProtection="1">
      <alignment horizontal="right"/>
      <protection locked="0"/>
    </xf>
    <xf numFmtId="4" fontId="3" fillId="2" borderId="2" xfId="0" applyNumberFormat="1" applyFont="1" applyFill="1" applyBorder="1" applyAlignment="1" applyProtection="1">
      <alignment horizontal="right"/>
      <protection locked="0"/>
    </xf>
    <xf numFmtId="3" fontId="3" fillId="2" borderId="0" xfId="0" applyNumberFormat="1" applyFont="1" applyFill="1" applyBorder="1" applyAlignment="1" applyProtection="1">
      <alignment horizontal="right"/>
      <protection locked="0"/>
    </xf>
    <xf numFmtId="0" fontId="3" fillId="0" borderId="0" xfId="0" applyNumberFormat="1" applyFont="1" applyBorder="1" applyAlignment="1"/>
    <xf numFmtId="0" fontId="12" fillId="0" borderId="3" xfId="0" applyNumberFormat="1" applyFont="1" applyBorder="1" applyAlignment="1"/>
    <xf numFmtId="0" fontId="3" fillId="2" borderId="6" xfId="0" applyNumberFormat="1" applyFont="1" applyFill="1" applyBorder="1" applyAlignment="1"/>
    <xf numFmtId="0" fontId="3" fillId="0" borderId="4" xfId="0" applyNumberFormat="1" applyFont="1" applyBorder="1" applyAlignment="1"/>
    <xf numFmtId="0" fontId="3" fillId="2" borderId="0" xfId="0" applyNumberFormat="1" applyFont="1" applyFill="1" applyAlignment="1" applyProtection="1">
      <protection locked="0"/>
    </xf>
    <xf numFmtId="4" fontId="12" fillId="2" borderId="10" xfId="0" applyNumberFormat="1" applyFont="1" applyFill="1" applyBorder="1" applyAlignment="1" applyProtection="1">
      <alignment horizontal="right"/>
      <protection locked="0"/>
    </xf>
    <xf numFmtId="2" fontId="12" fillId="2" borderId="10" xfId="0" applyNumberFormat="1" applyFont="1" applyFill="1" applyBorder="1" applyAlignment="1" applyProtection="1">
      <alignment horizontal="right"/>
      <protection locked="0"/>
    </xf>
    <xf numFmtId="15" fontId="16" fillId="3" borderId="2" xfId="0" applyNumberFormat="1" applyFont="1" applyFill="1" applyBorder="1" applyAlignment="1">
      <alignment horizontal="centerContinuous"/>
    </xf>
    <xf numFmtId="15" fontId="16" fillId="3" borderId="2" xfId="0" applyNumberFormat="1" applyFont="1" applyFill="1" applyBorder="1" applyAlignment="1">
      <alignment horizontal="center"/>
    </xf>
    <xf numFmtId="0" fontId="20" fillId="2" borderId="1" xfId="0" applyNumberFormat="1" applyFont="1" applyFill="1" applyBorder="1" applyAlignment="1"/>
    <xf numFmtId="0" fontId="23" fillId="2" borderId="0" xfId="0" applyNumberFormat="1" applyFont="1" applyFill="1" applyAlignment="1"/>
    <xf numFmtId="15" fontId="24" fillId="2" borderId="0" xfId="0" applyNumberFormat="1" applyFont="1" applyFill="1" applyAlignment="1">
      <alignment horizontal="centerContinuous"/>
    </xf>
    <xf numFmtId="15" fontId="24" fillId="2" borderId="0" xfId="0" applyNumberFormat="1" applyFont="1" applyFill="1" applyAlignment="1">
      <alignment horizontal="center"/>
    </xf>
    <xf numFmtId="15" fontId="13" fillId="2" borderId="10" xfId="0" applyNumberFormat="1" applyFont="1" applyFill="1" applyBorder="1" applyAlignment="1">
      <alignment horizontal="centerContinuous"/>
    </xf>
    <xf numFmtId="17" fontId="12" fillId="2" borderId="10" xfId="0" applyNumberFormat="1" applyFont="1" applyFill="1" applyBorder="1" applyAlignment="1">
      <alignment horizontal="center"/>
    </xf>
    <xf numFmtId="0" fontId="20" fillId="2" borderId="0" xfId="0" applyNumberFormat="1" applyFont="1" applyFill="1" applyBorder="1" applyAlignment="1"/>
    <xf numFmtId="0" fontId="3" fillId="2" borderId="0" xfId="0" applyNumberFormat="1" applyFont="1" applyFill="1" applyBorder="1" applyAlignment="1" applyProtection="1">
      <protection locked="0"/>
    </xf>
    <xf numFmtId="0" fontId="15" fillId="3" borderId="1" xfId="0" applyNumberFormat="1" applyFont="1" applyFill="1" applyBorder="1" applyAlignment="1">
      <alignment horizontal="right"/>
    </xf>
    <xf numFmtId="3" fontId="16" fillId="3" borderId="0" xfId="0" applyNumberFormat="1" applyFont="1" applyFill="1" applyBorder="1" applyAlignment="1">
      <alignment horizontal="center"/>
    </xf>
    <xf numFmtId="0" fontId="12" fillId="2" borderId="1" xfId="0" applyNumberFormat="1" applyFont="1" applyFill="1" applyBorder="1" applyAlignment="1">
      <alignment horizontal="right"/>
    </xf>
    <xf numFmtId="0" fontId="12" fillId="2" borderId="0" xfId="0" applyNumberFormat="1" applyFont="1" applyFill="1" applyBorder="1" applyAlignment="1">
      <alignment horizontal="center"/>
    </xf>
    <xf numFmtId="3" fontId="12" fillId="2" borderId="0" xfId="0" applyNumberFormat="1" applyFont="1" applyFill="1" applyBorder="1" applyAlignment="1" applyProtection="1">
      <alignment horizontal="center"/>
      <protection locked="0"/>
    </xf>
    <xf numFmtId="0" fontId="12" fillId="2" borderId="0" xfId="0" applyNumberFormat="1" applyFont="1" applyFill="1" applyBorder="1" applyAlignment="1" applyProtection="1">
      <protection locked="0"/>
    </xf>
    <xf numFmtId="3" fontId="13" fillId="2" borderId="13" xfId="0" applyNumberFormat="1" applyFont="1" applyFill="1" applyBorder="1" applyAlignment="1"/>
    <xf numFmtId="0" fontId="12" fillId="2" borderId="9" xfId="0" applyNumberFormat="1" applyFont="1" applyFill="1" applyBorder="1" applyAlignment="1">
      <alignment horizontal="right"/>
    </xf>
    <xf numFmtId="3" fontId="12" fillId="2" borderId="10" xfId="0" applyNumberFormat="1" applyFont="1" applyFill="1" applyBorder="1" applyAlignment="1">
      <alignment horizontal="center"/>
    </xf>
    <xf numFmtId="3" fontId="12" fillId="2" borderId="10" xfId="0" applyNumberFormat="1" applyFont="1" applyFill="1" applyBorder="1" applyAlignment="1" applyProtection="1">
      <alignment horizontal="center"/>
      <protection locked="0"/>
    </xf>
    <xf numFmtId="0" fontId="12" fillId="2" borderId="10" xfId="0" applyNumberFormat="1" applyFont="1" applyFill="1" applyBorder="1" applyAlignment="1" applyProtection="1">
      <protection locked="0"/>
    </xf>
    <xf numFmtId="3" fontId="13" fillId="2" borderId="11" xfId="0" applyNumberFormat="1" applyFont="1" applyFill="1" applyBorder="1" applyAlignment="1"/>
    <xf numFmtId="0" fontId="20" fillId="2" borderId="9" xfId="0" applyNumberFormat="1" applyFont="1" applyFill="1" applyBorder="1" applyAlignment="1">
      <alignment horizontal="right"/>
    </xf>
    <xf numFmtId="0" fontId="6" fillId="2" borderId="10" xfId="0" applyNumberFormat="1" applyFont="1" applyFill="1" applyBorder="1" applyAlignment="1"/>
    <xf numFmtId="3" fontId="20" fillId="2" borderId="10" xfId="0" applyNumberFormat="1" applyFont="1" applyFill="1" applyBorder="1" applyAlignment="1"/>
    <xf numFmtId="0" fontId="3" fillId="2" borderId="10" xfId="0" applyNumberFormat="1" applyFont="1" applyFill="1" applyBorder="1" applyAlignment="1" applyProtection="1">
      <protection locked="0"/>
    </xf>
    <xf numFmtId="3" fontId="24" fillId="2" borderId="11" xfId="0" applyNumberFormat="1" applyFont="1" applyFill="1" applyBorder="1" applyAlignment="1"/>
    <xf numFmtId="0" fontId="20" fillId="2" borderId="9" xfId="0" applyNumberFormat="1" applyFont="1" applyFill="1" applyBorder="1" applyAlignment="1">
      <alignment horizontal="center"/>
    </xf>
    <xf numFmtId="0" fontId="20" fillId="2" borderId="10" xfId="0" applyNumberFormat="1" applyFont="1" applyFill="1" applyBorder="1" applyAlignment="1"/>
    <xf numFmtId="3" fontId="21" fillId="2" borderId="10" xfId="0" applyNumberFormat="1" applyFont="1" applyFill="1" applyBorder="1" applyAlignment="1" applyProtection="1">
      <alignment horizontal="center"/>
      <protection locked="0"/>
    </xf>
    <xf numFmtId="0" fontId="24" fillId="2" borderId="11" xfId="0" applyNumberFormat="1" applyFont="1" applyFill="1" applyBorder="1" applyAlignment="1"/>
    <xf numFmtId="0" fontId="12" fillId="2" borderId="9" xfId="0" applyNumberFormat="1" applyFont="1" applyFill="1" applyBorder="1" applyAlignment="1">
      <alignment horizontal="center"/>
    </xf>
    <xf numFmtId="0" fontId="13" fillId="2" borderId="11" xfId="0" applyNumberFormat="1" applyFont="1" applyFill="1" applyBorder="1" applyAlignment="1"/>
    <xf numFmtId="0" fontId="21" fillId="2" borderId="10" xfId="0" applyNumberFormat="1" applyFont="1" applyFill="1" applyBorder="1" applyAlignment="1">
      <alignment horizontal="center"/>
    </xf>
    <xf numFmtId="4" fontId="12" fillId="2" borderId="10" xfId="0" applyNumberFormat="1" applyFont="1" applyFill="1" applyBorder="1" applyAlignment="1" applyProtection="1">
      <alignment horizontal="center"/>
      <protection locked="0"/>
    </xf>
    <xf numFmtId="0" fontId="20" fillId="2" borderId="10" xfId="0" applyNumberFormat="1" applyFont="1" applyFill="1" applyBorder="1" applyAlignment="1">
      <alignment horizontal="right"/>
    </xf>
    <xf numFmtId="10" fontId="21" fillId="2" borderId="10" xfId="0" applyNumberFormat="1" applyFont="1" applyFill="1" applyBorder="1" applyAlignment="1" applyProtection="1">
      <alignment horizontal="center"/>
      <protection locked="0"/>
    </xf>
    <xf numFmtId="10" fontId="20" fillId="2" borderId="10" xfId="0" applyNumberFormat="1" applyFont="1" applyFill="1" applyBorder="1" applyAlignment="1" applyProtection="1">
      <alignment horizontal="center"/>
      <protection locked="0"/>
    </xf>
    <xf numFmtId="0" fontId="25" fillId="2" borderId="10" xfId="0" applyNumberFormat="1" applyFont="1" applyFill="1" applyBorder="1" applyAlignment="1"/>
    <xf numFmtId="10" fontId="9" fillId="2" borderId="10" xfId="1" applyNumberFormat="1" applyFont="1" applyFill="1" applyBorder="1" applyAlignment="1">
      <alignment horizontal="left"/>
      <protection locked="0"/>
    </xf>
    <xf numFmtId="10" fontId="26" fillId="2" borderId="10" xfId="1" applyNumberFormat="1" applyFont="1" applyFill="1" applyBorder="1" applyAlignment="1">
      <alignment horizontal="left"/>
      <protection locked="0"/>
    </xf>
    <xf numFmtId="0" fontId="20" fillId="2" borderId="1" xfId="0" applyNumberFormat="1" applyFont="1" applyFill="1" applyBorder="1" applyAlignment="1">
      <alignment horizontal="right"/>
    </xf>
    <xf numFmtId="0" fontId="27" fillId="2" borderId="0" xfId="0" applyNumberFormat="1" applyFont="1" applyFill="1" applyBorder="1" applyAlignment="1"/>
    <xf numFmtId="0" fontId="20" fillId="2" borderId="0" xfId="0" applyNumberFormat="1" applyFont="1" applyFill="1" applyBorder="1" applyAlignment="1">
      <alignment horizontal="right"/>
    </xf>
    <xf numFmtId="10" fontId="9" fillId="2" borderId="0" xfId="1" applyNumberFormat="1" applyFont="1" applyFill="1" applyBorder="1" applyAlignment="1">
      <alignment horizontal="left"/>
      <protection locked="0"/>
    </xf>
    <xf numFmtId="10" fontId="20" fillId="2" borderId="0" xfId="0" applyNumberFormat="1" applyFont="1" applyFill="1" applyBorder="1" applyAlignment="1" applyProtection="1">
      <alignment horizontal="center"/>
      <protection locked="0"/>
    </xf>
    <xf numFmtId="0" fontId="24" fillId="2" borderId="13" xfId="0" applyNumberFormat="1" applyFont="1" applyFill="1" applyBorder="1" applyAlignment="1"/>
    <xf numFmtId="0" fontId="16" fillId="3" borderId="13" xfId="0" applyNumberFormat="1" applyFont="1" applyFill="1" applyBorder="1" applyAlignment="1"/>
    <xf numFmtId="166" fontId="12" fillId="2" borderId="0" xfId="0" applyNumberFormat="1" applyFont="1" applyFill="1" applyBorder="1" applyAlignment="1"/>
    <xf numFmtId="10" fontId="12" fillId="2" borderId="0" xfId="0" applyNumberFormat="1" applyFont="1" applyFill="1" applyBorder="1" applyAlignment="1"/>
    <xf numFmtId="0" fontId="13" fillId="2" borderId="13" xfId="0" applyNumberFormat="1" applyFont="1" applyFill="1" applyBorder="1" applyAlignment="1"/>
    <xf numFmtId="166" fontId="12" fillId="2" borderId="10" xfId="0" applyNumberFormat="1" applyFont="1" applyFill="1" applyBorder="1" applyAlignment="1"/>
    <xf numFmtId="3" fontId="12" fillId="2" borderId="17" xfId="0" applyNumberFormat="1" applyFont="1" applyFill="1" applyBorder="1" applyAlignment="1"/>
    <xf numFmtId="10" fontId="12" fillId="2" borderId="18" xfId="0" applyNumberFormat="1" applyFont="1" applyFill="1" applyBorder="1" applyAlignment="1"/>
    <xf numFmtId="3" fontId="12" fillId="2" borderId="17" xfId="0" applyNumberFormat="1" applyFont="1" applyFill="1" applyBorder="1" applyAlignment="1" applyProtection="1">
      <alignment horizontal="right"/>
      <protection locked="0"/>
    </xf>
    <xf numFmtId="10" fontId="12" fillId="2" borderId="10" xfId="0" applyNumberFormat="1" applyFont="1" applyFill="1" applyBorder="1" applyAlignment="1"/>
    <xf numFmtId="3" fontId="12" fillId="2" borderId="15" xfId="0" applyNumberFormat="1" applyFont="1" applyFill="1" applyBorder="1" applyAlignment="1"/>
    <xf numFmtId="10" fontId="12" fillId="2" borderId="15" xfId="0" applyNumberFormat="1" applyFont="1" applyFill="1" applyBorder="1" applyAlignment="1"/>
    <xf numFmtId="3" fontId="12" fillId="2" borderId="19" xfId="0" applyNumberFormat="1" applyFont="1" applyFill="1" applyBorder="1" applyAlignment="1"/>
    <xf numFmtId="10" fontId="12" fillId="2" borderId="20" xfId="0" applyNumberFormat="1" applyFont="1" applyFill="1" applyBorder="1" applyAlignment="1"/>
    <xf numFmtId="3" fontId="12" fillId="2" borderId="19" xfId="0" applyNumberFormat="1" applyFont="1" applyFill="1" applyBorder="1" applyAlignment="1" applyProtection="1">
      <alignment horizontal="right"/>
      <protection locked="0"/>
    </xf>
    <xf numFmtId="9" fontId="12" fillId="2" borderId="10" xfId="0" applyNumberFormat="1" applyFont="1" applyFill="1" applyBorder="1" applyAlignment="1"/>
    <xf numFmtId="9" fontId="3" fillId="2" borderId="0" xfId="0" applyNumberFormat="1" applyFont="1" applyFill="1" applyBorder="1" applyAlignment="1"/>
    <xf numFmtId="10" fontId="3" fillId="2" borderId="0" xfId="0" applyNumberFormat="1" applyFont="1" applyFill="1" applyBorder="1" applyAlignment="1"/>
    <xf numFmtId="3" fontId="20" fillId="2" borderId="0" xfId="0" applyNumberFormat="1" applyFont="1" applyFill="1" applyBorder="1" applyAlignment="1" applyProtection="1">
      <alignment horizontal="right"/>
      <protection locked="0"/>
    </xf>
    <xf numFmtId="9" fontId="15" fillId="3" borderId="0" xfId="0" applyNumberFormat="1" applyFont="1" applyFill="1" applyBorder="1" applyAlignment="1"/>
    <xf numFmtId="9" fontId="12" fillId="2" borderId="0" xfId="0" applyNumberFormat="1" applyFont="1" applyFill="1" applyBorder="1" applyAlignment="1"/>
    <xf numFmtId="3" fontId="13" fillId="2" borderId="10" xfId="0" applyNumberFormat="1" applyFont="1" applyFill="1" applyBorder="1" applyAlignment="1"/>
    <xf numFmtId="3" fontId="13" fillId="2" borderId="10" xfId="0" applyNumberFormat="1" applyFont="1" applyFill="1" applyBorder="1" applyAlignment="1" applyProtection="1">
      <alignment horizontal="right"/>
      <protection locked="0"/>
    </xf>
    <xf numFmtId="9" fontId="13" fillId="2" borderId="10" xfId="0" applyNumberFormat="1" applyFont="1" applyFill="1" applyBorder="1" applyAlignment="1"/>
    <xf numFmtId="10" fontId="13" fillId="2" borderId="10" xfId="0" applyNumberFormat="1" applyFont="1" applyFill="1" applyBorder="1" applyAlignment="1"/>
    <xf numFmtId="9" fontId="12" fillId="2" borderId="0" xfId="0" applyNumberFormat="1" applyFont="1" applyFill="1" applyAlignment="1"/>
    <xf numFmtId="3" fontId="12" fillId="2" borderId="0" xfId="0" applyNumberFormat="1" applyFont="1" applyFill="1" applyAlignment="1" applyProtection="1">
      <alignment horizontal="right"/>
      <protection locked="0"/>
    </xf>
    <xf numFmtId="0" fontId="13" fillId="2" borderId="0" xfId="0" applyNumberFormat="1" applyFont="1" applyFill="1" applyAlignment="1">
      <alignment horizontal="center"/>
    </xf>
    <xf numFmtId="0" fontId="13" fillId="2" borderId="0" xfId="0" quotePrefix="1" applyNumberFormat="1" applyFont="1" applyFill="1" applyAlignment="1">
      <alignment horizontal="center"/>
    </xf>
    <xf numFmtId="0" fontId="21" fillId="2" borderId="1" xfId="0" applyNumberFormat="1" applyFont="1" applyFill="1" applyBorder="1" applyAlignment="1"/>
    <xf numFmtId="0" fontId="28" fillId="2" borderId="0" xfId="0" applyNumberFormat="1" applyFont="1" applyFill="1" applyAlignment="1"/>
    <xf numFmtId="0" fontId="21" fillId="2" borderId="0" xfId="0" applyNumberFormat="1" applyFont="1" applyFill="1" applyAlignment="1"/>
    <xf numFmtId="0" fontId="21" fillId="2" borderId="13" xfId="0" applyNumberFormat="1" applyFont="1" applyFill="1" applyBorder="1" applyAlignment="1"/>
    <xf numFmtId="0" fontId="18" fillId="2" borderId="0" xfId="0" applyNumberFormat="1" applyFont="1" applyFill="1" applyAlignment="1"/>
    <xf numFmtId="0" fontId="21" fillId="2" borderId="8" xfId="0" applyNumberFormat="1" applyFont="1" applyFill="1" applyBorder="1" applyAlignment="1"/>
    <xf numFmtId="0" fontId="3" fillId="0" borderId="2" xfId="0" applyNumberFormat="1" applyFont="1" applyBorder="1"/>
    <xf numFmtId="170" fontId="17" fillId="2" borderId="10" xfId="0" applyNumberFormat="1" applyFont="1" applyFill="1" applyBorder="1" applyAlignment="1">
      <alignment horizontal="center"/>
    </xf>
    <xf numFmtId="15" fontId="11" fillId="2" borderId="0" xfId="0" applyNumberFormat="1" applyFont="1" applyFill="1" applyAlignment="1">
      <alignment horizontal="center"/>
    </xf>
    <xf numFmtId="0" fontId="3" fillId="2" borderId="10" xfId="0" applyNumberFormat="1" applyFont="1" applyFill="1" applyBorder="1" applyAlignment="1">
      <alignment horizontal="center" wrapText="1"/>
    </xf>
    <xf numFmtId="0" fontId="3" fillId="2" borderId="0" xfId="0" applyNumberFormat="1" applyFont="1" applyFill="1" applyBorder="1" applyAlignment="1">
      <alignment horizontal="center" wrapText="1"/>
    </xf>
    <xf numFmtId="0" fontId="11" fillId="2" borderId="10" xfId="0" applyNumberFormat="1" applyFont="1" applyFill="1" applyBorder="1" applyAlignment="1">
      <alignment horizontal="center" wrapText="1"/>
    </xf>
    <xf numFmtId="0" fontId="3" fillId="2" borderId="15" xfId="0" applyNumberFormat="1" applyFont="1" applyFill="1" applyBorder="1" applyAlignment="1"/>
    <xf numFmtId="169" fontId="3" fillId="2" borderId="10" xfId="0" applyNumberFormat="1" applyFont="1" applyFill="1" applyBorder="1" applyAlignment="1">
      <alignment horizontal="center"/>
    </xf>
    <xf numFmtId="10" fontId="12" fillId="2" borderId="10" xfId="2" applyNumberFormat="1" applyFont="1" applyFill="1" applyBorder="1" applyAlignment="1">
      <alignment horizontal="center"/>
    </xf>
    <xf numFmtId="0" fontId="6" fillId="2" borderId="0" xfId="0" applyNumberFormat="1" applyFont="1" applyFill="1" applyAlignment="1">
      <alignment horizontal="right"/>
    </xf>
    <xf numFmtId="4" fontId="6" fillId="2" borderId="0" xfId="0" applyNumberFormat="1" applyFont="1" applyFill="1" applyAlignment="1" applyProtection="1">
      <alignment horizontal="right"/>
      <protection locked="0"/>
    </xf>
    <xf numFmtId="164" fontId="12" fillId="0" borderId="0" xfId="0" applyNumberFormat="1" applyFont="1" applyAlignment="1"/>
    <xf numFmtId="10" fontId="13" fillId="2" borderId="10" xfId="0" applyNumberFormat="1" applyFont="1" applyFill="1" applyBorder="1" applyAlignment="1" applyProtection="1">
      <alignment horizontal="right"/>
      <protection locked="0"/>
    </xf>
    <xf numFmtId="3" fontId="3" fillId="2" borderId="10" xfId="0" applyNumberFormat="1" applyFont="1" applyFill="1" applyBorder="1" applyAlignment="1" applyProtection="1">
      <alignment horizontal="right"/>
      <protection locked="0"/>
    </xf>
    <xf numFmtId="3" fontId="3" fillId="2" borderId="10" xfId="0" applyNumberFormat="1" applyFont="1" applyFill="1" applyBorder="1" applyAlignment="1"/>
    <xf numFmtId="0" fontId="13" fillId="2" borderId="0" xfId="0" applyNumberFormat="1" applyFont="1" applyFill="1" applyAlignment="1">
      <alignment horizontal="center" wrapText="1"/>
    </xf>
    <xf numFmtId="10" fontId="12" fillId="2" borderId="10" xfId="0" applyNumberFormat="1" applyFont="1" applyFill="1" applyBorder="1" applyAlignment="1" applyProtection="1">
      <alignment horizontal="right"/>
      <protection locked="0"/>
    </xf>
    <xf numFmtId="165" fontId="3" fillId="2" borderId="10" xfId="0" applyNumberFormat="1" applyFont="1" applyFill="1" applyBorder="1" applyAlignment="1">
      <alignment horizontal="center"/>
    </xf>
    <xf numFmtId="0" fontId="15" fillId="3" borderId="1" xfId="0" applyFont="1" applyFill="1" applyBorder="1"/>
    <xf numFmtId="0" fontId="16" fillId="3" borderId="0" xfId="0" applyFont="1" applyFill="1"/>
    <xf numFmtId="0" fontId="15" fillId="3" borderId="0" xfId="0" applyFont="1" applyFill="1"/>
    <xf numFmtId="9" fontId="15" fillId="3" borderId="0" xfId="0" applyNumberFormat="1" applyFont="1" applyFill="1"/>
    <xf numFmtId="9" fontId="15" fillId="3" borderId="18" xfId="0" applyNumberFormat="1" applyFont="1" applyFill="1" applyBorder="1"/>
    <xf numFmtId="0" fontId="12" fillId="4" borderId="1" xfId="0" applyFont="1" applyFill="1" applyBorder="1"/>
    <xf numFmtId="3" fontId="12" fillId="4" borderId="0" xfId="0" applyNumberFormat="1" applyFont="1" applyFill="1"/>
    <xf numFmtId="0" fontId="12" fillId="4" borderId="0" xfId="0" applyFont="1" applyFill="1"/>
    <xf numFmtId="9" fontId="12" fillId="4" borderId="0" xfId="0" applyNumberFormat="1" applyFont="1" applyFill="1"/>
    <xf numFmtId="9" fontId="12" fillId="2" borderId="20" xfId="0" applyNumberFormat="1" applyFont="1" applyFill="1" applyBorder="1"/>
    <xf numFmtId="0" fontId="12" fillId="4" borderId="9" xfId="0" applyFont="1" applyFill="1" applyBorder="1"/>
    <xf numFmtId="3" fontId="12" fillId="4" borderId="10" xfId="0" applyNumberFormat="1" applyFont="1" applyFill="1" applyBorder="1"/>
    <xf numFmtId="0" fontId="12" fillId="4" borderId="10" xfId="0" applyFont="1" applyFill="1" applyBorder="1"/>
    <xf numFmtId="9" fontId="12" fillId="4" borderId="10" xfId="0" applyNumberFormat="1" applyFont="1" applyFill="1" applyBorder="1"/>
    <xf numFmtId="9" fontId="12" fillId="2" borderId="10" xfId="0" applyNumberFormat="1" applyFont="1" applyFill="1" applyBorder="1"/>
    <xf numFmtId="0" fontId="12" fillId="2" borderId="0" xfId="0" applyFont="1" applyFill="1"/>
    <xf numFmtId="0" fontId="13" fillId="2" borderId="0" xfId="0" applyFont="1" applyFill="1"/>
    <xf numFmtId="0" fontId="25" fillId="2" borderId="0" xfId="0" applyFont="1" applyFill="1"/>
    <xf numFmtId="0" fontId="10" fillId="4" borderId="0" xfId="1" applyFont="1" applyFill="1" applyAlignment="1" applyProtection="1"/>
    <xf numFmtId="0" fontId="10" fillId="4" borderId="10" xfId="1" applyFont="1" applyFill="1" applyBorder="1" applyAlignment="1" applyProtection="1"/>
    <xf numFmtId="3" fontId="16" fillId="3" borderId="0" xfId="0" applyNumberFormat="1" applyFont="1" applyFill="1" applyAlignment="1">
      <alignment horizontal="center"/>
    </xf>
    <xf numFmtId="0" fontId="16" fillId="3" borderId="0" xfId="0" applyFont="1" applyFill="1" applyAlignment="1">
      <alignment horizontal="center"/>
    </xf>
    <xf numFmtId="3" fontId="12" fillId="2" borderId="0" xfId="0" applyNumberFormat="1" applyFont="1" applyFill="1"/>
    <xf numFmtId="10" fontId="12" fillId="2" borderId="0" xfId="0" applyNumberFormat="1" applyFont="1" applyFill="1"/>
    <xf numFmtId="3" fontId="12" fillId="2" borderId="10" xfId="0" applyNumberFormat="1" applyFont="1" applyFill="1" applyBorder="1"/>
    <xf numFmtId="10" fontId="12" fillId="2" borderId="21" xfId="0" applyNumberFormat="1" applyFont="1" applyFill="1" applyBorder="1"/>
    <xf numFmtId="10" fontId="12" fillId="2" borderId="10" xfId="0" applyNumberFormat="1" applyFont="1" applyFill="1" applyBorder="1"/>
    <xf numFmtId="9" fontId="12" fillId="2" borderId="20" xfId="0" applyNumberFormat="1" applyFont="1" applyFill="1" applyBorder="1" applyAlignment="1"/>
    <xf numFmtId="0" fontId="3" fillId="0" borderId="0" xfId="0" applyFont="1"/>
    <xf numFmtId="0" fontId="29" fillId="0" borderId="0" xfId="0" applyNumberFormat="1" applyFont="1" applyAlignment="1"/>
    <xf numFmtId="0" fontId="12" fillId="2" borderId="22" xfId="0" applyFont="1" applyFill="1" applyBorder="1"/>
    <xf numFmtId="0" fontId="12" fillId="2" borderId="23" xfId="0" applyFont="1" applyFill="1" applyBorder="1"/>
    <xf numFmtId="0" fontId="3" fillId="2" borderId="23" xfId="0" applyFont="1" applyFill="1" applyBorder="1"/>
    <xf numFmtId="3" fontId="12" fillId="2" borderId="23" xfId="0" applyNumberFormat="1" applyFont="1" applyFill="1" applyBorder="1"/>
    <xf numFmtId="10" fontId="12" fillId="2" borderId="23" xfId="0" applyNumberFormat="1" applyFont="1" applyFill="1" applyBorder="1"/>
    <xf numFmtId="3" fontId="12" fillId="2" borderId="23" xfId="0" applyNumberFormat="1" applyFont="1" applyFill="1" applyBorder="1" applyAlignment="1" applyProtection="1">
      <alignment horizontal="right"/>
      <protection locked="0"/>
    </xf>
    <xf numFmtId="0" fontId="10" fillId="0" borderId="0" xfId="0" applyFont="1"/>
    <xf numFmtId="0" fontId="30" fillId="2" borderId="0" xfId="0" applyNumberFormat="1" applyFont="1" applyFill="1" applyAlignment="1"/>
    <xf numFmtId="1" fontId="12" fillId="2" borderId="10" xfId="0" applyNumberFormat="1" applyFont="1" applyFill="1" applyBorder="1" applyAlignment="1"/>
    <xf numFmtId="0" fontId="12" fillId="2" borderId="20" xfId="0" applyNumberFormat="1" applyFont="1" applyFill="1" applyBorder="1" applyAlignment="1"/>
    <xf numFmtId="0" fontId="16" fillId="3" borderId="18" xfId="0" applyFont="1" applyFill="1" applyBorder="1"/>
    <xf numFmtId="0" fontId="12" fillId="2" borderId="25" xfId="0" applyNumberFormat="1" applyFont="1" applyFill="1" applyBorder="1" applyAlignment="1"/>
    <xf numFmtId="0" fontId="15" fillId="3" borderId="24" xfId="0" applyNumberFormat="1" applyFont="1" applyFill="1" applyBorder="1" applyAlignment="1"/>
    <xf numFmtId="10" fontId="13" fillId="2" borderId="18" xfId="0" applyNumberFormat="1" applyFont="1" applyFill="1" applyBorder="1"/>
    <xf numFmtId="10" fontId="13" fillId="2" borderId="18" xfId="0" applyNumberFormat="1" applyFont="1" applyFill="1" applyBorder="1" applyAlignment="1" applyProtection="1">
      <alignment horizontal="right"/>
      <protection locked="0"/>
    </xf>
    <xf numFmtId="0" fontId="12" fillId="2" borderId="18" xfId="0" applyNumberFormat="1" applyFont="1" applyFill="1" applyBorder="1" applyAlignment="1"/>
    <xf numFmtId="3" fontId="12" fillId="2" borderId="20" xfId="0" applyNumberFormat="1" applyFont="1" applyFill="1" applyBorder="1" applyAlignment="1"/>
    <xf numFmtId="3" fontId="12" fillId="2" borderId="20" xfId="0" applyNumberFormat="1" applyFont="1" applyFill="1" applyBorder="1" applyAlignment="1" applyProtection="1">
      <alignment horizontal="right"/>
      <protection locked="0"/>
    </xf>
    <xf numFmtId="3" fontId="12" fillId="2" borderId="26" xfId="0" applyNumberFormat="1" applyFont="1" applyFill="1" applyBorder="1"/>
    <xf numFmtId="10" fontId="12" fillId="2" borderId="27" xfId="0" applyNumberFormat="1" applyFont="1" applyFill="1" applyBorder="1"/>
    <xf numFmtId="3" fontId="12" fillId="2" borderId="27" xfId="0" applyNumberFormat="1" applyFont="1" applyFill="1" applyBorder="1" applyAlignment="1" applyProtection="1">
      <alignment horizontal="right"/>
      <protection locked="0"/>
    </xf>
    <xf numFmtId="4" fontId="12" fillId="2" borderId="28" xfId="0" applyNumberFormat="1" applyFont="1" applyFill="1" applyBorder="1" applyAlignment="1"/>
    <xf numFmtId="3" fontId="12" fillId="2" borderId="29" xfId="0" applyNumberFormat="1" applyFont="1" applyFill="1" applyBorder="1"/>
    <xf numFmtId="10" fontId="12" fillId="2" borderId="30" xfId="0" applyNumberFormat="1" applyFont="1" applyFill="1" applyBorder="1"/>
    <xf numFmtId="3" fontId="12" fillId="2" borderId="30" xfId="0" applyNumberFormat="1" applyFont="1" applyFill="1" applyBorder="1" applyAlignment="1" applyProtection="1">
      <alignment horizontal="right"/>
      <protection locked="0"/>
    </xf>
    <xf numFmtId="4" fontId="12" fillId="2" borderId="31" xfId="0" applyNumberFormat="1" applyFont="1" applyFill="1" applyBorder="1" applyAlignment="1"/>
    <xf numFmtId="0" fontId="31" fillId="0" borderId="0" xfId="1" applyFont="1" applyAlignment="1" applyProtection="1">
      <alignment vertical="center"/>
    </xf>
    <xf numFmtId="10" fontId="3" fillId="2" borderId="10" xfId="0" applyNumberFormat="1" applyFont="1" applyFill="1" applyBorder="1" applyAlignment="1">
      <alignment horizontal="center"/>
    </xf>
  </cellXfs>
  <cellStyles count="3">
    <cellStyle name="Hyperlink" xfId="1" builtinId="8"/>
    <cellStyle name="Normal" xfId="0" builtinId="0"/>
    <cellStyle name="Percent" xfId="2"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F4F4F4"/>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2D2926"/>
      <color rgb="FF89CB31"/>
      <color rgb="FF008080"/>
      <color rgb="FF969696"/>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file:///C:\WINDOWS\TEMP\~0003946.gif" TargetMode="External"/><Relationship Id="rId1" Type="http://schemas.openxmlformats.org/officeDocument/2006/relationships/image" Target="../media/image1.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28</xdr:col>
      <xdr:colOff>1095375</xdr:colOff>
      <xdr:row>362</xdr:row>
      <xdr:rowOff>123825</xdr:rowOff>
    </xdr:from>
    <xdr:to>
      <xdr:col>28</xdr:col>
      <xdr:colOff>1895475</xdr:colOff>
      <xdr:row>364</xdr:row>
      <xdr:rowOff>152400</xdr:rowOff>
    </xdr:to>
    <xdr:pic>
      <xdr:nvPicPr>
        <xdr:cNvPr id="2" name="Picture 1" descr="C:\WINDOWS\TEMP\~0003946.gif">
          <a:extLst>
            <a:ext uri="{FF2B5EF4-FFF2-40B4-BE49-F238E27FC236}">
              <a16:creationId xmlns:a16="http://schemas.microsoft.com/office/drawing/2014/main" id="{8E7D1300-972B-4CFE-A583-D85DBAF3D7A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6901497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232</xdr:row>
      <xdr:rowOff>152400</xdr:rowOff>
    </xdr:from>
    <xdr:to>
      <xdr:col>28</xdr:col>
      <xdr:colOff>1924050</xdr:colOff>
      <xdr:row>233</xdr:row>
      <xdr:rowOff>180975</xdr:rowOff>
    </xdr:to>
    <xdr:pic>
      <xdr:nvPicPr>
        <xdr:cNvPr id="3" name="Picture 2" descr="C:\WINDOWS\TEMP\~0003946.gif">
          <a:extLst>
            <a:ext uri="{FF2B5EF4-FFF2-40B4-BE49-F238E27FC236}">
              <a16:creationId xmlns:a16="http://schemas.microsoft.com/office/drawing/2014/main" id="{7EB9FD11-BC2B-48E7-83E7-46414F5CD68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5425" y="4832985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129</xdr:row>
      <xdr:rowOff>161925</xdr:rowOff>
    </xdr:from>
    <xdr:to>
      <xdr:col>28</xdr:col>
      <xdr:colOff>1952625</xdr:colOff>
      <xdr:row>130</xdr:row>
      <xdr:rowOff>190500</xdr:rowOff>
    </xdr:to>
    <xdr:pic>
      <xdr:nvPicPr>
        <xdr:cNvPr id="4" name="Picture 3" descr="C:\WINDOWS\TEMP\~0003946.gif">
          <a:extLst>
            <a:ext uri="{FF2B5EF4-FFF2-40B4-BE49-F238E27FC236}">
              <a16:creationId xmlns:a16="http://schemas.microsoft.com/office/drawing/2014/main" id="{57E43D94-F014-428F-96BD-0A83D78CD5C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276955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48AC74AC-3015-4CFC-835D-B4357517DE4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110553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316753</xdr:colOff>
      <xdr:row>52</xdr:row>
      <xdr:rowOff>142768</xdr:rowOff>
    </xdr:to>
    <xdr:pic>
      <xdr:nvPicPr>
        <xdr:cNvPr id="6" name="Picture 5">
          <a:extLst>
            <a:ext uri="{FF2B5EF4-FFF2-40B4-BE49-F238E27FC236}">
              <a16:creationId xmlns:a16="http://schemas.microsoft.com/office/drawing/2014/main" id="{BC7DFA64-A54E-4A67-8200-3BBDD6364596}"/>
            </a:ext>
          </a:extLst>
        </xdr:cNvPr>
        <xdr:cNvPicPr>
          <a:picLocks noChangeAspect="1"/>
        </xdr:cNvPicPr>
      </xdr:nvPicPr>
      <xdr:blipFill>
        <a:blip xmlns:r="http://schemas.openxmlformats.org/officeDocument/2006/relationships" r:embed="rId3"/>
        <a:stretch>
          <a:fillRect/>
        </a:stretch>
      </xdr:blipFill>
      <xdr:spPr>
        <a:xfrm>
          <a:off x="142875" y="11010900"/>
          <a:ext cx="170703" cy="231668"/>
        </a:xfrm>
        <a:prstGeom prst="rect">
          <a:avLst/>
        </a:prstGeom>
      </xdr:spPr>
    </xdr:pic>
    <xdr:clientData/>
  </xdr:twoCellAnchor>
  <xdr:twoCellAnchor editAs="oneCell">
    <xdr:from>
      <xdr:col>0</xdr:col>
      <xdr:colOff>165100</xdr:colOff>
      <xdr:row>129</xdr:row>
      <xdr:rowOff>177800</xdr:rowOff>
    </xdr:from>
    <xdr:to>
      <xdr:col>1</xdr:col>
      <xdr:colOff>523</xdr:colOff>
      <xdr:row>130</xdr:row>
      <xdr:rowOff>199917</xdr:rowOff>
    </xdr:to>
    <xdr:pic>
      <xdr:nvPicPr>
        <xdr:cNvPr id="7" name="Picture 6">
          <a:extLst>
            <a:ext uri="{FF2B5EF4-FFF2-40B4-BE49-F238E27FC236}">
              <a16:creationId xmlns:a16="http://schemas.microsoft.com/office/drawing/2014/main" id="{12FE25D5-C8A5-464B-A40C-7C8ED43E8535}"/>
            </a:ext>
          </a:extLst>
        </xdr:cNvPr>
        <xdr:cNvPicPr>
          <a:picLocks noChangeAspect="1"/>
        </xdr:cNvPicPr>
      </xdr:nvPicPr>
      <xdr:blipFill>
        <a:blip xmlns:r="http://schemas.openxmlformats.org/officeDocument/2006/relationships" r:embed="rId3"/>
        <a:stretch>
          <a:fillRect/>
        </a:stretch>
      </xdr:blipFill>
      <xdr:spPr>
        <a:xfrm>
          <a:off x="161925" y="27717750"/>
          <a:ext cx="171973" cy="222143"/>
        </a:xfrm>
        <a:prstGeom prst="rect">
          <a:avLst/>
        </a:prstGeom>
      </xdr:spPr>
    </xdr:pic>
    <xdr:clientData/>
  </xdr:twoCellAnchor>
  <xdr:twoCellAnchor editAs="oneCell">
    <xdr:from>
      <xdr:col>0</xdr:col>
      <xdr:colOff>139700</xdr:colOff>
      <xdr:row>232</xdr:row>
      <xdr:rowOff>152400</xdr:rowOff>
    </xdr:from>
    <xdr:to>
      <xdr:col>0</xdr:col>
      <xdr:colOff>316753</xdr:colOff>
      <xdr:row>233</xdr:row>
      <xdr:rowOff>180867</xdr:rowOff>
    </xdr:to>
    <xdr:pic>
      <xdr:nvPicPr>
        <xdr:cNvPr id="8" name="Picture 7">
          <a:extLst>
            <a:ext uri="{FF2B5EF4-FFF2-40B4-BE49-F238E27FC236}">
              <a16:creationId xmlns:a16="http://schemas.microsoft.com/office/drawing/2014/main" id="{28166A8E-FD91-4A65-AA72-A5F483FF61DD}"/>
            </a:ext>
          </a:extLst>
        </xdr:cNvPr>
        <xdr:cNvPicPr>
          <a:picLocks noChangeAspect="1"/>
        </xdr:cNvPicPr>
      </xdr:nvPicPr>
      <xdr:blipFill>
        <a:blip xmlns:r="http://schemas.openxmlformats.org/officeDocument/2006/relationships" r:embed="rId3"/>
        <a:stretch>
          <a:fillRect/>
        </a:stretch>
      </xdr:blipFill>
      <xdr:spPr>
        <a:xfrm>
          <a:off x="142875" y="48329850"/>
          <a:ext cx="170703" cy="231668"/>
        </a:xfrm>
        <a:prstGeom prst="rect">
          <a:avLst/>
        </a:prstGeom>
      </xdr:spPr>
    </xdr:pic>
    <xdr:clientData/>
  </xdr:twoCellAnchor>
  <xdr:twoCellAnchor editAs="oneCell">
    <xdr:from>
      <xdr:col>0</xdr:col>
      <xdr:colOff>139700</xdr:colOff>
      <xdr:row>362</xdr:row>
      <xdr:rowOff>127000</xdr:rowOff>
    </xdr:from>
    <xdr:to>
      <xdr:col>0</xdr:col>
      <xdr:colOff>316753</xdr:colOff>
      <xdr:row>363</xdr:row>
      <xdr:rowOff>114647</xdr:rowOff>
    </xdr:to>
    <xdr:pic>
      <xdr:nvPicPr>
        <xdr:cNvPr id="9" name="Picture 8">
          <a:extLst>
            <a:ext uri="{FF2B5EF4-FFF2-40B4-BE49-F238E27FC236}">
              <a16:creationId xmlns:a16="http://schemas.microsoft.com/office/drawing/2014/main" id="{3E7C8145-79D5-410C-AD03-FEA09AFF9D14}"/>
            </a:ext>
          </a:extLst>
        </xdr:cNvPr>
        <xdr:cNvPicPr>
          <a:picLocks noChangeAspect="1"/>
        </xdr:cNvPicPr>
      </xdr:nvPicPr>
      <xdr:blipFill>
        <a:blip xmlns:r="http://schemas.openxmlformats.org/officeDocument/2006/relationships" r:embed="rId3"/>
        <a:stretch>
          <a:fillRect/>
        </a:stretch>
      </xdr:blipFill>
      <xdr:spPr>
        <a:xfrm>
          <a:off x="142875" y="69018150"/>
          <a:ext cx="170703" cy="231668"/>
        </a:xfrm>
        <a:prstGeom prst="rect">
          <a:avLst/>
        </a:prstGeom>
      </xdr:spPr>
    </xdr:pic>
    <xdr:clientData/>
  </xdr:twoCellAnchor>
  <xdr:twoCellAnchor editAs="oneCell">
    <xdr:from>
      <xdr:col>28</xdr:col>
      <xdr:colOff>0</xdr:colOff>
      <xdr:row>362</xdr:row>
      <xdr:rowOff>0</xdr:rowOff>
    </xdr:from>
    <xdr:to>
      <xdr:col>28</xdr:col>
      <xdr:colOff>829128</xdr:colOff>
      <xdr:row>363</xdr:row>
      <xdr:rowOff>48612</xdr:rowOff>
    </xdr:to>
    <xdr:pic>
      <xdr:nvPicPr>
        <xdr:cNvPr id="10" name="Picture 9">
          <a:extLst>
            <a:ext uri="{FF2B5EF4-FFF2-40B4-BE49-F238E27FC236}">
              <a16:creationId xmlns:a16="http://schemas.microsoft.com/office/drawing/2014/main" id="{EDE39628-55C7-4D69-98BE-FF76A491817C}"/>
            </a:ext>
          </a:extLst>
        </xdr:cNvPr>
        <xdr:cNvPicPr>
          <a:picLocks noChangeAspect="1"/>
        </xdr:cNvPicPr>
      </xdr:nvPicPr>
      <xdr:blipFill>
        <a:blip xmlns:r="http://schemas.openxmlformats.org/officeDocument/2006/relationships" r:embed="rId4"/>
        <a:stretch>
          <a:fillRect/>
        </a:stretch>
      </xdr:blipFill>
      <xdr:spPr>
        <a:xfrm>
          <a:off x="27184350" y="68894325"/>
          <a:ext cx="825953" cy="286283"/>
        </a:xfrm>
        <a:prstGeom prst="rect">
          <a:avLst/>
        </a:prstGeom>
      </xdr:spPr>
    </xdr:pic>
    <xdr:clientData/>
  </xdr:twoCellAnchor>
  <xdr:twoCellAnchor editAs="oneCell">
    <xdr:from>
      <xdr:col>28</xdr:col>
      <xdr:colOff>63500</xdr:colOff>
      <xdr:row>232</xdr:row>
      <xdr:rowOff>88900</xdr:rowOff>
    </xdr:from>
    <xdr:to>
      <xdr:col>28</xdr:col>
      <xdr:colOff>892628</xdr:colOff>
      <xdr:row>233</xdr:row>
      <xdr:rowOff>178332</xdr:rowOff>
    </xdr:to>
    <xdr:pic>
      <xdr:nvPicPr>
        <xdr:cNvPr id="11" name="Picture 10">
          <a:extLst>
            <a:ext uri="{FF2B5EF4-FFF2-40B4-BE49-F238E27FC236}">
              <a16:creationId xmlns:a16="http://schemas.microsoft.com/office/drawing/2014/main" id="{FC9F808B-5C76-44FD-BFAA-5C971B0672C1}"/>
            </a:ext>
          </a:extLst>
        </xdr:cNvPr>
        <xdr:cNvPicPr>
          <a:picLocks noChangeAspect="1"/>
        </xdr:cNvPicPr>
      </xdr:nvPicPr>
      <xdr:blipFill>
        <a:blip xmlns:r="http://schemas.openxmlformats.org/officeDocument/2006/relationships" r:embed="rId4"/>
        <a:stretch>
          <a:fillRect/>
        </a:stretch>
      </xdr:blipFill>
      <xdr:spPr>
        <a:xfrm>
          <a:off x="27251025" y="48263175"/>
          <a:ext cx="825953" cy="295808"/>
        </a:xfrm>
        <a:prstGeom prst="rect">
          <a:avLst/>
        </a:prstGeom>
      </xdr:spPr>
    </xdr:pic>
    <xdr:clientData/>
  </xdr:twoCellAnchor>
  <xdr:twoCellAnchor editAs="oneCell">
    <xdr:from>
      <xdr:col>28</xdr:col>
      <xdr:colOff>25400</xdr:colOff>
      <xdr:row>129</xdr:row>
      <xdr:rowOff>76200</xdr:rowOff>
    </xdr:from>
    <xdr:to>
      <xdr:col>28</xdr:col>
      <xdr:colOff>854528</xdr:colOff>
      <xdr:row>130</xdr:row>
      <xdr:rowOff>159282</xdr:rowOff>
    </xdr:to>
    <xdr:pic>
      <xdr:nvPicPr>
        <xdr:cNvPr id="12" name="Picture 11">
          <a:extLst>
            <a:ext uri="{FF2B5EF4-FFF2-40B4-BE49-F238E27FC236}">
              <a16:creationId xmlns:a16="http://schemas.microsoft.com/office/drawing/2014/main" id="{E913A5E2-B4CC-4AAA-B4EF-0703143B62C0}"/>
            </a:ext>
          </a:extLst>
        </xdr:cNvPr>
        <xdr:cNvPicPr>
          <a:picLocks noChangeAspect="1"/>
        </xdr:cNvPicPr>
      </xdr:nvPicPr>
      <xdr:blipFill>
        <a:blip xmlns:r="http://schemas.openxmlformats.org/officeDocument/2006/relationships" r:embed="rId4"/>
        <a:stretch>
          <a:fillRect/>
        </a:stretch>
      </xdr:blipFill>
      <xdr:spPr>
        <a:xfrm>
          <a:off x="27212925" y="27612975"/>
          <a:ext cx="825953" cy="286283"/>
        </a:xfrm>
        <a:prstGeom prst="rect">
          <a:avLst/>
        </a:prstGeom>
      </xdr:spPr>
    </xdr:pic>
    <xdr:clientData/>
  </xdr:twoCellAnchor>
  <xdr:twoCellAnchor editAs="oneCell">
    <xdr:from>
      <xdr:col>28</xdr:col>
      <xdr:colOff>0</xdr:colOff>
      <xdr:row>51</xdr:row>
      <xdr:rowOff>0</xdr:rowOff>
    </xdr:from>
    <xdr:to>
      <xdr:col>28</xdr:col>
      <xdr:colOff>829128</xdr:colOff>
      <xdr:row>52</xdr:row>
      <xdr:rowOff>83083</xdr:rowOff>
    </xdr:to>
    <xdr:pic>
      <xdr:nvPicPr>
        <xdr:cNvPr id="13" name="Picture 12">
          <a:extLst>
            <a:ext uri="{FF2B5EF4-FFF2-40B4-BE49-F238E27FC236}">
              <a16:creationId xmlns:a16="http://schemas.microsoft.com/office/drawing/2014/main" id="{FEAD4692-EE15-4715-9B3E-F750EACEA2AA}"/>
            </a:ext>
          </a:extLst>
        </xdr:cNvPr>
        <xdr:cNvPicPr>
          <a:picLocks noChangeAspect="1"/>
        </xdr:cNvPicPr>
      </xdr:nvPicPr>
      <xdr:blipFill>
        <a:blip xmlns:r="http://schemas.openxmlformats.org/officeDocument/2006/relationships" r:embed="rId4"/>
        <a:stretch>
          <a:fillRect/>
        </a:stretch>
      </xdr:blipFill>
      <xdr:spPr>
        <a:xfrm>
          <a:off x="27184350" y="10896600"/>
          <a:ext cx="825953" cy="2862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28</xdr:col>
      <xdr:colOff>1095375</xdr:colOff>
      <xdr:row>345</xdr:row>
      <xdr:rowOff>123825</xdr:rowOff>
    </xdr:from>
    <xdr:to>
      <xdr:col>28</xdr:col>
      <xdr:colOff>1895475</xdr:colOff>
      <xdr:row>347</xdr:row>
      <xdr:rowOff>152400</xdr:rowOff>
    </xdr:to>
    <xdr:pic>
      <xdr:nvPicPr>
        <xdr:cNvPr id="2" name="Picture 1" descr="C:\WINDOWS\TEMP\~0003946.gif">
          <a:extLst>
            <a:ext uri="{FF2B5EF4-FFF2-40B4-BE49-F238E27FC236}">
              <a16:creationId xmlns:a16="http://schemas.microsoft.com/office/drawing/2014/main" id="{BBC3F5EB-13F6-44CA-86DE-60D3B15A5BA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9745" y="7045833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232</xdr:row>
      <xdr:rowOff>152400</xdr:rowOff>
    </xdr:from>
    <xdr:to>
      <xdr:col>28</xdr:col>
      <xdr:colOff>1924050</xdr:colOff>
      <xdr:row>233</xdr:row>
      <xdr:rowOff>180975</xdr:rowOff>
    </xdr:to>
    <xdr:pic>
      <xdr:nvPicPr>
        <xdr:cNvPr id="3" name="Picture 2" descr="C:\WINDOWS\TEMP\~0003946.gif">
          <a:extLst>
            <a:ext uri="{FF2B5EF4-FFF2-40B4-BE49-F238E27FC236}">
              <a16:creationId xmlns:a16="http://schemas.microsoft.com/office/drawing/2014/main" id="{699C6669-7CA7-4F00-81DA-0783299DAA5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7840" y="4778692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129</xdr:row>
      <xdr:rowOff>161925</xdr:rowOff>
    </xdr:from>
    <xdr:to>
      <xdr:col>28</xdr:col>
      <xdr:colOff>1952625</xdr:colOff>
      <xdr:row>130</xdr:row>
      <xdr:rowOff>190500</xdr:rowOff>
    </xdr:to>
    <xdr:pic>
      <xdr:nvPicPr>
        <xdr:cNvPr id="4" name="Picture 3" descr="C:\WINDOWS\TEMP\~0003946.gif">
          <a:extLst>
            <a:ext uri="{FF2B5EF4-FFF2-40B4-BE49-F238E27FC236}">
              <a16:creationId xmlns:a16="http://schemas.microsoft.com/office/drawing/2014/main" id="{44476537-4873-4784-8E2B-A61E60C0435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270910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A75632AE-D568-4E5A-A9F7-6EB48CF41AB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108604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321198</xdr:colOff>
      <xdr:row>52</xdr:row>
      <xdr:rowOff>132608</xdr:rowOff>
    </xdr:to>
    <xdr:pic>
      <xdr:nvPicPr>
        <xdr:cNvPr id="6" name="Picture 5">
          <a:extLst>
            <a:ext uri="{FF2B5EF4-FFF2-40B4-BE49-F238E27FC236}">
              <a16:creationId xmlns:a16="http://schemas.microsoft.com/office/drawing/2014/main" id="{8BE437A3-1F90-4B0A-9E30-07F2A4A83277}"/>
            </a:ext>
          </a:extLst>
        </xdr:cNvPr>
        <xdr:cNvPicPr>
          <a:picLocks noChangeAspect="1"/>
        </xdr:cNvPicPr>
      </xdr:nvPicPr>
      <xdr:blipFill>
        <a:blip xmlns:r="http://schemas.openxmlformats.org/officeDocument/2006/relationships" r:embed="rId3"/>
        <a:stretch>
          <a:fillRect/>
        </a:stretch>
      </xdr:blipFill>
      <xdr:spPr>
        <a:xfrm>
          <a:off x="135890" y="10810875"/>
          <a:ext cx="189118" cy="222143"/>
        </a:xfrm>
        <a:prstGeom prst="rect">
          <a:avLst/>
        </a:prstGeom>
      </xdr:spPr>
    </xdr:pic>
    <xdr:clientData/>
  </xdr:twoCellAnchor>
  <xdr:twoCellAnchor editAs="oneCell">
    <xdr:from>
      <xdr:col>0</xdr:col>
      <xdr:colOff>165100</xdr:colOff>
      <xdr:row>129</xdr:row>
      <xdr:rowOff>177800</xdr:rowOff>
    </xdr:from>
    <xdr:to>
      <xdr:col>1</xdr:col>
      <xdr:colOff>523</xdr:colOff>
      <xdr:row>130</xdr:row>
      <xdr:rowOff>206902</xdr:rowOff>
    </xdr:to>
    <xdr:pic>
      <xdr:nvPicPr>
        <xdr:cNvPr id="7" name="Picture 6">
          <a:extLst>
            <a:ext uri="{FF2B5EF4-FFF2-40B4-BE49-F238E27FC236}">
              <a16:creationId xmlns:a16="http://schemas.microsoft.com/office/drawing/2014/main" id="{BB0753F2-B806-41A1-AABC-C605912CFA17}"/>
            </a:ext>
          </a:extLst>
        </xdr:cNvPr>
        <xdr:cNvPicPr>
          <a:picLocks noChangeAspect="1"/>
        </xdr:cNvPicPr>
      </xdr:nvPicPr>
      <xdr:blipFill>
        <a:blip xmlns:r="http://schemas.openxmlformats.org/officeDocument/2006/relationships" r:embed="rId3"/>
        <a:stretch>
          <a:fillRect/>
        </a:stretch>
      </xdr:blipFill>
      <xdr:spPr>
        <a:xfrm>
          <a:off x="168910" y="27101165"/>
          <a:ext cx="164988" cy="236747"/>
        </a:xfrm>
        <a:prstGeom prst="rect">
          <a:avLst/>
        </a:prstGeom>
      </xdr:spPr>
    </xdr:pic>
    <xdr:clientData/>
  </xdr:twoCellAnchor>
  <xdr:twoCellAnchor editAs="oneCell">
    <xdr:from>
      <xdr:col>0</xdr:col>
      <xdr:colOff>139700</xdr:colOff>
      <xdr:row>232</xdr:row>
      <xdr:rowOff>152400</xdr:rowOff>
    </xdr:from>
    <xdr:to>
      <xdr:col>0</xdr:col>
      <xdr:colOff>321198</xdr:colOff>
      <xdr:row>233</xdr:row>
      <xdr:rowOff>170707</xdr:rowOff>
    </xdr:to>
    <xdr:pic>
      <xdr:nvPicPr>
        <xdr:cNvPr id="8" name="Picture 7">
          <a:extLst>
            <a:ext uri="{FF2B5EF4-FFF2-40B4-BE49-F238E27FC236}">
              <a16:creationId xmlns:a16="http://schemas.microsoft.com/office/drawing/2014/main" id="{50078D4A-0EEE-4D78-972A-F9C9FDE7E340}"/>
            </a:ext>
          </a:extLst>
        </xdr:cNvPr>
        <xdr:cNvPicPr>
          <a:picLocks noChangeAspect="1"/>
        </xdr:cNvPicPr>
      </xdr:nvPicPr>
      <xdr:blipFill>
        <a:blip xmlns:r="http://schemas.openxmlformats.org/officeDocument/2006/relationships" r:embed="rId3"/>
        <a:stretch>
          <a:fillRect/>
        </a:stretch>
      </xdr:blipFill>
      <xdr:spPr>
        <a:xfrm>
          <a:off x="135890" y="47786925"/>
          <a:ext cx="189118" cy="222142"/>
        </a:xfrm>
        <a:prstGeom prst="rect">
          <a:avLst/>
        </a:prstGeom>
      </xdr:spPr>
    </xdr:pic>
    <xdr:clientData/>
  </xdr:twoCellAnchor>
  <xdr:twoCellAnchor editAs="oneCell">
    <xdr:from>
      <xdr:col>0</xdr:col>
      <xdr:colOff>139700</xdr:colOff>
      <xdr:row>345</xdr:row>
      <xdr:rowOff>127000</xdr:rowOff>
    </xdr:from>
    <xdr:to>
      <xdr:col>0</xdr:col>
      <xdr:colOff>321198</xdr:colOff>
      <xdr:row>346</xdr:row>
      <xdr:rowOff>114648</xdr:rowOff>
    </xdr:to>
    <xdr:pic>
      <xdr:nvPicPr>
        <xdr:cNvPr id="9" name="Picture 8">
          <a:extLst>
            <a:ext uri="{FF2B5EF4-FFF2-40B4-BE49-F238E27FC236}">
              <a16:creationId xmlns:a16="http://schemas.microsoft.com/office/drawing/2014/main" id="{89DE8B07-D522-40CA-AA38-1204172DCAC4}"/>
            </a:ext>
          </a:extLst>
        </xdr:cNvPr>
        <xdr:cNvPicPr>
          <a:picLocks noChangeAspect="1"/>
        </xdr:cNvPicPr>
      </xdr:nvPicPr>
      <xdr:blipFill>
        <a:blip xmlns:r="http://schemas.openxmlformats.org/officeDocument/2006/relationships" r:embed="rId3"/>
        <a:stretch>
          <a:fillRect/>
        </a:stretch>
      </xdr:blipFill>
      <xdr:spPr>
        <a:xfrm>
          <a:off x="135890" y="70463410"/>
          <a:ext cx="189118" cy="212438"/>
        </a:xfrm>
        <a:prstGeom prst="rect">
          <a:avLst/>
        </a:prstGeom>
      </xdr:spPr>
    </xdr:pic>
    <xdr:clientData/>
  </xdr:twoCellAnchor>
  <xdr:twoCellAnchor editAs="oneCell">
    <xdr:from>
      <xdr:col>28</xdr:col>
      <xdr:colOff>0</xdr:colOff>
      <xdr:row>345</xdr:row>
      <xdr:rowOff>0</xdr:rowOff>
    </xdr:from>
    <xdr:to>
      <xdr:col>28</xdr:col>
      <xdr:colOff>822143</xdr:colOff>
      <xdr:row>346</xdr:row>
      <xdr:rowOff>58773</xdr:rowOff>
    </xdr:to>
    <xdr:pic>
      <xdr:nvPicPr>
        <xdr:cNvPr id="10" name="Picture 9">
          <a:extLst>
            <a:ext uri="{FF2B5EF4-FFF2-40B4-BE49-F238E27FC236}">
              <a16:creationId xmlns:a16="http://schemas.microsoft.com/office/drawing/2014/main" id="{E9C31295-68C1-445B-84A3-E8F972112189}"/>
            </a:ext>
          </a:extLst>
        </xdr:cNvPr>
        <xdr:cNvPicPr>
          <a:picLocks noChangeAspect="1"/>
        </xdr:cNvPicPr>
      </xdr:nvPicPr>
      <xdr:blipFill>
        <a:blip xmlns:r="http://schemas.openxmlformats.org/officeDocument/2006/relationships" r:embed="rId4"/>
        <a:stretch>
          <a:fillRect/>
        </a:stretch>
      </xdr:blipFill>
      <xdr:spPr>
        <a:xfrm>
          <a:off x="27441525" y="70332600"/>
          <a:ext cx="818333" cy="283563"/>
        </a:xfrm>
        <a:prstGeom prst="rect">
          <a:avLst/>
        </a:prstGeom>
      </xdr:spPr>
    </xdr:pic>
    <xdr:clientData/>
  </xdr:twoCellAnchor>
  <xdr:twoCellAnchor editAs="oneCell">
    <xdr:from>
      <xdr:col>28</xdr:col>
      <xdr:colOff>63500</xdr:colOff>
      <xdr:row>232</xdr:row>
      <xdr:rowOff>88900</xdr:rowOff>
    </xdr:from>
    <xdr:to>
      <xdr:col>28</xdr:col>
      <xdr:colOff>896438</xdr:colOff>
      <xdr:row>233</xdr:row>
      <xdr:rowOff>173887</xdr:rowOff>
    </xdr:to>
    <xdr:pic>
      <xdr:nvPicPr>
        <xdr:cNvPr id="11" name="Picture 10">
          <a:extLst>
            <a:ext uri="{FF2B5EF4-FFF2-40B4-BE49-F238E27FC236}">
              <a16:creationId xmlns:a16="http://schemas.microsoft.com/office/drawing/2014/main" id="{DFB15F0D-AA90-452F-B8A9-3F8AE0FFFCCA}"/>
            </a:ext>
          </a:extLst>
        </xdr:cNvPr>
        <xdr:cNvPicPr>
          <a:picLocks noChangeAspect="1"/>
        </xdr:cNvPicPr>
      </xdr:nvPicPr>
      <xdr:blipFill>
        <a:blip xmlns:r="http://schemas.openxmlformats.org/officeDocument/2006/relationships" r:embed="rId4"/>
        <a:stretch>
          <a:fillRect/>
        </a:stretch>
      </xdr:blipFill>
      <xdr:spPr>
        <a:xfrm>
          <a:off x="27501215" y="47727235"/>
          <a:ext cx="832938" cy="277392"/>
        </a:xfrm>
        <a:prstGeom prst="rect">
          <a:avLst/>
        </a:prstGeom>
      </xdr:spPr>
    </xdr:pic>
    <xdr:clientData/>
  </xdr:twoCellAnchor>
  <xdr:twoCellAnchor editAs="oneCell">
    <xdr:from>
      <xdr:col>28</xdr:col>
      <xdr:colOff>25400</xdr:colOff>
      <xdr:row>129</xdr:row>
      <xdr:rowOff>76200</xdr:rowOff>
    </xdr:from>
    <xdr:to>
      <xdr:col>28</xdr:col>
      <xdr:colOff>858338</xdr:colOff>
      <xdr:row>130</xdr:row>
      <xdr:rowOff>171982</xdr:rowOff>
    </xdr:to>
    <xdr:pic>
      <xdr:nvPicPr>
        <xdr:cNvPr id="12" name="Picture 11">
          <a:extLst>
            <a:ext uri="{FF2B5EF4-FFF2-40B4-BE49-F238E27FC236}">
              <a16:creationId xmlns:a16="http://schemas.microsoft.com/office/drawing/2014/main" id="{30AC22C0-0059-467B-9E0E-EC2A1391BFA7}"/>
            </a:ext>
          </a:extLst>
        </xdr:cNvPr>
        <xdr:cNvPicPr>
          <a:picLocks noChangeAspect="1"/>
        </xdr:cNvPicPr>
      </xdr:nvPicPr>
      <xdr:blipFill>
        <a:blip xmlns:r="http://schemas.openxmlformats.org/officeDocument/2006/relationships" r:embed="rId4"/>
        <a:stretch>
          <a:fillRect/>
        </a:stretch>
      </xdr:blipFill>
      <xdr:spPr>
        <a:xfrm>
          <a:off x="27463115" y="27003375"/>
          <a:ext cx="832938" cy="291997"/>
        </a:xfrm>
        <a:prstGeom prst="rect">
          <a:avLst/>
        </a:prstGeom>
      </xdr:spPr>
    </xdr:pic>
    <xdr:clientData/>
  </xdr:twoCellAnchor>
  <xdr:twoCellAnchor editAs="oneCell">
    <xdr:from>
      <xdr:col>28</xdr:col>
      <xdr:colOff>0</xdr:colOff>
      <xdr:row>51</xdr:row>
      <xdr:rowOff>0</xdr:rowOff>
    </xdr:from>
    <xdr:to>
      <xdr:col>28</xdr:col>
      <xdr:colOff>822143</xdr:colOff>
      <xdr:row>52</xdr:row>
      <xdr:rowOff>95783</xdr:rowOff>
    </xdr:to>
    <xdr:pic>
      <xdr:nvPicPr>
        <xdr:cNvPr id="13" name="Picture 12">
          <a:extLst>
            <a:ext uri="{FF2B5EF4-FFF2-40B4-BE49-F238E27FC236}">
              <a16:creationId xmlns:a16="http://schemas.microsoft.com/office/drawing/2014/main" id="{E072B7CE-ACED-4D49-B2E3-1834ED7FFED5}"/>
            </a:ext>
          </a:extLst>
        </xdr:cNvPr>
        <xdr:cNvPicPr>
          <a:picLocks noChangeAspect="1"/>
        </xdr:cNvPicPr>
      </xdr:nvPicPr>
      <xdr:blipFill>
        <a:blip xmlns:r="http://schemas.openxmlformats.org/officeDocument/2006/relationships" r:embed="rId4"/>
        <a:stretch>
          <a:fillRect/>
        </a:stretch>
      </xdr:blipFill>
      <xdr:spPr>
        <a:xfrm>
          <a:off x="27441525" y="10696575"/>
          <a:ext cx="818333" cy="2919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1095375</xdr:colOff>
      <xdr:row>345</xdr:row>
      <xdr:rowOff>123825</xdr:rowOff>
    </xdr:from>
    <xdr:to>
      <xdr:col>28</xdr:col>
      <xdr:colOff>1895475</xdr:colOff>
      <xdr:row>347</xdr:row>
      <xdr:rowOff>152400</xdr:rowOff>
    </xdr:to>
    <xdr:pic>
      <xdr:nvPicPr>
        <xdr:cNvPr id="2" name="Picture 1" descr="C:\WINDOWS\TEMP\~0003946.gif">
          <a:extLst>
            <a:ext uri="{FF2B5EF4-FFF2-40B4-BE49-F238E27FC236}">
              <a16:creationId xmlns:a16="http://schemas.microsoft.com/office/drawing/2014/main" id="{85AF553C-7F55-491B-A80B-9DAB31A546A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17925" y="70532625"/>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232</xdr:row>
      <xdr:rowOff>152400</xdr:rowOff>
    </xdr:from>
    <xdr:to>
      <xdr:col>28</xdr:col>
      <xdr:colOff>1924050</xdr:colOff>
      <xdr:row>233</xdr:row>
      <xdr:rowOff>180975</xdr:rowOff>
    </xdr:to>
    <xdr:pic>
      <xdr:nvPicPr>
        <xdr:cNvPr id="3" name="Picture 2" descr="C:\WINDOWS\TEMP\~0003946.gif">
          <a:extLst>
            <a:ext uri="{FF2B5EF4-FFF2-40B4-BE49-F238E27FC236}">
              <a16:creationId xmlns:a16="http://schemas.microsoft.com/office/drawing/2014/main" id="{A77BAC33-A0BA-4923-A8DB-2DE6082DB92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17925" y="47834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129</xdr:row>
      <xdr:rowOff>161925</xdr:rowOff>
    </xdr:from>
    <xdr:to>
      <xdr:col>28</xdr:col>
      <xdr:colOff>1952625</xdr:colOff>
      <xdr:row>130</xdr:row>
      <xdr:rowOff>190500</xdr:rowOff>
    </xdr:to>
    <xdr:pic>
      <xdr:nvPicPr>
        <xdr:cNvPr id="4" name="Picture 3" descr="C:\WINDOWS\TEMP\~0003946.gif">
          <a:extLst>
            <a:ext uri="{FF2B5EF4-FFF2-40B4-BE49-F238E27FC236}">
              <a16:creationId xmlns:a16="http://schemas.microsoft.com/office/drawing/2014/main" id="{2563790D-8F3C-4EBF-8198-ED891B77D8A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17925" y="2712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F1FBD4FE-0328-4DFD-BD37-0004CE4259A2}"/>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17925" y="10877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325008</xdr:colOff>
      <xdr:row>52</xdr:row>
      <xdr:rowOff>136418</xdr:rowOff>
    </xdr:to>
    <xdr:pic>
      <xdr:nvPicPr>
        <xdr:cNvPr id="6" name="Picture 5">
          <a:extLst>
            <a:ext uri="{FF2B5EF4-FFF2-40B4-BE49-F238E27FC236}">
              <a16:creationId xmlns:a16="http://schemas.microsoft.com/office/drawing/2014/main" id="{349159B8-A03E-43E8-AC15-DBDE42E6A266}"/>
            </a:ext>
          </a:extLst>
        </xdr:cNvPr>
        <xdr:cNvPicPr>
          <a:picLocks noChangeAspect="1"/>
        </xdr:cNvPicPr>
      </xdr:nvPicPr>
      <xdr:blipFill>
        <a:blip xmlns:r="http://schemas.openxmlformats.org/officeDocument/2006/relationships" r:embed="rId3"/>
        <a:stretch>
          <a:fillRect/>
        </a:stretch>
      </xdr:blipFill>
      <xdr:spPr>
        <a:xfrm>
          <a:off x="139700" y="10829925"/>
          <a:ext cx="181498" cy="218333"/>
        </a:xfrm>
        <a:prstGeom prst="rect">
          <a:avLst/>
        </a:prstGeom>
      </xdr:spPr>
    </xdr:pic>
    <xdr:clientData/>
  </xdr:twoCellAnchor>
  <xdr:twoCellAnchor editAs="oneCell">
    <xdr:from>
      <xdr:col>0</xdr:col>
      <xdr:colOff>165100</xdr:colOff>
      <xdr:row>129</xdr:row>
      <xdr:rowOff>177800</xdr:rowOff>
    </xdr:from>
    <xdr:to>
      <xdr:col>1</xdr:col>
      <xdr:colOff>523</xdr:colOff>
      <xdr:row>130</xdr:row>
      <xdr:rowOff>210712</xdr:rowOff>
    </xdr:to>
    <xdr:pic>
      <xdr:nvPicPr>
        <xdr:cNvPr id="7" name="Picture 6">
          <a:extLst>
            <a:ext uri="{FF2B5EF4-FFF2-40B4-BE49-F238E27FC236}">
              <a16:creationId xmlns:a16="http://schemas.microsoft.com/office/drawing/2014/main" id="{DC3B1CBA-9367-4DF3-B28A-E6D76540CBE0}"/>
            </a:ext>
          </a:extLst>
        </xdr:cNvPr>
        <xdr:cNvPicPr>
          <a:picLocks noChangeAspect="1"/>
        </xdr:cNvPicPr>
      </xdr:nvPicPr>
      <xdr:blipFill>
        <a:blip xmlns:r="http://schemas.openxmlformats.org/officeDocument/2006/relationships" r:embed="rId3"/>
        <a:stretch>
          <a:fillRect/>
        </a:stretch>
      </xdr:blipFill>
      <xdr:spPr>
        <a:xfrm>
          <a:off x="165100" y="27143075"/>
          <a:ext cx="178323" cy="229127"/>
        </a:xfrm>
        <a:prstGeom prst="rect">
          <a:avLst/>
        </a:prstGeom>
      </xdr:spPr>
    </xdr:pic>
    <xdr:clientData/>
  </xdr:twoCellAnchor>
  <xdr:twoCellAnchor editAs="oneCell">
    <xdr:from>
      <xdr:col>0</xdr:col>
      <xdr:colOff>139700</xdr:colOff>
      <xdr:row>232</xdr:row>
      <xdr:rowOff>152400</xdr:rowOff>
    </xdr:from>
    <xdr:to>
      <xdr:col>0</xdr:col>
      <xdr:colOff>325008</xdr:colOff>
      <xdr:row>233</xdr:row>
      <xdr:rowOff>174517</xdr:rowOff>
    </xdr:to>
    <xdr:pic>
      <xdr:nvPicPr>
        <xdr:cNvPr id="8" name="Picture 7">
          <a:extLst>
            <a:ext uri="{FF2B5EF4-FFF2-40B4-BE49-F238E27FC236}">
              <a16:creationId xmlns:a16="http://schemas.microsoft.com/office/drawing/2014/main" id="{44E87B59-C4BB-41E5-B268-6997754D0069}"/>
            </a:ext>
          </a:extLst>
        </xdr:cNvPr>
        <xdr:cNvPicPr>
          <a:picLocks noChangeAspect="1"/>
        </xdr:cNvPicPr>
      </xdr:nvPicPr>
      <xdr:blipFill>
        <a:blip xmlns:r="http://schemas.openxmlformats.org/officeDocument/2006/relationships" r:embed="rId3"/>
        <a:stretch>
          <a:fillRect/>
        </a:stretch>
      </xdr:blipFill>
      <xdr:spPr>
        <a:xfrm>
          <a:off x="139700" y="47834550"/>
          <a:ext cx="181498" cy="218332"/>
        </a:xfrm>
        <a:prstGeom prst="rect">
          <a:avLst/>
        </a:prstGeom>
      </xdr:spPr>
    </xdr:pic>
    <xdr:clientData/>
  </xdr:twoCellAnchor>
  <xdr:twoCellAnchor editAs="oneCell">
    <xdr:from>
      <xdr:col>0</xdr:col>
      <xdr:colOff>139700</xdr:colOff>
      <xdr:row>345</xdr:row>
      <xdr:rowOff>127000</xdr:rowOff>
    </xdr:from>
    <xdr:to>
      <xdr:col>0</xdr:col>
      <xdr:colOff>325008</xdr:colOff>
      <xdr:row>346</xdr:row>
      <xdr:rowOff>114648</xdr:rowOff>
    </xdr:to>
    <xdr:pic>
      <xdr:nvPicPr>
        <xdr:cNvPr id="9" name="Picture 8">
          <a:extLst>
            <a:ext uri="{FF2B5EF4-FFF2-40B4-BE49-F238E27FC236}">
              <a16:creationId xmlns:a16="http://schemas.microsoft.com/office/drawing/2014/main" id="{1A10D5D1-19CB-429F-93FF-CAF4F30BA1A5}"/>
            </a:ext>
          </a:extLst>
        </xdr:cNvPr>
        <xdr:cNvPicPr>
          <a:picLocks noChangeAspect="1"/>
        </xdr:cNvPicPr>
      </xdr:nvPicPr>
      <xdr:blipFill>
        <a:blip xmlns:r="http://schemas.openxmlformats.org/officeDocument/2006/relationships" r:embed="rId3"/>
        <a:stretch>
          <a:fillRect/>
        </a:stretch>
      </xdr:blipFill>
      <xdr:spPr>
        <a:xfrm>
          <a:off x="139700" y="70535800"/>
          <a:ext cx="181498" cy="225773"/>
        </a:xfrm>
        <a:prstGeom prst="rect">
          <a:avLst/>
        </a:prstGeom>
      </xdr:spPr>
    </xdr:pic>
    <xdr:clientData/>
  </xdr:twoCellAnchor>
  <xdr:twoCellAnchor editAs="oneCell">
    <xdr:from>
      <xdr:col>28</xdr:col>
      <xdr:colOff>0</xdr:colOff>
      <xdr:row>345</xdr:row>
      <xdr:rowOff>0</xdr:rowOff>
    </xdr:from>
    <xdr:to>
      <xdr:col>28</xdr:col>
      <xdr:colOff>818333</xdr:colOff>
      <xdr:row>346</xdr:row>
      <xdr:rowOff>54963</xdr:rowOff>
    </xdr:to>
    <xdr:pic>
      <xdr:nvPicPr>
        <xdr:cNvPr id="10" name="Picture 9">
          <a:extLst>
            <a:ext uri="{FF2B5EF4-FFF2-40B4-BE49-F238E27FC236}">
              <a16:creationId xmlns:a16="http://schemas.microsoft.com/office/drawing/2014/main" id="{91FC11FB-75A1-4C6F-8590-771A9810745E}"/>
            </a:ext>
          </a:extLst>
        </xdr:cNvPr>
        <xdr:cNvPicPr>
          <a:picLocks noChangeAspect="1"/>
        </xdr:cNvPicPr>
      </xdr:nvPicPr>
      <xdr:blipFill>
        <a:blip xmlns:r="http://schemas.openxmlformats.org/officeDocument/2006/relationships" r:embed="rId4"/>
        <a:stretch>
          <a:fillRect/>
        </a:stretch>
      </xdr:blipFill>
      <xdr:spPr>
        <a:xfrm>
          <a:off x="28098750" y="70408800"/>
          <a:ext cx="822143" cy="296898"/>
        </a:xfrm>
        <a:prstGeom prst="rect">
          <a:avLst/>
        </a:prstGeom>
      </xdr:spPr>
    </xdr:pic>
    <xdr:clientData/>
  </xdr:twoCellAnchor>
  <xdr:twoCellAnchor editAs="oneCell">
    <xdr:from>
      <xdr:col>28</xdr:col>
      <xdr:colOff>63500</xdr:colOff>
      <xdr:row>232</xdr:row>
      <xdr:rowOff>88900</xdr:rowOff>
    </xdr:from>
    <xdr:to>
      <xdr:col>28</xdr:col>
      <xdr:colOff>892628</xdr:colOff>
      <xdr:row>233</xdr:row>
      <xdr:rowOff>170077</xdr:rowOff>
    </xdr:to>
    <xdr:pic>
      <xdr:nvPicPr>
        <xdr:cNvPr id="11" name="Picture 10">
          <a:extLst>
            <a:ext uri="{FF2B5EF4-FFF2-40B4-BE49-F238E27FC236}">
              <a16:creationId xmlns:a16="http://schemas.microsoft.com/office/drawing/2014/main" id="{182AD27A-64BE-4C04-936A-39B000089456}"/>
            </a:ext>
          </a:extLst>
        </xdr:cNvPr>
        <xdr:cNvPicPr>
          <a:picLocks noChangeAspect="1"/>
        </xdr:cNvPicPr>
      </xdr:nvPicPr>
      <xdr:blipFill>
        <a:blip xmlns:r="http://schemas.openxmlformats.org/officeDocument/2006/relationships" r:embed="rId4"/>
        <a:stretch>
          <a:fillRect/>
        </a:stretch>
      </xdr:blipFill>
      <xdr:spPr>
        <a:xfrm>
          <a:off x="28162250" y="47771050"/>
          <a:ext cx="832938" cy="285012"/>
        </a:xfrm>
        <a:prstGeom prst="rect">
          <a:avLst/>
        </a:prstGeom>
      </xdr:spPr>
    </xdr:pic>
    <xdr:clientData/>
  </xdr:twoCellAnchor>
  <xdr:twoCellAnchor editAs="oneCell">
    <xdr:from>
      <xdr:col>28</xdr:col>
      <xdr:colOff>25400</xdr:colOff>
      <xdr:row>129</xdr:row>
      <xdr:rowOff>76200</xdr:rowOff>
    </xdr:from>
    <xdr:to>
      <xdr:col>28</xdr:col>
      <xdr:colOff>854528</xdr:colOff>
      <xdr:row>130</xdr:row>
      <xdr:rowOff>168172</xdr:rowOff>
    </xdr:to>
    <xdr:pic>
      <xdr:nvPicPr>
        <xdr:cNvPr id="12" name="Picture 11">
          <a:extLst>
            <a:ext uri="{FF2B5EF4-FFF2-40B4-BE49-F238E27FC236}">
              <a16:creationId xmlns:a16="http://schemas.microsoft.com/office/drawing/2014/main" id="{AF21E15B-911E-4F0D-AAE9-FE2256F7278D}"/>
            </a:ext>
          </a:extLst>
        </xdr:cNvPr>
        <xdr:cNvPicPr>
          <a:picLocks noChangeAspect="1"/>
        </xdr:cNvPicPr>
      </xdr:nvPicPr>
      <xdr:blipFill>
        <a:blip xmlns:r="http://schemas.openxmlformats.org/officeDocument/2006/relationships" r:embed="rId4"/>
        <a:stretch>
          <a:fillRect/>
        </a:stretch>
      </xdr:blipFill>
      <xdr:spPr>
        <a:xfrm>
          <a:off x="28124150" y="27041475"/>
          <a:ext cx="832938" cy="295807"/>
        </a:xfrm>
        <a:prstGeom prst="rect">
          <a:avLst/>
        </a:prstGeom>
      </xdr:spPr>
    </xdr:pic>
    <xdr:clientData/>
  </xdr:twoCellAnchor>
  <xdr:twoCellAnchor editAs="oneCell">
    <xdr:from>
      <xdr:col>28</xdr:col>
      <xdr:colOff>0</xdr:colOff>
      <xdr:row>51</xdr:row>
      <xdr:rowOff>0</xdr:rowOff>
    </xdr:from>
    <xdr:to>
      <xdr:col>28</xdr:col>
      <xdr:colOff>818333</xdr:colOff>
      <xdr:row>52</xdr:row>
      <xdr:rowOff>91973</xdr:rowOff>
    </xdr:to>
    <xdr:pic>
      <xdr:nvPicPr>
        <xdr:cNvPr id="13" name="Picture 12">
          <a:extLst>
            <a:ext uri="{FF2B5EF4-FFF2-40B4-BE49-F238E27FC236}">
              <a16:creationId xmlns:a16="http://schemas.microsoft.com/office/drawing/2014/main" id="{389275A7-DDB7-4274-8465-36DCA354A00E}"/>
            </a:ext>
          </a:extLst>
        </xdr:cNvPr>
        <xdr:cNvPicPr>
          <a:picLocks noChangeAspect="1"/>
        </xdr:cNvPicPr>
      </xdr:nvPicPr>
      <xdr:blipFill>
        <a:blip xmlns:r="http://schemas.openxmlformats.org/officeDocument/2006/relationships" r:embed="rId4"/>
        <a:stretch>
          <a:fillRect/>
        </a:stretch>
      </xdr:blipFill>
      <xdr:spPr>
        <a:xfrm>
          <a:off x="28098750" y="10715625"/>
          <a:ext cx="822143" cy="29580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28</xdr:col>
      <xdr:colOff>1095375</xdr:colOff>
      <xdr:row>345</xdr:row>
      <xdr:rowOff>123825</xdr:rowOff>
    </xdr:from>
    <xdr:to>
      <xdr:col>28</xdr:col>
      <xdr:colOff>1895475</xdr:colOff>
      <xdr:row>347</xdr:row>
      <xdr:rowOff>152400</xdr:rowOff>
    </xdr:to>
    <xdr:pic>
      <xdr:nvPicPr>
        <xdr:cNvPr id="2" name="Picture 1" descr="C:\WINDOWS\TEMP\~0003946.gif">
          <a:extLst>
            <a:ext uri="{FF2B5EF4-FFF2-40B4-BE49-F238E27FC236}">
              <a16:creationId xmlns:a16="http://schemas.microsoft.com/office/drawing/2014/main" id="{73ABC1A5-9DBA-4501-A30B-AA8E5FEC325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9745" y="7045833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232</xdr:row>
      <xdr:rowOff>152400</xdr:rowOff>
    </xdr:from>
    <xdr:to>
      <xdr:col>28</xdr:col>
      <xdr:colOff>1924050</xdr:colOff>
      <xdr:row>233</xdr:row>
      <xdr:rowOff>180975</xdr:rowOff>
    </xdr:to>
    <xdr:pic>
      <xdr:nvPicPr>
        <xdr:cNvPr id="3" name="Picture 2" descr="C:\WINDOWS\TEMP\~0003946.gif">
          <a:extLst>
            <a:ext uri="{FF2B5EF4-FFF2-40B4-BE49-F238E27FC236}">
              <a16:creationId xmlns:a16="http://schemas.microsoft.com/office/drawing/2014/main" id="{DC43B4F4-F129-4046-9DCA-CB93F838436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7840" y="4778692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129</xdr:row>
      <xdr:rowOff>161925</xdr:rowOff>
    </xdr:from>
    <xdr:to>
      <xdr:col>28</xdr:col>
      <xdr:colOff>1952625</xdr:colOff>
      <xdr:row>130</xdr:row>
      <xdr:rowOff>190500</xdr:rowOff>
    </xdr:to>
    <xdr:pic>
      <xdr:nvPicPr>
        <xdr:cNvPr id="4" name="Picture 3" descr="C:\WINDOWS\TEMP\~0003946.gif">
          <a:extLst>
            <a:ext uri="{FF2B5EF4-FFF2-40B4-BE49-F238E27FC236}">
              <a16:creationId xmlns:a16="http://schemas.microsoft.com/office/drawing/2014/main" id="{DBC27F34-E59E-4F4C-9C45-33250EDCE0D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270910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4EC8062F-CD05-459E-AFB0-3F5AE0DE996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108604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321198</xdr:colOff>
      <xdr:row>52</xdr:row>
      <xdr:rowOff>132608</xdr:rowOff>
    </xdr:to>
    <xdr:pic>
      <xdr:nvPicPr>
        <xdr:cNvPr id="6" name="Picture 5">
          <a:extLst>
            <a:ext uri="{FF2B5EF4-FFF2-40B4-BE49-F238E27FC236}">
              <a16:creationId xmlns:a16="http://schemas.microsoft.com/office/drawing/2014/main" id="{EA06BC1A-D63F-4706-8762-0B8EE40D6879}"/>
            </a:ext>
          </a:extLst>
        </xdr:cNvPr>
        <xdr:cNvPicPr>
          <a:picLocks noChangeAspect="1"/>
        </xdr:cNvPicPr>
      </xdr:nvPicPr>
      <xdr:blipFill>
        <a:blip xmlns:r="http://schemas.openxmlformats.org/officeDocument/2006/relationships" r:embed="rId3"/>
        <a:stretch>
          <a:fillRect/>
        </a:stretch>
      </xdr:blipFill>
      <xdr:spPr>
        <a:xfrm>
          <a:off x="135890" y="10810875"/>
          <a:ext cx="185308" cy="218333"/>
        </a:xfrm>
        <a:prstGeom prst="rect">
          <a:avLst/>
        </a:prstGeom>
      </xdr:spPr>
    </xdr:pic>
    <xdr:clientData/>
  </xdr:twoCellAnchor>
  <xdr:twoCellAnchor editAs="oneCell">
    <xdr:from>
      <xdr:col>0</xdr:col>
      <xdr:colOff>165100</xdr:colOff>
      <xdr:row>129</xdr:row>
      <xdr:rowOff>177800</xdr:rowOff>
    </xdr:from>
    <xdr:to>
      <xdr:col>1</xdr:col>
      <xdr:colOff>523</xdr:colOff>
      <xdr:row>130</xdr:row>
      <xdr:rowOff>206902</xdr:rowOff>
    </xdr:to>
    <xdr:pic>
      <xdr:nvPicPr>
        <xdr:cNvPr id="7" name="Picture 6">
          <a:extLst>
            <a:ext uri="{FF2B5EF4-FFF2-40B4-BE49-F238E27FC236}">
              <a16:creationId xmlns:a16="http://schemas.microsoft.com/office/drawing/2014/main" id="{58F6B44F-82A5-4A1E-A546-7050FF3E628F}"/>
            </a:ext>
          </a:extLst>
        </xdr:cNvPr>
        <xdr:cNvPicPr>
          <a:picLocks noChangeAspect="1"/>
        </xdr:cNvPicPr>
      </xdr:nvPicPr>
      <xdr:blipFill>
        <a:blip xmlns:r="http://schemas.openxmlformats.org/officeDocument/2006/relationships" r:embed="rId3"/>
        <a:stretch>
          <a:fillRect/>
        </a:stretch>
      </xdr:blipFill>
      <xdr:spPr>
        <a:xfrm>
          <a:off x="168910" y="27101165"/>
          <a:ext cx="164988" cy="232937"/>
        </a:xfrm>
        <a:prstGeom prst="rect">
          <a:avLst/>
        </a:prstGeom>
      </xdr:spPr>
    </xdr:pic>
    <xdr:clientData/>
  </xdr:twoCellAnchor>
  <xdr:twoCellAnchor editAs="oneCell">
    <xdr:from>
      <xdr:col>0</xdr:col>
      <xdr:colOff>139700</xdr:colOff>
      <xdr:row>232</xdr:row>
      <xdr:rowOff>152400</xdr:rowOff>
    </xdr:from>
    <xdr:to>
      <xdr:col>0</xdr:col>
      <xdr:colOff>321198</xdr:colOff>
      <xdr:row>233</xdr:row>
      <xdr:rowOff>170707</xdr:rowOff>
    </xdr:to>
    <xdr:pic>
      <xdr:nvPicPr>
        <xdr:cNvPr id="8" name="Picture 7">
          <a:extLst>
            <a:ext uri="{FF2B5EF4-FFF2-40B4-BE49-F238E27FC236}">
              <a16:creationId xmlns:a16="http://schemas.microsoft.com/office/drawing/2014/main" id="{64B85E37-06DE-433D-B3F9-75B66FD8B160}"/>
            </a:ext>
          </a:extLst>
        </xdr:cNvPr>
        <xdr:cNvPicPr>
          <a:picLocks noChangeAspect="1"/>
        </xdr:cNvPicPr>
      </xdr:nvPicPr>
      <xdr:blipFill>
        <a:blip xmlns:r="http://schemas.openxmlformats.org/officeDocument/2006/relationships" r:embed="rId3"/>
        <a:stretch>
          <a:fillRect/>
        </a:stretch>
      </xdr:blipFill>
      <xdr:spPr>
        <a:xfrm>
          <a:off x="135890" y="47786925"/>
          <a:ext cx="185308" cy="218332"/>
        </a:xfrm>
        <a:prstGeom prst="rect">
          <a:avLst/>
        </a:prstGeom>
      </xdr:spPr>
    </xdr:pic>
    <xdr:clientData/>
  </xdr:twoCellAnchor>
  <xdr:twoCellAnchor editAs="oneCell">
    <xdr:from>
      <xdr:col>0</xdr:col>
      <xdr:colOff>139700</xdr:colOff>
      <xdr:row>345</xdr:row>
      <xdr:rowOff>127000</xdr:rowOff>
    </xdr:from>
    <xdr:to>
      <xdr:col>0</xdr:col>
      <xdr:colOff>321198</xdr:colOff>
      <xdr:row>346</xdr:row>
      <xdr:rowOff>114648</xdr:rowOff>
    </xdr:to>
    <xdr:pic>
      <xdr:nvPicPr>
        <xdr:cNvPr id="9" name="Picture 8">
          <a:extLst>
            <a:ext uri="{FF2B5EF4-FFF2-40B4-BE49-F238E27FC236}">
              <a16:creationId xmlns:a16="http://schemas.microsoft.com/office/drawing/2014/main" id="{984DE18C-A025-4887-90FE-6E68BD6C7849}"/>
            </a:ext>
          </a:extLst>
        </xdr:cNvPr>
        <xdr:cNvPicPr>
          <a:picLocks noChangeAspect="1"/>
        </xdr:cNvPicPr>
      </xdr:nvPicPr>
      <xdr:blipFill>
        <a:blip xmlns:r="http://schemas.openxmlformats.org/officeDocument/2006/relationships" r:embed="rId3"/>
        <a:stretch>
          <a:fillRect/>
        </a:stretch>
      </xdr:blipFill>
      <xdr:spPr>
        <a:xfrm>
          <a:off x="135890" y="70463410"/>
          <a:ext cx="185308" cy="212438"/>
        </a:xfrm>
        <a:prstGeom prst="rect">
          <a:avLst/>
        </a:prstGeom>
      </xdr:spPr>
    </xdr:pic>
    <xdr:clientData/>
  </xdr:twoCellAnchor>
  <xdr:twoCellAnchor editAs="oneCell">
    <xdr:from>
      <xdr:col>28</xdr:col>
      <xdr:colOff>0</xdr:colOff>
      <xdr:row>345</xdr:row>
      <xdr:rowOff>0</xdr:rowOff>
    </xdr:from>
    <xdr:to>
      <xdr:col>28</xdr:col>
      <xdr:colOff>822143</xdr:colOff>
      <xdr:row>346</xdr:row>
      <xdr:rowOff>58773</xdr:rowOff>
    </xdr:to>
    <xdr:pic>
      <xdr:nvPicPr>
        <xdr:cNvPr id="10" name="Picture 9">
          <a:extLst>
            <a:ext uri="{FF2B5EF4-FFF2-40B4-BE49-F238E27FC236}">
              <a16:creationId xmlns:a16="http://schemas.microsoft.com/office/drawing/2014/main" id="{91F49ECB-50CD-404A-A701-9B13AFC18242}"/>
            </a:ext>
          </a:extLst>
        </xdr:cNvPr>
        <xdr:cNvPicPr>
          <a:picLocks noChangeAspect="1"/>
        </xdr:cNvPicPr>
      </xdr:nvPicPr>
      <xdr:blipFill>
        <a:blip xmlns:r="http://schemas.openxmlformats.org/officeDocument/2006/relationships" r:embed="rId4"/>
        <a:stretch>
          <a:fillRect/>
        </a:stretch>
      </xdr:blipFill>
      <xdr:spPr>
        <a:xfrm>
          <a:off x="27441525" y="70332600"/>
          <a:ext cx="822143" cy="287373"/>
        </a:xfrm>
        <a:prstGeom prst="rect">
          <a:avLst/>
        </a:prstGeom>
      </xdr:spPr>
    </xdr:pic>
    <xdr:clientData/>
  </xdr:twoCellAnchor>
  <xdr:twoCellAnchor editAs="oneCell">
    <xdr:from>
      <xdr:col>28</xdr:col>
      <xdr:colOff>63500</xdr:colOff>
      <xdr:row>232</xdr:row>
      <xdr:rowOff>88900</xdr:rowOff>
    </xdr:from>
    <xdr:to>
      <xdr:col>28</xdr:col>
      <xdr:colOff>896438</xdr:colOff>
      <xdr:row>233</xdr:row>
      <xdr:rowOff>173887</xdr:rowOff>
    </xdr:to>
    <xdr:pic>
      <xdr:nvPicPr>
        <xdr:cNvPr id="11" name="Picture 10">
          <a:extLst>
            <a:ext uri="{FF2B5EF4-FFF2-40B4-BE49-F238E27FC236}">
              <a16:creationId xmlns:a16="http://schemas.microsoft.com/office/drawing/2014/main" id="{FF5E938D-5BCC-44A7-AF38-FD7E54C0C314}"/>
            </a:ext>
          </a:extLst>
        </xdr:cNvPr>
        <xdr:cNvPicPr>
          <a:picLocks noChangeAspect="1"/>
        </xdr:cNvPicPr>
      </xdr:nvPicPr>
      <xdr:blipFill>
        <a:blip xmlns:r="http://schemas.openxmlformats.org/officeDocument/2006/relationships" r:embed="rId4"/>
        <a:stretch>
          <a:fillRect/>
        </a:stretch>
      </xdr:blipFill>
      <xdr:spPr>
        <a:xfrm>
          <a:off x="27501215" y="47727235"/>
          <a:ext cx="836748" cy="281202"/>
        </a:xfrm>
        <a:prstGeom prst="rect">
          <a:avLst/>
        </a:prstGeom>
      </xdr:spPr>
    </xdr:pic>
    <xdr:clientData/>
  </xdr:twoCellAnchor>
  <xdr:twoCellAnchor editAs="oneCell">
    <xdr:from>
      <xdr:col>28</xdr:col>
      <xdr:colOff>25400</xdr:colOff>
      <xdr:row>129</xdr:row>
      <xdr:rowOff>76200</xdr:rowOff>
    </xdr:from>
    <xdr:to>
      <xdr:col>28</xdr:col>
      <xdr:colOff>858338</xdr:colOff>
      <xdr:row>130</xdr:row>
      <xdr:rowOff>171982</xdr:rowOff>
    </xdr:to>
    <xdr:pic>
      <xdr:nvPicPr>
        <xdr:cNvPr id="12" name="Picture 11">
          <a:extLst>
            <a:ext uri="{FF2B5EF4-FFF2-40B4-BE49-F238E27FC236}">
              <a16:creationId xmlns:a16="http://schemas.microsoft.com/office/drawing/2014/main" id="{3F4BA707-FEE3-48CA-9003-D6404E3ED3D7}"/>
            </a:ext>
          </a:extLst>
        </xdr:cNvPr>
        <xdr:cNvPicPr>
          <a:picLocks noChangeAspect="1"/>
        </xdr:cNvPicPr>
      </xdr:nvPicPr>
      <xdr:blipFill>
        <a:blip xmlns:r="http://schemas.openxmlformats.org/officeDocument/2006/relationships" r:embed="rId4"/>
        <a:stretch>
          <a:fillRect/>
        </a:stretch>
      </xdr:blipFill>
      <xdr:spPr>
        <a:xfrm>
          <a:off x="27463115" y="27003375"/>
          <a:ext cx="836748" cy="295807"/>
        </a:xfrm>
        <a:prstGeom prst="rect">
          <a:avLst/>
        </a:prstGeom>
      </xdr:spPr>
    </xdr:pic>
    <xdr:clientData/>
  </xdr:twoCellAnchor>
  <xdr:twoCellAnchor editAs="oneCell">
    <xdr:from>
      <xdr:col>28</xdr:col>
      <xdr:colOff>0</xdr:colOff>
      <xdr:row>51</xdr:row>
      <xdr:rowOff>0</xdr:rowOff>
    </xdr:from>
    <xdr:to>
      <xdr:col>28</xdr:col>
      <xdr:colOff>822143</xdr:colOff>
      <xdr:row>52</xdr:row>
      <xdr:rowOff>95783</xdr:rowOff>
    </xdr:to>
    <xdr:pic>
      <xdr:nvPicPr>
        <xdr:cNvPr id="13" name="Picture 12">
          <a:extLst>
            <a:ext uri="{FF2B5EF4-FFF2-40B4-BE49-F238E27FC236}">
              <a16:creationId xmlns:a16="http://schemas.microsoft.com/office/drawing/2014/main" id="{8D339D19-668A-4DA3-A730-63E9F28E462F}"/>
            </a:ext>
          </a:extLst>
        </xdr:cNvPr>
        <xdr:cNvPicPr>
          <a:picLocks noChangeAspect="1"/>
        </xdr:cNvPicPr>
      </xdr:nvPicPr>
      <xdr:blipFill>
        <a:blip xmlns:r="http://schemas.openxmlformats.org/officeDocument/2006/relationships" r:embed="rId4"/>
        <a:stretch>
          <a:fillRect/>
        </a:stretch>
      </xdr:blipFill>
      <xdr:spPr>
        <a:xfrm>
          <a:off x="27441525" y="10696575"/>
          <a:ext cx="822143" cy="29580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28</xdr:col>
      <xdr:colOff>1095375</xdr:colOff>
      <xdr:row>345</xdr:row>
      <xdr:rowOff>123825</xdr:rowOff>
    </xdr:from>
    <xdr:to>
      <xdr:col>28</xdr:col>
      <xdr:colOff>1895475</xdr:colOff>
      <xdr:row>347</xdr:row>
      <xdr:rowOff>152400</xdr:rowOff>
    </xdr:to>
    <xdr:pic>
      <xdr:nvPicPr>
        <xdr:cNvPr id="2" name="Picture 1" descr="C:\WINDOWS\TEMP\~0003946.gif">
          <a:extLst>
            <a:ext uri="{FF2B5EF4-FFF2-40B4-BE49-F238E27FC236}">
              <a16:creationId xmlns:a16="http://schemas.microsoft.com/office/drawing/2014/main" id="{25544FF6-2BFF-4308-9F15-544BD2EB276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9745" y="7045833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232</xdr:row>
      <xdr:rowOff>152400</xdr:rowOff>
    </xdr:from>
    <xdr:to>
      <xdr:col>28</xdr:col>
      <xdr:colOff>1924050</xdr:colOff>
      <xdr:row>233</xdr:row>
      <xdr:rowOff>180975</xdr:rowOff>
    </xdr:to>
    <xdr:pic>
      <xdr:nvPicPr>
        <xdr:cNvPr id="3" name="Picture 2" descr="C:\WINDOWS\TEMP\~0003946.gif">
          <a:extLst>
            <a:ext uri="{FF2B5EF4-FFF2-40B4-BE49-F238E27FC236}">
              <a16:creationId xmlns:a16="http://schemas.microsoft.com/office/drawing/2014/main" id="{1D1C6E7F-70BB-4D15-8CDB-E390430A28A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7840" y="4778692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129</xdr:row>
      <xdr:rowOff>161925</xdr:rowOff>
    </xdr:from>
    <xdr:to>
      <xdr:col>28</xdr:col>
      <xdr:colOff>1952625</xdr:colOff>
      <xdr:row>130</xdr:row>
      <xdr:rowOff>190500</xdr:rowOff>
    </xdr:to>
    <xdr:pic>
      <xdr:nvPicPr>
        <xdr:cNvPr id="4" name="Picture 3" descr="C:\WINDOWS\TEMP\~0003946.gif">
          <a:extLst>
            <a:ext uri="{FF2B5EF4-FFF2-40B4-BE49-F238E27FC236}">
              <a16:creationId xmlns:a16="http://schemas.microsoft.com/office/drawing/2014/main" id="{7561C1E6-42DB-41E4-93AB-80475705759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270910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F5E50FCD-F7FD-4EEC-A342-2824D919524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108604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325008</xdr:colOff>
      <xdr:row>52</xdr:row>
      <xdr:rowOff>136418</xdr:rowOff>
    </xdr:to>
    <xdr:pic>
      <xdr:nvPicPr>
        <xdr:cNvPr id="6" name="Picture 5">
          <a:extLst>
            <a:ext uri="{FF2B5EF4-FFF2-40B4-BE49-F238E27FC236}">
              <a16:creationId xmlns:a16="http://schemas.microsoft.com/office/drawing/2014/main" id="{083F820A-0A62-4383-A71F-1A3B4B9A0899}"/>
            </a:ext>
          </a:extLst>
        </xdr:cNvPr>
        <xdr:cNvPicPr>
          <a:picLocks noChangeAspect="1"/>
        </xdr:cNvPicPr>
      </xdr:nvPicPr>
      <xdr:blipFill>
        <a:blip xmlns:r="http://schemas.openxmlformats.org/officeDocument/2006/relationships" r:embed="rId3"/>
        <a:stretch>
          <a:fillRect/>
        </a:stretch>
      </xdr:blipFill>
      <xdr:spPr>
        <a:xfrm>
          <a:off x="135890" y="10810875"/>
          <a:ext cx="189118" cy="222143"/>
        </a:xfrm>
        <a:prstGeom prst="rect">
          <a:avLst/>
        </a:prstGeom>
      </xdr:spPr>
    </xdr:pic>
    <xdr:clientData/>
  </xdr:twoCellAnchor>
  <xdr:twoCellAnchor editAs="oneCell">
    <xdr:from>
      <xdr:col>0</xdr:col>
      <xdr:colOff>165100</xdr:colOff>
      <xdr:row>129</xdr:row>
      <xdr:rowOff>177800</xdr:rowOff>
    </xdr:from>
    <xdr:to>
      <xdr:col>1</xdr:col>
      <xdr:colOff>523</xdr:colOff>
      <xdr:row>130</xdr:row>
      <xdr:rowOff>210712</xdr:rowOff>
    </xdr:to>
    <xdr:pic>
      <xdr:nvPicPr>
        <xdr:cNvPr id="7" name="Picture 6">
          <a:extLst>
            <a:ext uri="{FF2B5EF4-FFF2-40B4-BE49-F238E27FC236}">
              <a16:creationId xmlns:a16="http://schemas.microsoft.com/office/drawing/2014/main" id="{66490A4E-259A-414B-8553-61766A95CBA6}"/>
            </a:ext>
          </a:extLst>
        </xdr:cNvPr>
        <xdr:cNvPicPr>
          <a:picLocks noChangeAspect="1"/>
        </xdr:cNvPicPr>
      </xdr:nvPicPr>
      <xdr:blipFill>
        <a:blip xmlns:r="http://schemas.openxmlformats.org/officeDocument/2006/relationships" r:embed="rId3"/>
        <a:stretch>
          <a:fillRect/>
        </a:stretch>
      </xdr:blipFill>
      <xdr:spPr>
        <a:xfrm>
          <a:off x="168910" y="27101165"/>
          <a:ext cx="164988" cy="236747"/>
        </a:xfrm>
        <a:prstGeom prst="rect">
          <a:avLst/>
        </a:prstGeom>
      </xdr:spPr>
    </xdr:pic>
    <xdr:clientData/>
  </xdr:twoCellAnchor>
  <xdr:twoCellAnchor editAs="oneCell">
    <xdr:from>
      <xdr:col>0</xdr:col>
      <xdr:colOff>139700</xdr:colOff>
      <xdr:row>232</xdr:row>
      <xdr:rowOff>152400</xdr:rowOff>
    </xdr:from>
    <xdr:to>
      <xdr:col>0</xdr:col>
      <xdr:colOff>325008</xdr:colOff>
      <xdr:row>233</xdr:row>
      <xdr:rowOff>174517</xdr:rowOff>
    </xdr:to>
    <xdr:pic>
      <xdr:nvPicPr>
        <xdr:cNvPr id="8" name="Picture 7">
          <a:extLst>
            <a:ext uri="{FF2B5EF4-FFF2-40B4-BE49-F238E27FC236}">
              <a16:creationId xmlns:a16="http://schemas.microsoft.com/office/drawing/2014/main" id="{FE8815C3-BD3D-4F92-AD14-FEB1148C2C89}"/>
            </a:ext>
          </a:extLst>
        </xdr:cNvPr>
        <xdr:cNvPicPr>
          <a:picLocks noChangeAspect="1"/>
        </xdr:cNvPicPr>
      </xdr:nvPicPr>
      <xdr:blipFill>
        <a:blip xmlns:r="http://schemas.openxmlformats.org/officeDocument/2006/relationships" r:embed="rId3"/>
        <a:stretch>
          <a:fillRect/>
        </a:stretch>
      </xdr:blipFill>
      <xdr:spPr>
        <a:xfrm>
          <a:off x="135890" y="47786925"/>
          <a:ext cx="189118" cy="222142"/>
        </a:xfrm>
        <a:prstGeom prst="rect">
          <a:avLst/>
        </a:prstGeom>
      </xdr:spPr>
    </xdr:pic>
    <xdr:clientData/>
  </xdr:twoCellAnchor>
  <xdr:twoCellAnchor editAs="oneCell">
    <xdr:from>
      <xdr:col>0</xdr:col>
      <xdr:colOff>139700</xdr:colOff>
      <xdr:row>345</xdr:row>
      <xdr:rowOff>127000</xdr:rowOff>
    </xdr:from>
    <xdr:to>
      <xdr:col>0</xdr:col>
      <xdr:colOff>325008</xdr:colOff>
      <xdr:row>346</xdr:row>
      <xdr:rowOff>114648</xdr:rowOff>
    </xdr:to>
    <xdr:pic>
      <xdr:nvPicPr>
        <xdr:cNvPr id="9" name="Picture 8">
          <a:extLst>
            <a:ext uri="{FF2B5EF4-FFF2-40B4-BE49-F238E27FC236}">
              <a16:creationId xmlns:a16="http://schemas.microsoft.com/office/drawing/2014/main" id="{7547EA03-2961-4B81-A0F8-AAEF05F7C1F5}"/>
            </a:ext>
          </a:extLst>
        </xdr:cNvPr>
        <xdr:cNvPicPr>
          <a:picLocks noChangeAspect="1"/>
        </xdr:cNvPicPr>
      </xdr:nvPicPr>
      <xdr:blipFill>
        <a:blip xmlns:r="http://schemas.openxmlformats.org/officeDocument/2006/relationships" r:embed="rId3"/>
        <a:stretch>
          <a:fillRect/>
        </a:stretch>
      </xdr:blipFill>
      <xdr:spPr>
        <a:xfrm>
          <a:off x="135890" y="70463410"/>
          <a:ext cx="189118" cy="212438"/>
        </a:xfrm>
        <a:prstGeom prst="rect">
          <a:avLst/>
        </a:prstGeom>
      </xdr:spPr>
    </xdr:pic>
    <xdr:clientData/>
  </xdr:twoCellAnchor>
  <xdr:twoCellAnchor editAs="oneCell">
    <xdr:from>
      <xdr:col>28</xdr:col>
      <xdr:colOff>0</xdr:colOff>
      <xdr:row>345</xdr:row>
      <xdr:rowOff>0</xdr:rowOff>
    </xdr:from>
    <xdr:to>
      <xdr:col>28</xdr:col>
      <xdr:colOff>818333</xdr:colOff>
      <xdr:row>346</xdr:row>
      <xdr:rowOff>54963</xdr:rowOff>
    </xdr:to>
    <xdr:pic>
      <xdr:nvPicPr>
        <xdr:cNvPr id="10" name="Picture 9">
          <a:extLst>
            <a:ext uri="{FF2B5EF4-FFF2-40B4-BE49-F238E27FC236}">
              <a16:creationId xmlns:a16="http://schemas.microsoft.com/office/drawing/2014/main" id="{A04896EE-DF5E-4B5A-B44E-ED88B88A7F33}"/>
            </a:ext>
          </a:extLst>
        </xdr:cNvPr>
        <xdr:cNvPicPr>
          <a:picLocks noChangeAspect="1"/>
        </xdr:cNvPicPr>
      </xdr:nvPicPr>
      <xdr:blipFill>
        <a:blip xmlns:r="http://schemas.openxmlformats.org/officeDocument/2006/relationships" r:embed="rId4"/>
        <a:stretch>
          <a:fillRect/>
        </a:stretch>
      </xdr:blipFill>
      <xdr:spPr>
        <a:xfrm>
          <a:off x="27441525" y="70332600"/>
          <a:ext cx="818333" cy="283563"/>
        </a:xfrm>
        <a:prstGeom prst="rect">
          <a:avLst/>
        </a:prstGeom>
      </xdr:spPr>
    </xdr:pic>
    <xdr:clientData/>
  </xdr:twoCellAnchor>
  <xdr:twoCellAnchor editAs="oneCell">
    <xdr:from>
      <xdr:col>28</xdr:col>
      <xdr:colOff>63500</xdr:colOff>
      <xdr:row>232</xdr:row>
      <xdr:rowOff>88900</xdr:rowOff>
    </xdr:from>
    <xdr:to>
      <xdr:col>28</xdr:col>
      <xdr:colOff>892628</xdr:colOff>
      <xdr:row>233</xdr:row>
      <xdr:rowOff>170077</xdr:rowOff>
    </xdr:to>
    <xdr:pic>
      <xdr:nvPicPr>
        <xdr:cNvPr id="11" name="Picture 10">
          <a:extLst>
            <a:ext uri="{FF2B5EF4-FFF2-40B4-BE49-F238E27FC236}">
              <a16:creationId xmlns:a16="http://schemas.microsoft.com/office/drawing/2014/main" id="{0F7D35FD-FEB5-49B6-AC76-E1EA9BF72C2D}"/>
            </a:ext>
          </a:extLst>
        </xdr:cNvPr>
        <xdr:cNvPicPr>
          <a:picLocks noChangeAspect="1"/>
        </xdr:cNvPicPr>
      </xdr:nvPicPr>
      <xdr:blipFill>
        <a:blip xmlns:r="http://schemas.openxmlformats.org/officeDocument/2006/relationships" r:embed="rId4"/>
        <a:stretch>
          <a:fillRect/>
        </a:stretch>
      </xdr:blipFill>
      <xdr:spPr>
        <a:xfrm>
          <a:off x="27501215" y="47727235"/>
          <a:ext cx="832938" cy="277392"/>
        </a:xfrm>
        <a:prstGeom prst="rect">
          <a:avLst/>
        </a:prstGeom>
      </xdr:spPr>
    </xdr:pic>
    <xdr:clientData/>
  </xdr:twoCellAnchor>
  <xdr:twoCellAnchor editAs="oneCell">
    <xdr:from>
      <xdr:col>28</xdr:col>
      <xdr:colOff>25400</xdr:colOff>
      <xdr:row>129</xdr:row>
      <xdr:rowOff>76200</xdr:rowOff>
    </xdr:from>
    <xdr:to>
      <xdr:col>28</xdr:col>
      <xdr:colOff>854528</xdr:colOff>
      <xdr:row>130</xdr:row>
      <xdr:rowOff>168172</xdr:rowOff>
    </xdr:to>
    <xdr:pic>
      <xdr:nvPicPr>
        <xdr:cNvPr id="12" name="Picture 11">
          <a:extLst>
            <a:ext uri="{FF2B5EF4-FFF2-40B4-BE49-F238E27FC236}">
              <a16:creationId xmlns:a16="http://schemas.microsoft.com/office/drawing/2014/main" id="{8647F431-CB95-4FCE-A71B-06BB94B0329C}"/>
            </a:ext>
          </a:extLst>
        </xdr:cNvPr>
        <xdr:cNvPicPr>
          <a:picLocks noChangeAspect="1"/>
        </xdr:cNvPicPr>
      </xdr:nvPicPr>
      <xdr:blipFill>
        <a:blip xmlns:r="http://schemas.openxmlformats.org/officeDocument/2006/relationships" r:embed="rId4"/>
        <a:stretch>
          <a:fillRect/>
        </a:stretch>
      </xdr:blipFill>
      <xdr:spPr>
        <a:xfrm>
          <a:off x="27463115" y="27003375"/>
          <a:ext cx="832938" cy="291997"/>
        </a:xfrm>
        <a:prstGeom prst="rect">
          <a:avLst/>
        </a:prstGeom>
      </xdr:spPr>
    </xdr:pic>
    <xdr:clientData/>
  </xdr:twoCellAnchor>
  <xdr:twoCellAnchor editAs="oneCell">
    <xdr:from>
      <xdr:col>28</xdr:col>
      <xdr:colOff>0</xdr:colOff>
      <xdr:row>51</xdr:row>
      <xdr:rowOff>0</xdr:rowOff>
    </xdr:from>
    <xdr:to>
      <xdr:col>28</xdr:col>
      <xdr:colOff>818333</xdr:colOff>
      <xdr:row>52</xdr:row>
      <xdr:rowOff>91973</xdr:rowOff>
    </xdr:to>
    <xdr:pic>
      <xdr:nvPicPr>
        <xdr:cNvPr id="13" name="Picture 12">
          <a:extLst>
            <a:ext uri="{FF2B5EF4-FFF2-40B4-BE49-F238E27FC236}">
              <a16:creationId xmlns:a16="http://schemas.microsoft.com/office/drawing/2014/main" id="{1ABED2F2-4408-4279-8BBD-C10CB58CEDB6}"/>
            </a:ext>
          </a:extLst>
        </xdr:cNvPr>
        <xdr:cNvPicPr>
          <a:picLocks noChangeAspect="1"/>
        </xdr:cNvPicPr>
      </xdr:nvPicPr>
      <xdr:blipFill>
        <a:blip xmlns:r="http://schemas.openxmlformats.org/officeDocument/2006/relationships" r:embed="rId4"/>
        <a:stretch>
          <a:fillRect/>
        </a:stretch>
      </xdr:blipFill>
      <xdr:spPr>
        <a:xfrm>
          <a:off x="27441525" y="10696575"/>
          <a:ext cx="818333" cy="2919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1095375</xdr:colOff>
      <xdr:row>345</xdr:row>
      <xdr:rowOff>123825</xdr:rowOff>
    </xdr:from>
    <xdr:to>
      <xdr:col>28</xdr:col>
      <xdr:colOff>1895475</xdr:colOff>
      <xdr:row>347</xdr:row>
      <xdr:rowOff>152400</xdr:rowOff>
    </xdr:to>
    <xdr:pic>
      <xdr:nvPicPr>
        <xdr:cNvPr id="2" name="Picture 1" descr="C:\WINDOWS\TEMP\~0003946.gif">
          <a:extLst>
            <a:ext uri="{FF2B5EF4-FFF2-40B4-BE49-F238E27FC236}">
              <a16:creationId xmlns:a16="http://schemas.microsoft.com/office/drawing/2014/main" id="{E21E4703-994D-406D-9F07-3F49C1F48F8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9745" y="7045833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232</xdr:row>
      <xdr:rowOff>152400</xdr:rowOff>
    </xdr:from>
    <xdr:to>
      <xdr:col>28</xdr:col>
      <xdr:colOff>1924050</xdr:colOff>
      <xdr:row>233</xdr:row>
      <xdr:rowOff>180975</xdr:rowOff>
    </xdr:to>
    <xdr:pic>
      <xdr:nvPicPr>
        <xdr:cNvPr id="3" name="Picture 2" descr="C:\WINDOWS\TEMP\~0003946.gif">
          <a:extLst>
            <a:ext uri="{FF2B5EF4-FFF2-40B4-BE49-F238E27FC236}">
              <a16:creationId xmlns:a16="http://schemas.microsoft.com/office/drawing/2014/main" id="{7464E98E-AB4E-4E5A-A649-891747EFD7D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7840" y="4778692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129</xdr:row>
      <xdr:rowOff>161925</xdr:rowOff>
    </xdr:from>
    <xdr:to>
      <xdr:col>28</xdr:col>
      <xdr:colOff>1952625</xdr:colOff>
      <xdr:row>130</xdr:row>
      <xdr:rowOff>190500</xdr:rowOff>
    </xdr:to>
    <xdr:pic>
      <xdr:nvPicPr>
        <xdr:cNvPr id="4" name="Picture 3" descr="C:\WINDOWS\TEMP\~0003946.gif">
          <a:extLst>
            <a:ext uri="{FF2B5EF4-FFF2-40B4-BE49-F238E27FC236}">
              <a16:creationId xmlns:a16="http://schemas.microsoft.com/office/drawing/2014/main" id="{5ED7A035-ECF7-494F-822F-60FAF3E7996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270910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8351E796-C8DF-4B74-B4D9-6F89AE48382D}"/>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108604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1</xdr:col>
      <xdr:colOff>2247</xdr:colOff>
      <xdr:row>52</xdr:row>
      <xdr:rowOff>140228</xdr:rowOff>
    </xdr:to>
    <xdr:pic>
      <xdr:nvPicPr>
        <xdr:cNvPr id="6" name="Picture 5">
          <a:extLst>
            <a:ext uri="{FF2B5EF4-FFF2-40B4-BE49-F238E27FC236}">
              <a16:creationId xmlns:a16="http://schemas.microsoft.com/office/drawing/2014/main" id="{F57866CA-6B88-4AFD-86DC-A1A25F6DAD21}"/>
            </a:ext>
          </a:extLst>
        </xdr:cNvPr>
        <xdr:cNvPicPr>
          <a:picLocks noChangeAspect="1"/>
        </xdr:cNvPicPr>
      </xdr:nvPicPr>
      <xdr:blipFill>
        <a:blip xmlns:r="http://schemas.openxmlformats.org/officeDocument/2006/relationships" r:embed="rId3"/>
        <a:stretch>
          <a:fillRect/>
        </a:stretch>
      </xdr:blipFill>
      <xdr:spPr>
        <a:xfrm>
          <a:off x="135890" y="10810875"/>
          <a:ext cx="185308" cy="218333"/>
        </a:xfrm>
        <a:prstGeom prst="rect">
          <a:avLst/>
        </a:prstGeom>
      </xdr:spPr>
    </xdr:pic>
    <xdr:clientData/>
  </xdr:twoCellAnchor>
  <xdr:twoCellAnchor editAs="oneCell">
    <xdr:from>
      <xdr:col>0</xdr:col>
      <xdr:colOff>165100</xdr:colOff>
      <xdr:row>129</xdr:row>
      <xdr:rowOff>177800</xdr:rowOff>
    </xdr:from>
    <xdr:to>
      <xdr:col>1</xdr:col>
      <xdr:colOff>523</xdr:colOff>
      <xdr:row>130</xdr:row>
      <xdr:rowOff>214522</xdr:rowOff>
    </xdr:to>
    <xdr:pic>
      <xdr:nvPicPr>
        <xdr:cNvPr id="7" name="Picture 6">
          <a:extLst>
            <a:ext uri="{FF2B5EF4-FFF2-40B4-BE49-F238E27FC236}">
              <a16:creationId xmlns:a16="http://schemas.microsoft.com/office/drawing/2014/main" id="{11EDAFF4-BFE2-4E5B-BAB4-520156E33D8F}"/>
            </a:ext>
          </a:extLst>
        </xdr:cNvPr>
        <xdr:cNvPicPr>
          <a:picLocks noChangeAspect="1"/>
        </xdr:cNvPicPr>
      </xdr:nvPicPr>
      <xdr:blipFill>
        <a:blip xmlns:r="http://schemas.openxmlformats.org/officeDocument/2006/relationships" r:embed="rId3"/>
        <a:stretch>
          <a:fillRect/>
        </a:stretch>
      </xdr:blipFill>
      <xdr:spPr>
        <a:xfrm>
          <a:off x="168910" y="27101165"/>
          <a:ext cx="164988" cy="232937"/>
        </a:xfrm>
        <a:prstGeom prst="rect">
          <a:avLst/>
        </a:prstGeom>
      </xdr:spPr>
    </xdr:pic>
    <xdr:clientData/>
  </xdr:twoCellAnchor>
  <xdr:twoCellAnchor editAs="oneCell">
    <xdr:from>
      <xdr:col>0</xdr:col>
      <xdr:colOff>139700</xdr:colOff>
      <xdr:row>232</xdr:row>
      <xdr:rowOff>152400</xdr:rowOff>
    </xdr:from>
    <xdr:to>
      <xdr:col>1</xdr:col>
      <xdr:colOff>2247</xdr:colOff>
      <xdr:row>233</xdr:row>
      <xdr:rowOff>178327</xdr:rowOff>
    </xdr:to>
    <xdr:pic>
      <xdr:nvPicPr>
        <xdr:cNvPr id="8" name="Picture 7">
          <a:extLst>
            <a:ext uri="{FF2B5EF4-FFF2-40B4-BE49-F238E27FC236}">
              <a16:creationId xmlns:a16="http://schemas.microsoft.com/office/drawing/2014/main" id="{EB0AD4D0-7D21-4980-998E-57080775A4AB}"/>
            </a:ext>
          </a:extLst>
        </xdr:cNvPr>
        <xdr:cNvPicPr>
          <a:picLocks noChangeAspect="1"/>
        </xdr:cNvPicPr>
      </xdr:nvPicPr>
      <xdr:blipFill>
        <a:blip xmlns:r="http://schemas.openxmlformats.org/officeDocument/2006/relationships" r:embed="rId3"/>
        <a:stretch>
          <a:fillRect/>
        </a:stretch>
      </xdr:blipFill>
      <xdr:spPr>
        <a:xfrm>
          <a:off x="135890" y="47786925"/>
          <a:ext cx="185308" cy="218332"/>
        </a:xfrm>
        <a:prstGeom prst="rect">
          <a:avLst/>
        </a:prstGeom>
      </xdr:spPr>
    </xdr:pic>
    <xdr:clientData/>
  </xdr:twoCellAnchor>
  <xdr:twoCellAnchor editAs="oneCell">
    <xdr:from>
      <xdr:col>0</xdr:col>
      <xdr:colOff>139700</xdr:colOff>
      <xdr:row>345</xdr:row>
      <xdr:rowOff>127000</xdr:rowOff>
    </xdr:from>
    <xdr:to>
      <xdr:col>1</xdr:col>
      <xdr:colOff>2247</xdr:colOff>
      <xdr:row>346</xdr:row>
      <xdr:rowOff>114648</xdr:rowOff>
    </xdr:to>
    <xdr:pic>
      <xdr:nvPicPr>
        <xdr:cNvPr id="9" name="Picture 8">
          <a:extLst>
            <a:ext uri="{FF2B5EF4-FFF2-40B4-BE49-F238E27FC236}">
              <a16:creationId xmlns:a16="http://schemas.microsoft.com/office/drawing/2014/main" id="{B5B1B9E3-57F9-4F7D-A807-1C84A5853A6C}"/>
            </a:ext>
          </a:extLst>
        </xdr:cNvPr>
        <xdr:cNvPicPr>
          <a:picLocks noChangeAspect="1"/>
        </xdr:cNvPicPr>
      </xdr:nvPicPr>
      <xdr:blipFill>
        <a:blip xmlns:r="http://schemas.openxmlformats.org/officeDocument/2006/relationships" r:embed="rId3"/>
        <a:stretch>
          <a:fillRect/>
        </a:stretch>
      </xdr:blipFill>
      <xdr:spPr>
        <a:xfrm>
          <a:off x="135890" y="70463410"/>
          <a:ext cx="185308" cy="212438"/>
        </a:xfrm>
        <a:prstGeom prst="rect">
          <a:avLst/>
        </a:prstGeom>
      </xdr:spPr>
    </xdr:pic>
    <xdr:clientData/>
  </xdr:twoCellAnchor>
  <xdr:twoCellAnchor editAs="oneCell">
    <xdr:from>
      <xdr:col>28</xdr:col>
      <xdr:colOff>0</xdr:colOff>
      <xdr:row>345</xdr:row>
      <xdr:rowOff>0</xdr:rowOff>
    </xdr:from>
    <xdr:to>
      <xdr:col>28</xdr:col>
      <xdr:colOff>822143</xdr:colOff>
      <xdr:row>346</xdr:row>
      <xdr:rowOff>58773</xdr:rowOff>
    </xdr:to>
    <xdr:pic>
      <xdr:nvPicPr>
        <xdr:cNvPr id="10" name="Picture 9">
          <a:extLst>
            <a:ext uri="{FF2B5EF4-FFF2-40B4-BE49-F238E27FC236}">
              <a16:creationId xmlns:a16="http://schemas.microsoft.com/office/drawing/2014/main" id="{47A5C281-B4C2-42BC-AC71-C29619CCBC1E}"/>
            </a:ext>
          </a:extLst>
        </xdr:cNvPr>
        <xdr:cNvPicPr>
          <a:picLocks noChangeAspect="1"/>
        </xdr:cNvPicPr>
      </xdr:nvPicPr>
      <xdr:blipFill>
        <a:blip xmlns:r="http://schemas.openxmlformats.org/officeDocument/2006/relationships" r:embed="rId4"/>
        <a:stretch>
          <a:fillRect/>
        </a:stretch>
      </xdr:blipFill>
      <xdr:spPr>
        <a:xfrm>
          <a:off x="27441525" y="70332600"/>
          <a:ext cx="822143" cy="287373"/>
        </a:xfrm>
        <a:prstGeom prst="rect">
          <a:avLst/>
        </a:prstGeom>
      </xdr:spPr>
    </xdr:pic>
    <xdr:clientData/>
  </xdr:twoCellAnchor>
  <xdr:twoCellAnchor editAs="oneCell">
    <xdr:from>
      <xdr:col>28</xdr:col>
      <xdr:colOff>63500</xdr:colOff>
      <xdr:row>232</xdr:row>
      <xdr:rowOff>88900</xdr:rowOff>
    </xdr:from>
    <xdr:to>
      <xdr:col>28</xdr:col>
      <xdr:colOff>896438</xdr:colOff>
      <xdr:row>233</xdr:row>
      <xdr:rowOff>173887</xdr:rowOff>
    </xdr:to>
    <xdr:pic>
      <xdr:nvPicPr>
        <xdr:cNvPr id="11" name="Picture 10">
          <a:extLst>
            <a:ext uri="{FF2B5EF4-FFF2-40B4-BE49-F238E27FC236}">
              <a16:creationId xmlns:a16="http://schemas.microsoft.com/office/drawing/2014/main" id="{B62AFC8C-B18B-4F56-B73B-9434ECCE7645}"/>
            </a:ext>
          </a:extLst>
        </xdr:cNvPr>
        <xdr:cNvPicPr>
          <a:picLocks noChangeAspect="1"/>
        </xdr:cNvPicPr>
      </xdr:nvPicPr>
      <xdr:blipFill>
        <a:blip xmlns:r="http://schemas.openxmlformats.org/officeDocument/2006/relationships" r:embed="rId4"/>
        <a:stretch>
          <a:fillRect/>
        </a:stretch>
      </xdr:blipFill>
      <xdr:spPr>
        <a:xfrm>
          <a:off x="27501215" y="47727235"/>
          <a:ext cx="836748" cy="281202"/>
        </a:xfrm>
        <a:prstGeom prst="rect">
          <a:avLst/>
        </a:prstGeom>
      </xdr:spPr>
    </xdr:pic>
    <xdr:clientData/>
  </xdr:twoCellAnchor>
  <xdr:twoCellAnchor editAs="oneCell">
    <xdr:from>
      <xdr:col>28</xdr:col>
      <xdr:colOff>25400</xdr:colOff>
      <xdr:row>129</xdr:row>
      <xdr:rowOff>76200</xdr:rowOff>
    </xdr:from>
    <xdr:to>
      <xdr:col>28</xdr:col>
      <xdr:colOff>858338</xdr:colOff>
      <xdr:row>130</xdr:row>
      <xdr:rowOff>170712</xdr:rowOff>
    </xdr:to>
    <xdr:pic>
      <xdr:nvPicPr>
        <xdr:cNvPr id="12" name="Picture 11">
          <a:extLst>
            <a:ext uri="{FF2B5EF4-FFF2-40B4-BE49-F238E27FC236}">
              <a16:creationId xmlns:a16="http://schemas.microsoft.com/office/drawing/2014/main" id="{6A1FE281-990A-4CEF-BAFF-7E7A55B8C37B}"/>
            </a:ext>
          </a:extLst>
        </xdr:cNvPr>
        <xdr:cNvPicPr>
          <a:picLocks noChangeAspect="1"/>
        </xdr:cNvPicPr>
      </xdr:nvPicPr>
      <xdr:blipFill>
        <a:blip xmlns:r="http://schemas.openxmlformats.org/officeDocument/2006/relationships" r:embed="rId4"/>
        <a:stretch>
          <a:fillRect/>
        </a:stretch>
      </xdr:blipFill>
      <xdr:spPr>
        <a:xfrm>
          <a:off x="27463115" y="27003375"/>
          <a:ext cx="836748" cy="295807"/>
        </a:xfrm>
        <a:prstGeom prst="rect">
          <a:avLst/>
        </a:prstGeom>
      </xdr:spPr>
    </xdr:pic>
    <xdr:clientData/>
  </xdr:twoCellAnchor>
  <xdr:twoCellAnchor editAs="oneCell">
    <xdr:from>
      <xdr:col>28</xdr:col>
      <xdr:colOff>0</xdr:colOff>
      <xdr:row>51</xdr:row>
      <xdr:rowOff>0</xdr:rowOff>
    </xdr:from>
    <xdr:to>
      <xdr:col>28</xdr:col>
      <xdr:colOff>822143</xdr:colOff>
      <xdr:row>52</xdr:row>
      <xdr:rowOff>94513</xdr:rowOff>
    </xdr:to>
    <xdr:pic>
      <xdr:nvPicPr>
        <xdr:cNvPr id="13" name="Picture 12">
          <a:extLst>
            <a:ext uri="{FF2B5EF4-FFF2-40B4-BE49-F238E27FC236}">
              <a16:creationId xmlns:a16="http://schemas.microsoft.com/office/drawing/2014/main" id="{E2799CA3-55FE-4C3B-A278-FFB4D616084E}"/>
            </a:ext>
          </a:extLst>
        </xdr:cNvPr>
        <xdr:cNvPicPr>
          <a:picLocks noChangeAspect="1"/>
        </xdr:cNvPicPr>
      </xdr:nvPicPr>
      <xdr:blipFill>
        <a:blip xmlns:r="http://schemas.openxmlformats.org/officeDocument/2006/relationships" r:embed="rId4"/>
        <a:stretch>
          <a:fillRect/>
        </a:stretch>
      </xdr:blipFill>
      <xdr:spPr>
        <a:xfrm>
          <a:off x="27441525" y="10696575"/>
          <a:ext cx="822143" cy="29580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28</xdr:col>
      <xdr:colOff>1095375</xdr:colOff>
      <xdr:row>345</xdr:row>
      <xdr:rowOff>123825</xdr:rowOff>
    </xdr:from>
    <xdr:to>
      <xdr:col>28</xdr:col>
      <xdr:colOff>1895475</xdr:colOff>
      <xdr:row>347</xdr:row>
      <xdr:rowOff>152400</xdr:rowOff>
    </xdr:to>
    <xdr:pic>
      <xdr:nvPicPr>
        <xdr:cNvPr id="2" name="Picture 1" descr="C:\WINDOWS\TEMP\~0003946.gif">
          <a:extLst>
            <a:ext uri="{FF2B5EF4-FFF2-40B4-BE49-F238E27FC236}">
              <a16:creationId xmlns:a16="http://schemas.microsoft.com/office/drawing/2014/main" id="{C2554470-6856-4119-8B0D-9BB1712DD12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9745" y="70458330"/>
          <a:ext cx="0" cy="483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232</xdr:row>
      <xdr:rowOff>152400</xdr:rowOff>
    </xdr:from>
    <xdr:to>
      <xdr:col>28</xdr:col>
      <xdr:colOff>1924050</xdr:colOff>
      <xdr:row>233</xdr:row>
      <xdr:rowOff>180975</xdr:rowOff>
    </xdr:to>
    <xdr:pic>
      <xdr:nvPicPr>
        <xdr:cNvPr id="3" name="Picture 2" descr="C:\WINDOWS\TEMP\~0003946.gif">
          <a:extLst>
            <a:ext uri="{FF2B5EF4-FFF2-40B4-BE49-F238E27FC236}">
              <a16:creationId xmlns:a16="http://schemas.microsoft.com/office/drawing/2014/main" id="{2969BC50-9DAC-4BAC-AC4A-5F3D4BCFA92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37840" y="4778692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129</xdr:row>
      <xdr:rowOff>161925</xdr:rowOff>
    </xdr:from>
    <xdr:to>
      <xdr:col>28</xdr:col>
      <xdr:colOff>1952625</xdr:colOff>
      <xdr:row>130</xdr:row>
      <xdr:rowOff>190500</xdr:rowOff>
    </xdr:to>
    <xdr:pic>
      <xdr:nvPicPr>
        <xdr:cNvPr id="4" name="Picture 3" descr="C:\WINDOWS\TEMP\~0003946.gif">
          <a:extLst>
            <a:ext uri="{FF2B5EF4-FFF2-40B4-BE49-F238E27FC236}">
              <a16:creationId xmlns:a16="http://schemas.microsoft.com/office/drawing/2014/main" id="{E0D70BCB-7C19-485B-B8AC-7A7C149BF811}"/>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270910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049C5B29-30A7-4D2C-84BF-48F0BB88706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443555" y="10860405"/>
          <a:ext cx="0" cy="22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1</xdr:col>
      <xdr:colOff>2247</xdr:colOff>
      <xdr:row>52</xdr:row>
      <xdr:rowOff>137688</xdr:rowOff>
    </xdr:to>
    <xdr:pic>
      <xdr:nvPicPr>
        <xdr:cNvPr id="6" name="Picture 5">
          <a:extLst>
            <a:ext uri="{FF2B5EF4-FFF2-40B4-BE49-F238E27FC236}">
              <a16:creationId xmlns:a16="http://schemas.microsoft.com/office/drawing/2014/main" id="{27321017-368E-470E-88B5-92093C5DF278}"/>
            </a:ext>
          </a:extLst>
        </xdr:cNvPr>
        <xdr:cNvPicPr>
          <a:picLocks noChangeAspect="1"/>
        </xdr:cNvPicPr>
      </xdr:nvPicPr>
      <xdr:blipFill>
        <a:blip xmlns:r="http://schemas.openxmlformats.org/officeDocument/2006/relationships" r:embed="rId3"/>
        <a:stretch>
          <a:fillRect/>
        </a:stretch>
      </xdr:blipFill>
      <xdr:spPr>
        <a:xfrm>
          <a:off x="135890" y="10810875"/>
          <a:ext cx="185308" cy="218333"/>
        </a:xfrm>
        <a:prstGeom prst="rect">
          <a:avLst/>
        </a:prstGeom>
      </xdr:spPr>
    </xdr:pic>
    <xdr:clientData/>
  </xdr:twoCellAnchor>
  <xdr:twoCellAnchor editAs="oneCell">
    <xdr:from>
      <xdr:col>0</xdr:col>
      <xdr:colOff>165100</xdr:colOff>
      <xdr:row>129</xdr:row>
      <xdr:rowOff>177800</xdr:rowOff>
    </xdr:from>
    <xdr:to>
      <xdr:col>1</xdr:col>
      <xdr:colOff>523</xdr:colOff>
      <xdr:row>130</xdr:row>
      <xdr:rowOff>211982</xdr:rowOff>
    </xdr:to>
    <xdr:pic>
      <xdr:nvPicPr>
        <xdr:cNvPr id="7" name="Picture 6">
          <a:extLst>
            <a:ext uri="{FF2B5EF4-FFF2-40B4-BE49-F238E27FC236}">
              <a16:creationId xmlns:a16="http://schemas.microsoft.com/office/drawing/2014/main" id="{3A12666D-FC3A-49A6-B3C9-5888E163A6E1}"/>
            </a:ext>
          </a:extLst>
        </xdr:cNvPr>
        <xdr:cNvPicPr>
          <a:picLocks noChangeAspect="1"/>
        </xdr:cNvPicPr>
      </xdr:nvPicPr>
      <xdr:blipFill>
        <a:blip xmlns:r="http://schemas.openxmlformats.org/officeDocument/2006/relationships" r:embed="rId3"/>
        <a:stretch>
          <a:fillRect/>
        </a:stretch>
      </xdr:blipFill>
      <xdr:spPr>
        <a:xfrm>
          <a:off x="168910" y="27101165"/>
          <a:ext cx="164988" cy="232937"/>
        </a:xfrm>
        <a:prstGeom prst="rect">
          <a:avLst/>
        </a:prstGeom>
      </xdr:spPr>
    </xdr:pic>
    <xdr:clientData/>
  </xdr:twoCellAnchor>
  <xdr:twoCellAnchor editAs="oneCell">
    <xdr:from>
      <xdr:col>0</xdr:col>
      <xdr:colOff>139700</xdr:colOff>
      <xdr:row>232</xdr:row>
      <xdr:rowOff>152400</xdr:rowOff>
    </xdr:from>
    <xdr:to>
      <xdr:col>1</xdr:col>
      <xdr:colOff>2247</xdr:colOff>
      <xdr:row>233</xdr:row>
      <xdr:rowOff>175787</xdr:rowOff>
    </xdr:to>
    <xdr:pic>
      <xdr:nvPicPr>
        <xdr:cNvPr id="8" name="Picture 7">
          <a:extLst>
            <a:ext uri="{FF2B5EF4-FFF2-40B4-BE49-F238E27FC236}">
              <a16:creationId xmlns:a16="http://schemas.microsoft.com/office/drawing/2014/main" id="{F624F118-7E05-4714-97C6-A6EB4DD3FD61}"/>
            </a:ext>
          </a:extLst>
        </xdr:cNvPr>
        <xdr:cNvPicPr>
          <a:picLocks noChangeAspect="1"/>
        </xdr:cNvPicPr>
      </xdr:nvPicPr>
      <xdr:blipFill>
        <a:blip xmlns:r="http://schemas.openxmlformats.org/officeDocument/2006/relationships" r:embed="rId3"/>
        <a:stretch>
          <a:fillRect/>
        </a:stretch>
      </xdr:blipFill>
      <xdr:spPr>
        <a:xfrm>
          <a:off x="135890" y="47786925"/>
          <a:ext cx="185308" cy="218332"/>
        </a:xfrm>
        <a:prstGeom prst="rect">
          <a:avLst/>
        </a:prstGeom>
      </xdr:spPr>
    </xdr:pic>
    <xdr:clientData/>
  </xdr:twoCellAnchor>
  <xdr:twoCellAnchor editAs="oneCell">
    <xdr:from>
      <xdr:col>0</xdr:col>
      <xdr:colOff>139700</xdr:colOff>
      <xdr:row>345</xdr:row>
      <xdr:rowOff>127000</xdr:rowOff>
    </xdr:from>
    <xdr:to>
      <xdr:col>1</xdr:col>
      <xdr:colOff>2247</xdr:colOff>
      <xdr:row>346</xdr:row>
      <xdr:rowOff>114648</xdr:rowOff>
    </xdr:to>
    <xdr:pic>
      <xdr:nvPicPr>
        <xdr:cNvPr id="9" name="Picture 8">
          <a:extLst>
            <a:ext uri="{FF2B5EF4-FFF2-40B4-BE49-F238E27FC236}">
              <a16:creationId xmlns:a16="http://schemas.microsoft.com/office/drawing/2014/main" id="{5C1A1D39-7B1B-443D-9F8A-70E28917C0B4}"/>
            </a:ext>
          </a:extLst>
        </xdr:cNvPr>
        <xdr:cNvPicPr>
          <a:picLocks noChangeAspect="1"/>
        </xdr:cNvPicPr>
      </xdr:nvPicPr>
      <xdr:blipFill>
        <a:blip xmlns:r="http://schemas.openxmlformats.org/officeDocument/2006/relationships" r:embed="rId3"/>
        <a:stretch>
          <a:fillRect/>
        </a:stretch>
      </xdr:blipFill>
      <xdr:spPr>
        <a:xfrm>
          <a:off x="135890" y="70463410"/>
          <a:ext cx="185308" cy="212438"/>
        </a:xfrm>
        <a:prstGeom prst="rect">
          <a:avLst/>
        </a:prstGeom>
      </xdr:spPr>
    </xdr:pic>
    <xdr:clientData/>
  </xdr:twoCellAnchor>
  <xdr:twoCellAnchor editAs="oneCell">
    <xdr:from>
      <xdr:col>28</xdr:col>
      <xdr:colOff>0</xdr:colOff>
      <xdr:row>345</xdr:row>
      <xdr:rowOff>0</xdr:rowOff>
    </xdr:from>
    <xdr:to>
      <xdr:col>28</xdr:col>
      <xdr:colOff>820873</xdr:colOff>
      <xdr:row>346</xdr:row>
      <xdr:rowOff>63853</xdr:rowOff>
    </xdr:to>
    <xdr:pic>
      <xdr:nvPicPr>
        <xdr:cNvPr id="10" name="Picture 9">
          <a:extLst>
            <a:ext uri="{FF2B5EF4-FFF2-40B4-BE49-F238E27FC236}">
              <a16:creationId xmlns:a16="http://schemas.microsoft.com/office/drawing/2014/main" id="{9DE32FEA-223A-46CA-88C1-4E8055890204}"/>
            </a:ext>
          </a:extLst>
        </xdr:cNvPr>
        <xdr:cNvPicPr>
          <a:picLocks noChangeAspect="1"/>
        </xdr:cNvPicPr>
      </xdr:nvPicPr>
      <xdr:blipFill>
        <a:blip xmlns:r="http://schemas.openxmlformats.org/officeDocument/2006/relationships" r:embed="rId4"/>
        <a:stretch>
          <a:fillRect/>
        </a:stretch>
      </xdr:blipFill>
      <xdr:spPr>
        <a:xfrm>
          <a:off x="27441525" y="70332600"/>
          <a:ext cx="822143" cy="287373"/>
        </a:xfrm>
        <a:prstGeom prst="rect">
          <a:avLst/>
        </a:prstGeom>
      </xdr:spPr>
    </xdr:pic>
    <xdr:clientData/>
  </xdr:twoCellAnchor>
  <xdr:twoCellAnchor editAs="oneCell">
    <xdr:from>
      <xdr:col>28</xdr:col>
      <xdr:colOff>63500</xdr:colOff>
      <xdr:row>232</xdr:row>
      <xdr:rowOff>88900</xdr:rowOff>
    </xdr:from>
    <xdr:to>
      <xdr:col>28</xdr:col>
      <xdr:colOff>901518</xdr:colOff>
      <xdr:row>233</xdr:row>
      <xdr:rowOff>172617</xdr:rowOff>
    </xdr:to>
    <xdr:pic>
      <xdr:nvPicPr>
        <xdr:cNvPr id="11" name="Picture 10">
          <a:extLst>
            <a:ext uri="{FF2B5EF4-FFF2-40B4-BE49-F238E27FC236}">
              <a16:creationId xmlns:a16="http://schemas.microsoft.com/office/drawing/2014/main" id="{79CDC438-AD81-4B03-BD8E-0B7CC6CB9EB6}"/>
            </a:ext>
          </a:extLst>
        </xdr:cNvPr>
        <xdr:cNvPicPr>
          <a:picLocks noChangeAspect="1"/>
        </xdr:cNvPicPr>
      </xdr:nvPicPr>
      <xdr:blipFill>
        <a:blip xmlns:r="http://schemas.openxmlformats.org/officeDocument/2006/relationships" r:embed="rId4"/>
        <a:stretch>
          <a:fillRect/>
        </a:stretch>
      </xdr:blipFill>
      <xdr:spPr>
        <a:xfrm>
          <a:off x="27501215" y="47727235"/>
          <a:ext cx="836748" cy="281202"/>
        </a:xfrm>
        <a:prstGeom prst="rect">
          <a:avLst/>
        </a:prstGeom>
      </xdr:spPr>
    </xdr:pic>
    <xdr:clientData/>
  </xdr:twoCellAnchor>
  <xdr:twoCellAnchor editAs="oneCell">
    <xdr:from>
      <xdr:col>28</xdr:col>
      <xdr:colOff>25400</xdr:colOff>
      <xdr:row>129</xdr:row>
      <xdr:rowOff>76200</xdr:rowOff>
    </xdr:from>
    <xdr:to>
      <xdr:col>28</xdr:col>
      <xdr:colOff>863418</xdr:colOff>
      <xdr:row>130</xdr:row>
      <xdr:rowOff>177062</xdr:rowOff>
    </xdr:to>
    <xdr:pic>
      <xdr:nvPicPr>
        <xdr:cNvPr id="12" name="Picture 11">
          <a:extLst>
            <a:ext uri="{FF2B5EF4-FFF2-40B4-BE49-F238E27FC236}">
              <a16:creationId xmlns:a16="http://schemas.microsoft.com/office/drawing/2014/main" id="{F0EDB102-BA93-43B3-BEAE-75A22F83BA2E}"/>
            </a:ext>
          </a:extLst>
        </xdr:cNvPr>
        <xdr:cNvPicPr>
          <a:picLocks noChangeAspect="1"/>
        </xdr:cNvPicPr>
      </xdr:nvPicPr>
      <xdr:blipFill>
        <a:blip xmlns:r="http://schemas.openxmlformats.org/officeDocument/2006/relationships" r:embed="rId4"/>
        <a:stretch>
          <a:fillRect/>
        </a:stretch>
      </xdr:blipFill>
      <xdr:spPr>
        <a:xfrm>
          <a:off x="27463115" y="27003375"/>
          <a:ext cx="836748" cy="295807"/>
        </a:xfrm>
        <a:prstGeom prst="rect">
          <a:avLst/>
        </a:prstGeom>
      </xdr:spPr>
    </xdr:pic>
    <xdr:clientData/>
  </xdr:twoCellAnchor>
  <xdr:twoCellAnchor editAs="oneCell">
    <xdr:from>
      <xdr:col>28</xdr:col>
      <xdr:colOff>0</xdr:colOff>
      <xdr:row>51</xdr:row>
      <xdr:rowOff>0</xdr:rowOff>
    </xdr:from>
    <xdr:to>
      <xdr:col>28</xdr:col>
      <xdr:colOff>820873</xdr:colOff>
      <xdr:row>52</xdr:row>
      <xdr:rowOff>100863</xdr:rowOff>
    </xdr:to>
    <xdr:pic>
      <xdr:nvPicPr>
        <xdr:cNvPr id="13" name="Picture 12">
          <a:extLst>
            <a:ext uri="{FF2B5EF4-FFF2-40B4-BE49-F238E27FC236}">
              <a16:creationId xmlns:a16="http://schemas.microsoft.com/office/drawing/2014/main" id="{CD9A7314-B10D-41EE-8D65-B72D9181E521}"/>
            </a:ext>
          </a:extLst>
        </xdr:cNvPr>
        <xdr:cNvPicPr>
          <a:picLocks noChangeAspect="1"/>
        </xdr:cNvPicPr>
      </xdr:nvPicPr>
      <xdr:blipFill>
        <a:blip xmlns:r="http://schemas.openxmlformats.org/officeDocument/2006/relationships" r:embed="rId4"/>
        <a:stretch>
          <a:fillRect/>
        </a:stretch>
      </xdr:blipFill>
      <xdr:spPr>
        <a:xfrm>
          <a:off x="27441525" y="10696575"/>
          <a:ext cx="822143" cy="29580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28</xdr:col>
      <xdr:colOff>1095375</xdr:colOff>
      <xdr:row>345</xdr:row>
      <xdr:rowOff>123825</xdr:rowOff>
    </xdr:from>
    <xdr:to>
      <xdr:col>28</xdr:col>
      <xdr:colOff>1895475</xdr:colOff>
      <xdr:row>347</xdr:row>
      <xdr:rowOff>152400</xdr:rowOff>
    </xdr:to>
    <xdr:pic>
      <xdr:nvPicPr>
        <xdr:cNvPr id="2" name="Picture 1" descr="C:\WINDOWS\TEMP\~0003946.gif">
          <a:extLst>
            <a:ext uri="{FF2B5EF4-FFF2-40B4-BE49-F238E27FC236}">
              <a16:creationId xmlns:a16="http://schemas.microsoft.com/office/drawing/2014/main" id="{46C54F50-CE8F-497A-BE24-4B328E480EE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17925" y="70532625"/>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232</xdr:row>
      <xdr:rowOff>152400</xdr:rowOff>
    </xdr:from>
    <xdr:to>
      <xdr:col>28</xdr:col>
      <xdr:colOff>1924050</xdr:colOff>
      <xdr:row>233</xdr:row>
      <xdr:rowOff>180975</xdr:rowOff>
    </xdr:to>
    <xdr:pic>
      <xdr:nvPicPr>
        <xdr:cNvPr id="3" name="Picture 2" descr="C:\WINDOWS\TEMP\~0003946.gif">
          <a:extLst>
            <a:ext uri="{FF2B5EF4-FFF2-40B4-BE49-F238E27FC236}">
              <a16:creationId xmlns:a16="http://schemas.microsoft.com/office/drawing/2014/main" id="{0BC60E38-8871-4974-A79E-BC4463C6D10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17925" y="47834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129</xdr:row>
      <xdr:rowOff>161925</xdr:rowOff>
    </xdr:from>
    <xdr:to>
      <xdr:col>28</xdr:col>
      <xdr:colOff>1952625</xdr:colOff>
      <xdr:row>130</xdr:row>
      <xdr:rowOff>190500</xdr:rowOff>
    </xdr:to>
    <xdr:pic>
      <xdr:nvPicPr>
        <xdr:cNvPr id="4" name="Picture 3" descr="C:\WINDOWS\TEMP\~0003946.gif">
          <a:extLst>
            <a:ext uri="{FF2B5EF4-FFF2-40B4-BE49-F238E27FC236}">
              <a16:creationId xmlns:a16="http://schemas.microsoft.com/office/drawing/2014/main" id="{BBF1BAF3-DC49-42B0-8C71-1584E4E6A28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17925" y="2712720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CD5CAE41-AE17-4E77-ADFC-B7D21828932A}"/>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117925" y="10877550"/>
          <a:ext cx="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1</xdr:col>
      <xdr:colOff>2247</xdr:colOff>
      <xdr:row>52</xdr:row>
      <xdr:rowOff>135148</xdr:rowOff>
    </xdr:to>
    <xdr:pic>
      <xdr:nvPicPr>
        <xdr:cNvPr id="6" name="Picture 5">
          <a:extLst>
            <a:ext uri="{FF2B5EF4-FFF2-40B4-BE49-F238E27FC236}">
              <a16:creationId xmlns:a16="http://schemas.microsoft.com/office/drawing/2014/main" id="{91BE6CE9-1509-4319-B5AB-2B1D2BC03C33}"/>
            </a:ext>
          </a:extLst>
        </xdr:cNvPr>
        <xdr:cNvPicPr>
          <a:picLocks noChangeAspect="1"/>
        </xdr:cNvPicPr>
      </xdr:nvPicPr>
      <xdr:blipFill>
        <a:blip xmlns:r="http://schemas.openxmlformats.org/officeDocument/2006/relationships" r:embed="rId3"/>
        <a:stretch>
          <a:fillRect/>
        </a:stretch>
      </xdr:blipFill>
      <xdr:spPr>
        <a:xfrm>
          <a:off x="139700" y="10829925"/>
          <a:ext cx="205447" cy="223413"/>
        </a:xfrm>
        <a:prstGeom prst="rect">
          <a:avLst/>
        </a:prstGeom>
      </xdr:spPr>
    </xdr:pic>
    <xdr:clientData/>
  </xdr:twoCellAnchor>
  <xdr:twoCellAnchor editAs="oneCell">
    <xdr:from>
      <xdr:col>0</xdr:col>
      <xdr:colOff>165100</xdr:colOff>
      <xdr:row>129</xdr:row>
      <xdr:rowOff>177800</xdr:rowOff>
    </xdr:from>
    <xdr:to>
      <xdr:col>1</xdr:col>
      <xdr:colOff>523</xdr:colOff>
      <xdr:row>130</xdr:row>
      <xdr:rowOff>215792</xdr:rowOff>
    </xdr:to>
    <xdr:pic>
      <xdr:nvPicPr>
        <xdr:cNvPr id="7" name="Picture 6">
          <a:extLst>
            <a:ext uri="{FF2B5EF4-FFF2-40B4-BE49-F238E27FC236}">
              <a16:creationId xmlns:a16="http://schemas.microsoft.com/office/drawing/2014/main" id="{5D99D2D9-D69F-46FC-B90A-3FBC6641A17B}"/>
            </a:ext>
          </a:extLst>
        </xdr:cNvPr>
        <xdr:cNvPicPr>
          <a:picLocks noChangeAspect="1"/>
        </xdr:cNvPicPr>
      </xdr:nvPicPr>
      <xdr:blipFill>
        <a:blip xmlns:r="http://schemas.openxmlformats.org/officeDocument/2006/relationships" r:embed="rId3"/>
        <a:stretch>
          <a:fillRect/>
        </a:stretch>
      </xdr:blipFill>
      <xdr:spPr>
        <a:xfrm>
          <a:off x="165100" y="27143075"/>
          <a:ext cx="178323" cy="234207"/>
        </a:xfrm>
        <a:prstGeom prst="rect">
          <a:avLst/>
        </a:prstGeom>
      </xdr:spPr>
    </xdr:pic>
    <xdr:clientData/>
  </xdr:twoCellAnchor>
  <xdr:twoCellAnchor editAs="oneCell">
    <xdr:from>
      <xdr:col>0</xdr:col>
      <xdr:colOff>139700</xdr:colOff>
      <xdr:row>232</xdr:row>
      <xdr:rowOff>152400</xdr:rowOff>
    </xdr:from>
    <xdr:to>
      <xdr:col>1</xdr:col>
      <xdr:colOff>2247</xdr:colOff>
      <xdr:row>233</xdr:row>
      <xdr:rowOff>173247</xdr:rowOff>
    </xdr:to>
    <xdr:pic>
      <xdr:nvPicPr>
        <xdr:cNvPr id="8" name="Picture 7">
          <a:extLst>
            <a:ext uri="{FF2B5EF4-FFF2-40B4-BE49-F238E27FC236}">
              <a16:creationId xmlns:a16="http://schemas.microsoft.com/office/drawing/2014/main" id="{E55B2228-DABA-4997-A16F-07B061BFFFCA}"/>
            </a:ext>
          </a:extLst>
        </xdr:cNvPr>
        <xdr:cNvPicPr>
          <a:picLocks noChangeAspect="1"/>
        </xdr:cNvPicPr>
      </xdr:nvPicPr>
      <xdr:blipFill>
        <a:blip xmlns:r="http://schemas.openxmlformats.org/officeDocument/2006/relationships" r:embed="rId3"/>
        <a:stretch>
          <a:fillRect/>
        </a:stretch>
      </xdr:blipFill>
      <xdr:spPr>
        <a:xfrm>
          <a:off x="139700" y="47834550"/>
          <a:ext cx="205447" cy="223412"/>
        </a:xfrm>
        <a:prstGeom prst="rect">
          <a:avLst/>
        </a:prstGeom>
      </xdr:spPr>
    </xdr:pic>
    <xdr:clientData/>
  </xdr:twoCellAnchor>
  <xdr:twoCellAnchor editAs="oneCell">
    <xdr:from>
      <xdr:col>0</xdr:col>
      <xdr:colOff>139700</xdr:colOff>
      <xdr:row>345</xdr:row>
      <xdr:rowOff>127000</xdr:rowOff>
    </xdr:from>
    <xdr:to>
      <xdr:col>1</xdr:col>
      <xdr:colOff>2247</xdr:colOff>
      <xdr:row>346</xdr:row>
      <xdr:rowOff>114648</xdr:rowOff>
    </xdr:to>
    <xdr:pic>
      <xdr:nvPicPr>
        <xdr:cNvPr id="9" name="Picture 8">
          <a:extLst>
            <a:ext uri="{FF2B5EF4-FFF2-40B4-BE49-F238E27FC236}">
              <a16:creationId xmlns:a16="http://schemas.microsoft.com/office/drawing/2014/main" id="{C5EEDA62-D770-4860-A1EC-2B005D277030}"/>
            </a:ext>
          </a:extLst>
        </xdr:cNvPr>
        <xdr:cNvPicPr>
          <a:picLocks noChangeAspect="1"/>
        </xdr:cNvPicPr>
      </xdr:nvPicPr>
      <xdr:blipFill>
        <a:blip xmlns:r="http://schemas.openxmlformats.org/officeDocument/2006/relationships" r:embed="rId3"/>
        <a:stretch>
          <a:fillRect/>
        </a:stretch>
      </xdr:blipFill>
      <xdr:spPr>
        <a:xfrm>
          <a:off x="139700" y="70535800"/>
          <a:ext cx="205447" cy="225773"/>
        </a:xfrm>
        <a:prstGeom prst="rect">
          <a:avLst/>
        </a:prstGeom>
      </xdr:spPr>
    </xdr:pic>
    <xdr:clientData/>
  </xdr:twoCellAnchor>
  <xdr:twoCellAnchor editAs="oneCell">
    <xdr:from>
      <xdr:col>28</xdr:col>
      <xdr:colOff>0</xdr:colOff>
      <xdr:row>345</xdr:row>
      <xdr:rowOff>0</xdr:rowOff>
    </xdr:from>
    <xdr:to>
      <xdr:col>28</xdr:col>
      <xdr:colOff>824683</xdr:colOff>
      <xdr:row>346</xdr:row>
      <xdr:rowOff>61313</xdr:rowOff>
    </xdr:to>
    <xdr:pic>
      <xdr:nvPicPr>
        <xdr:cNvPr id="10" name="Picture 9">
          <a:extLst>
            <a:ext uri="{FF2B5EF4-FFF2-40B4-BE49-F238E27FC236}">
              <a16:creationId xmlns:a16="http://schemas.microsoft.com/office/drawing/2014/main" id="{9EEF2E3C-E46B-4E4D-A168-2155CDA83F10}"/>
            </a:ext>
          </a:extLst>
        </xdr:cNvPr>
        <xdr:cNvPicPr>
          <a:picLocks noChangeAspect="1"/>
        </xdr:cNvPicPr>
      </xdr:nvPicPr>
      <xdr:blipFill>
        <a:blip xmlns:r="http://schemas.openxmlformats.org/officeDocument/2006/relationships" r:embed="rId4"/>
        <a:stretch>
          <a:fillRect/>
        </a:stretch>
      </xdr:blipFill>
      <xdr:spPr>
        <a:xfrm>
          <a:off x="28098750" y="70408800"/>
          <a:ext cx="820873" cy="301978"/>
        </a:xfrm>
        <a:prstGeom prst="rect">
          <a:avLst/>
        </a:prstGeom>
      </xdr:spPr>
    </xdr:pic>
    <xdr:clientData/>
  </xdr:twoCellAnchor>
  <xdr:twoCellAnchor editAs="oneCell">
    <xdr:from>
      <xdr:col>28</xdr:col>
      <xdr:colOff>63500</xdr:colOff>
      <xdr:row>232</xdr:row>
      <xdr:rowOff>88900</xdr:rowOff>
    </xdr:from>
    <xdr:to>
      <xdr:col>28</xdr:col>
      <xdr:colOff>898978</xdr:colOff>
      <xdr:row>233</xdr:row>
      <xdr:rowOff>176427</xdr:rowOff>
    </xdr:to>
    <xdr:pic>
      <xdr:nvPicPr>
        <xdr:cNvPr id="11" name="Picture 10">
          <a:extLst>
            <a:ext uri="{FF2B5EF4-FFF2-40B4-BE49-F238E27FC236}">
              <a16:creationId xmlns:a16="http://schemas.microsoft.com/office/drawing/2014/main" id="{FB9700DB-6823-401C-B332-883A3B2051BC}"/>
            </a:ext>
          </a:extLst>
        </xdr:cNvPr>
        <xdr:cNvPicPr>
          <a:picLocks noChangeAspect="1"/>
        </xdr:cNvPicPr>
      </xdr:nvPicPr>
      <xdr:blipFill>
        <a:blip xmlns:r="http://schemas.openxmlformats.org/officeDocument/2006/relationships" r:embed="rId4"/>
        <a:stretch>
          <a:fillRect/>
        </a:stretch>
      </xdr:blipFill>
      <xdr:spPr>
        <a:xfrm>
          <a:off x="28162250" y="47771050"/>
          <a:ext cx="838018" cy="283742"/>
        </a:xfrm>
        <a:prstGeom prst="rect">
          <a:avLst/>
        </a:prstGeom>
      </xdr:spPr>
    </xdr:pic>
    <xdr:clientData/>
  </xdr:twoCellAnchor>
  <xdr:twoCellAnchor editAs="oneCell">
    <xdr:from>
      <xdr:col>28</xdr:col>
      <xdr:colOff>25400</xdr:colOff>
      <xdr:row>129</xdr:row>
      <xdr:rowOff>76200</xdr:rowOff>
    </xdr:from>
    <xdr:to>
      <xdr:col>28</xdr:col>
      <xdr:colOff>860878</xdr:colOff>
      <xdr:row>130</xdr:row>
      <xdr:rowOff>174522</xdr:rowOff>
    </xdr:to>
    <xdr:pic>
      <xdr:nvPicPr>
        <xdr:cNvPr id="12" name="Picture 11">
          <a:extLst>
            <a:ext uri="{FF2B5EF4-FFF2-40B4-BE49-F238E27FC236}">
              <a16:creationId xmlns:a16="http://schemas.microsoft.com/office/drawing/2014/main" id="{5582EDD3-5259-43AA-A247-45B70FB2A0A1}"/>
            </a:ext>
          </a:extLst>
        </xdr:cNvPr>
        <xdr:cNvPicPr>
          <a:picLocks noChangeAspect="1"/>
        </xdr:cNvPicPr>
      </xdr:nvPicPr>
      <xdr:blipFill>
        <a:blip xmlns:r="http://schemas.openxmlformats.org/officeDocument/2006/relationships" r:embed="rId4"/>
        <a:stretch>
          <a:fillRect/>
        </a:stretch>
      </xdr:blipFill>
      <xdr:spPr>
        <a:xfrm>
          <a:off x="28124150" y="27041475"/>
          <a:ext cx="838018" cy="300887"/>
        </a:xfrm>
        <a:prstGeom prst="rect">
          <a:avLst/>
        </a:prstGeom>
      </xdr:spPr>
    </xdr:pic>
    <xdr:clientData/>
  </xdr:twoCellAnchor>
  <xdr:twoCellAnchor editAs="oneCell">
    <xdr:from>
      <xdr:col>28</xdr:col>
      <xdr:colOff>0</xdr:colOff>
      <xdr:row>51</xdr:row>
      <xdr:rowOff>0</xdr:rowOff>
    </xdr:from>
    <xdr:to>
      <xdr:col>28</xdr:col>
      <xdr:colOff>824683</xdr:colOff>
      <xdr:row>52</xdr:row>
      <xdr:rowOff>98323</xdr:rowOff>
    </xdr:to>
    <xdr:pic>
      <xdr:nvPicPr>
        <xdr:cNvPr id="13" name="Picture 12">
          <a:extLst>
            <a:ext uri="{FF2B5EF4-FFF2-40B4-BE49-F238E27FC236}">
              <a16:creationId xmlns:a16="http://schemas.microsoft.com/office/drawing/2014/main" id="{C4E04800-1A55-4F15-85B0-C702F7632BBB}"/>
            </a:ext>
          </a:extLst>
        </xdr:cNvPr>
        <xdr:cNvPicPr>
          <a:picLocks noChangeAspect="1"/>
        </xdr:cNvPicPr>
      </xdr:nvPicPr>
      <xdr:blipFill>
        <a:blip xmlns:r="http://schemas.openxmlformats.org/officeDocument/2006/relationships" r:embed="rId4"/>
        <a:stretch>
          <a:fillRect/>
        </a:stretch>
      </xdr:blipFill>
      <xdr:spPr>
        <a:xfrm>
          <a:off x="28098750" y="10715625"/>
          <a:ext cx="820873" cy="300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1095375</xdr:colOff>
      <xdr:row>362</xdr:row>
      <xdr:rowOff>123825</xdr:rowOff>
    </xdr:from>
    <xdr:to>
      <xdr:col>28</xdr:col>
      <xdr:colOff>1895475</xdr:colOff>
      <xdr:row>364</xdr:row>
      <xdr:rowOff>152400</xdr:rowOff>
    </xdr:to>
    <xdr:pic>
      <xdr:nvPicPr>
        <xdr:cNvPr id="2" name="Picture 1" descr="C:\WINDOWS\TEMP\~0003946.gif">
          <a:extLst>
            <a:ext uri="{FF2B5EF4-FFF2-40B4-BE49-F238E27FC236}">
              <a16:creationId xmlns:a16="http://schemas.microsoft.com/office/drawing/2014/main" id="{CFD2155B-8FF8-4218-BF4F-8FD9988553E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73815575"/>
          <a:ext cx="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232</xdr:row>
      <xdr:rowOff>152400</xdr:rowOff>
    </xdr:from>
    <xdr:to>
      <xdr:col>28</xdr:col>
      <xdr:colOff>1924050</xdr:colOff>
      <xdr:row>233</xdr:row>
      <xdr:rowOff>180975</xdr:rowOff>
    </xdr:to>
    <xdr:pic>
      <xdr:nvPicPr>
        <xdr:cNvPr id="3" name="Picture 2" descr="C:\WINDOWS\TEMP\~0003946.gif">
          <a:extLst>
            <a:ext uri="{FF2B5EF4-FFF2-40B4-BE49-F238E27FC236}">
              <a16:creationId xmlns:a16="http://schemas.microsoft.com/office/drawing/2014/main" id="{5F01D4D8-5543-46D6-A535-D88F8C898EE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5425" y="477297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129</xdr:row>
      <xdr:rowOff>161925</xdr:rowOff>
    </xdr:from>
    <xdr:to>
      <xdr:col>28</xdr:col>
      <xdr:colOff>1952625</xdr:colOff>
      <xdr:row>130</xdr:row>
      <xdr:rowOff>190500</xdr:rowOff>
    </xdr:to>
    <xdr:pic>
      <xdr:nvPicPr>
        <xdr:cNvPr id="4" name="Picture 3" descr="C:\WINDOWS\TEMP\~0003946.gif">
          <a:extLst>
            <a:ext uri="{FF2B5EF4-FFF2-40B4-BE49-F238E27FC236}">
              <a16:creationId xmlns:a16="http://schemas.microsoft.com/office/drawing/2014/main" id="{4FBFC070-0490-4E99-AB80-DDB26DA1314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270954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E8D8AE78-EDB2-4FD5-BC81-703B9D3C3AB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162250" y="108553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313578</xdr:colOff>
      <xdr:row>52</xdr:row>
      <xdr:rowOff>145943</xdr:rowOff>
    </xdr:to>
    <xdr:pic>
      <xdr:nvPicPr>
        <xdr:cNvPr id="6" name="Picture 5">
          <a:extLst>
            <a:ext uri="{FF2B5EF4-FFF2-40B4-BE49-F238E27FC236}">
              <a16:creationId xmlns:a16="http://schemas.microsoft.com/office/drawing/2014/main" id="{26036477-D126-4F71-9748-9B4536E91BE7}"/>
            </a:ext>
          </a:extLst>
        </xdr:cNvPr>
        <xdr:cNvPicPr>
          <a:picLocks noChangeAspect="1"/>
        </xdr:cNvPicPr>
      </xdr:nvPicPr>
      <xdr:blipFill>
        <a:blip xmlns:r="http://schemas.openxmlformats.org/officeDocument/2006/relationships" r:embed="rId3"/>
        <a:stretch>
          <a:fillRect/>
        </a:stretch>
      </xdr:blipFill>
      <xdr:spPr>
        <a:xfrm>
          <a:off x="142875" y="10810875"/>
          <a:ext cx="170703" cy="231668"/>
        </a:xfrm>
        <a:prstGeom prst="rect">
          <a:avLst/>
        </a:prstGeom>
      </xdr:spPr>
    </xdr:pic>
    <xdr:clientData/>
  </xdr:twoCellAnchor>
  <xdr:twoCellAnchor editAs="oneCell">
    <xdr:from>
      <xdr:col>0</xdr:col>
      <xdr:colOff>165100</xdr:colOff>
      <xdr:row>129</xdr:row>
      <xdr:rowOff>177800</xdr:rowOff>
    </xdr:from>
    <xdr:to>
      <xdr:col>1</xdr:col>
      <xdr:colOff>523</xdr:colOff>
      <xdr:row>130</xdr:row>
      <xdr:rowOff>203092</xdr:rowOff>
    </xdr:to>
    <xdr:pic>
      <xdr:nvPicPr>
        <xdr:cNvPr id="7" name="Picture 6">
          <a:extLst>
            <a:ext uri="{FF2B5EF4-FFF2-40B4-BE49-F238E27FC236}">
              <a16:creationId xmlns:a16="http://schemas.microsoft.com/office/drawing/2014/main" id="{06211442-E8D8-4237-B5A7-6B1891684973}"/>
            </a:ext>
          </a:extLst>
        </xdr:cNvPr>
        <xdr:cNvPicPr>
          <a:picLocks noChangeAspect="1"/>
        </xdr:cNvPicPr>
      </xdr:nvPicPr>
      <xdr:blipFill>
        <a:blip xmlns:r="http://schemas.openxmlformats.org/officeDocument/2006/relationships" r:embed="rId3"/>
        <a:stretch>
          <a:fillRect/>
        </a:stretch>
      </xdr:blipFill>
      <xdr:spPr>
        <a:xfrm>
          <a:off x="161925" y="27117675"/>
          <a:ext cx="171973" cy="222142"/>
        </a:xfrm>
        <a:prstGeom prst="rect">
          <a:avLst/>
        </a:prstGeom>
      </xdr:spPr>
    </xdr:pic>
    <xdr:clientData/>
  </xdr:twoCellAnchor>
  <xdr:twoCellAnchor editAs="oneCell">
    <xdr:from>
      <xdr:col>0</xdr:col>
      <xdr:colOff>139700</xdr:colOff>
      <xdr:row>232</xdr:row>
      <xdr:rowOff>152400</xdr:rowOff>
    </xdr:from>
    <xdr:to>
      <xdr:col>0</xdr:col>
      <xdr:colOff>313578</xdr:colOff>
      <xdr:row>233</xdr:row>
      <xdr:rowOff>184042</xdr:rowOff>
    </xdr:to>
    <xdr:pic>
      <xdr:nvPicPr>
        <xdr:cNvPr id="8" name="Picture 7">
          <a:extLst>
            <a:ext uri="{FF2B5EF4-FFF2-40B4-BE49-F238E27FC236}">
              <a16:creationId xmlns:a16="http://schemas.microsoft.com/office/drawing/2014/main" id="{A2DDA173-9A84-4E11-8AE9-BF4E5F96048E}"/>
            </a:ext>
          </a:extLst>
        </xdr:cNvPr>
        <xdr:cNvPicPr>
          <a:picLocks noChangeAspect="1"/>
        </xdr:cNvPicPr>
      </xdr:nvPicPr>
      <xdr:blipFill>
        <a:blip xmlns:r="http://schemas.openxmlformats.org/officeDocument/2006/relationships" r:embed="rId3"/>
        <a:stretch>
          <a:fillRect/>
        </a:stretch>
      </xdr:blipFill>
      <xdr:spPr>
        <a:xfrm>
          <a:off x="142875" y="47729775"/>
          <a:ext cx="170703" cy="231667"/>
        </a:xfrm>
        <a:prstGeom prst="rect">
          <a:avLst/>
        </a:prstGeom>
      </xdr:spPr>
    </xdr:pic>
    <xdr:clientData/>
  </xdr:twoCellAnchor>
  <xdr:twoCellAnchor editAs="oneCell">
    <xdr:from>
      <xdr:col>0</xdr:col>
      <xdr:colOff>139700</xdr:colOff>
      <xdr:row>362</xdr:row>
      <xdr:rowOff>127000</xdr:rowOff>
    </xdr:from>
    <xdr:to>
      <xdr:col>0</xdr:col>
      <xdr:colOff>313578</xdr:colOff>
      <xdr:row>363</xdr:row>
      <xdr:rowOff>114647</xdr:rowOff>
    </xdr:to>
    <xdr:pic>
      <xdr:nvPicPr>
        <xdr:cNvPr id="9" name="Picture 8">
          <a:extLst>
            <a:ext uri="{FF2B5EF4-FFF2-40B4-BE49-F238E27FC236}">
              <a16:creationId xmlns:a16="http://schemas.microsoft.com/office/drawing/2014/main" id="{A99A9898-F444-4857-BBFF-B42BD14F00DE}"/>
            </a:ext>
          </a:extLst>
        </xdr:cNvPr>
        <xdr:cNvPicPr>
          <a:picLocks noChangeAspect="1"/>
        </xdr:cNvPicPr>
      </xdr:nvPicPr>
      <xdr:blipFill>
        <a:blip xmlns:r="http://schemas.openxmlformats.org/officeDocument/2006/relationships" r:embed="rId3"/>
        <a:stretch>
          <a:fillRect/>
        </a:stretch>
      </xdr:blipFill>
      <xdr:spPr>
        <a:xfrm>
          <a:off x="142875" y="73818750"/>
          <a:ext cx="170703" cy="228947"/>
        </a:xfrm>
        <a:prstGeom prst="rect">
          <a:avLst/>
        </a:prstGeom>
      </xdr:spPr>
    </xdr:pic>
    <xdr:clientData/>
  </xdr:twoCellAnchor>
  <xdr:twoCellAnchor editAs="oneCell">
    <xdr:from>
      <xdr:col>28</xdr:col>
      <xdr:colOff>0</xdr:colOff>
      <xdr:row>362</xdr:row>
      <xdr:rowOff>0</xdr:rowOff>
    </xdr:from>
    <xdr:to>
      <xdr:col>28</xdr:col>
      <xdr:colOff>825953</xdr:colOff>
      <xdr:row>363</xdr:row>
      <xdr:rowOff>45437</xdr:rowOff>
    </xdr:to>
    <xdr:pic>
      <xdr:nvPicPr>
        <xdr:cNvPr id="10" name="Picture 9">
          <a:extLst>
            <a:ext uri="{FF2B5EF4-FFF2-40B4-BE49-F238E27FC236}">
              <a16:creationId xmlns:a16="http://schemas.microsoft.com/office/drawing/2014/main" id="{7063CA20-1D9E-439F-9DF0-6E0198AFDE10}"/>
            </a:ext>
          </a:extLst>
        </xdr:cNvPr>
        <xdr:cNvPicPr>
          <a:picLocks noChangeAspect="1"/>
        </xdr:cNvPicPr>
      </xdr:nvPicPr>
      <xdr:blipFill>
        <a:blip xmlns:r="http://schemas.openxmlformats.org/officeDocument/2006/relationships" r:embed="rId4"/>
        <a:stretch>
          <a:fillRect/>
        </a:stretch>
      </xdr:blipFill>
      <xdr:spPr>
        <a:xfrm>
          <a:off x="27184350" y="73694925"/>
          <a:ext cx="825953" cy="283562"/>
        </a:xfrm>
        <a:prstGeom prst="rect">
          <a:avLst/>
        </a:prstGeom>
      </xdr:spPr>
    </xdr:pic>
    <xdr:clientData/>
  </xdr:twoCellAnchor>
  <xdr:twoCellAnchor editAs="oneCell">
    <xdr:from>
      <xdr:col>28</xdr:col>
      <xdr:colOff>63500</xdr:colOff>
      <xdr:row>232</xdr:row>
      <xdr:rowOff>88900</xdr:rowOff>
    </xdr:from>
    <xdr:to>
      <xdr:col>28</xdr:col>
      <xdr:colOff>892628</xdr:colOff>
      <xdr:row>233</xdr:row>
      <xdr:rowOff>181507</xdr:rowOff>
    </xdr:to>
    <xdr:pic>
      <xdr:nvPicPr>
        <xdr:cNvPr id="11" name="Picture 10">
          <a:extLst>
            <a:ext uri="{FF2B5EF4-FFF2-40B4-BE49-F238E27FC236}">
              <a16:creationId xmlns:a16="http://schemas.microsoft.com/office/drawing/2014/main" id="{8F226979-0286-48B8-9471-80AB70EF5238}"/>
            </a:ext>
          </a:extLst>
        </xdr:cNvPr>
        <xdr:cNvPicPr>
          <a:picLocks noChangeAspect="1"/>
        </xdr:cNvPicPr>
      </xdr:nvPicPr>
      <xdr:blipFill>
        <a:blip xmlns:r="http://schemas.openxmlformats.org/officeDocument/2006/relationships" r:embed="rId4"/>
        <a:stretch>
          <a:fillRect/>
        </a:stretch>
      </xdr:blipFill>
      <xdr:spPr>
        <a:xfrm>
          <a:off x="27251025" y="47663100"/>
          <a:ext cx="825953" cy="295807"/>
        </a:xfrm>
        <a:prstGeom prst="rect">
          <a:avLst/>
        </a:prstGeom>
      </xdr:spPr>
    </xdr:pic>
    <xdr:clientData/>
  </xdr:twoCellAnchor>
  <xdr:twoCellAnchor editAs="oneCell">
    <xdr:from>
      <xdr:col>28</xdr:col>
      <xdr:colOff>25400</xdr:colOff>
      <xdr:row>129</xdr:row>
      <xdr:rowOff>76200</xdr:rowOff>
    </xdr:from>
    <xdr:to>
      <xdr:col>28</xdr:col>
      <xdr:colOff>854528</xdr:colOff>
      <xdr:row>130</xdr:row>
      <xdr:rowOff>162457</xdr:rowOff>
    </xdr:to>
    <xdr:pic>
      <xdr:nvPicPr>
        <xdr:cNvPr id="12" name="Picture 11">
          <a:extLst>
            <a:ext uri="{FF2B5EF4-FFF2-40B4-BE49-F238E27FC236}">
              <a16:creationId xmlns:a16="http://schemas.microsoft.com/office/drawing/2014/main" id="{61510496-8052-4864-AB36-C9FE07B48B07}"/>
            </a:ext>
          </a:extLst>
        </xdr:cNvPr>
        <xdr:cNvPicPr>
          <a:picLocks noChangeAspect="1"/>
        </xdr:cNvPicPr>
      </xdr:nvPicPr>
      <xdr:blipFill>
        <a:blip xmlns:r="http://schemas.openxmlformats.org/officeDocument/2006/relationships" r:embed="rId4"/>
        <a:stretch>
          <a:fillRect/>
        </a:stretch>
      </xdr:blipFill>
      <xdr:spPr>
        <a:xfrm>
          <a:off x="27212925" y="27012900"/>
          <a:ext cx="825953" cy="286282"/>
        </a:xfrm>
        <a:prstGeom prst="rect">
          <a:avLst/>
        </a:prstGeom>
      </xdr:spPr>
    </xdr:pic>
    <xdr:clientData/>
  </xdr:twoCellAnchor>
  <xdr:twoCellAnchor editAs="oneCell">
    <xdr:from>
      <xdr:col>28</xdr:col>
      <xdr:colOff>0</xdr:colOff>
      <xdr:row>51</xdr:row>
      <xdr:rowOff>0</xdr:rowOff>
    </xdr:from>
    <xdr:to>
      <xdr:col>28</xdr:col>
      <xdr:colOff>825953</xdr:colOff>
      <xdr:row>52</xdr:row>
      <xdr:rowOff>86258</xdr:rowOff>
    </xdr:to>
    <xdr:pic>
      <xdr:nvPicPr>
        <xdr:cNvPr id="13" name="Picture 12">
          <a:extLst>
            <a:ext uri="{FF2B5EF4-FFF2-40B4-BE49-F238E27FC236}">
              <a16:creationId xmlns:a16="http://schemas.microsoft.com/office/drawing/2014/main" id="{2B39729D-64B4-430F-AB43-6CCF54AB4B41}"/>
            </a:ext>
          </a:extLst>
        </xdr:cNvPr>
        <xdr:cNvPicPr>
          <a:picLocks noChangeAspect="1"/>
        </xdr:cNvPicPr>
      </xdr:nvPicPr>
      <xdr:blipFill>
        <a:blip xmlns:r="http://schemas.openxmlformats.org/officeDocument/2006/relationships" r:embed="rId4"/>
        <a:stretch>
          <a:fillRect/>
        </a:stretch>
      </xdr:blipFill>
      <xdr:spPr>
        <a:xfrm>
          <a:off x="27184350" y="10696575"/>
          <a:ext cx="825953" cy="2862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28</xdr:col>
      <xdr:colOff>1095375</xdr:colOff>
      <xdr:row>362</xdr:row>
      <xdr:rowOff>123825</xdr:rowOff>
    </xdr:from>
    <xdr:to>
      <xdr:col>28</xdr:col>
      <xdr:colOff>1895475</xdr:colOff>
      <xdr:row>364</xdr:row>
      <xdr:rowOff>152400</xdr:rowOff>
    </xdr:to>
    <xdr:pic>
      <xdr:nvPicPr>
        <xdr:cNvPr id="2" name="Picture 1" descr="C:\WINDOWS\TEMP\~0003946.gif">
          <a:extLst>
            <a:ext uri="{FF2B5EF4-FFF2-40B4-BE49-F238E27FC236}">
              <a16:creationId xmlns:a16="http://schemas.microsoft.com/office/drawing/2014/main" id="{76B09F3F-33AA-41A4-82CE-1069BCA33B1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86050" y="73815575"/>
          <a:ext cx="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232</xdr:row>
      <xdr:rowOff>152400</xdr:rowOff>
    </xdr:from>
    <xdr:to>
      <xdr:col>28</xdr:col>
      <xdr:colOff>1924050</xdr:colOff>
      <xdr:row>233</xdr:row>
      <xdr:rowOff>180975</xdr:rowOff>
    </xdr:to>
    <xdr:pic>
      <xdr:nvPicPr>
        <xdr:cNvPr id="3" name="Picture 2" descr="C:\WINDOWS\TEMP\~0003946.gif">
          <a:extLst>
            <a:ext uri="{FF2B5EF4-FFF2-40B4-BE49-F238E27FC236}">
              <a16:creationId xmlns:a16="http://schemas.microsoft.com/office/drawing/2014/main" id="{86084E46-677A-4504-BAE1-C262C1C85C7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89225" y="477297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129</xdr:row>
      <xdr:rowOff>161925</xdr:rowOff>
    </xdr:from>
    <xdr:to>
      <xdr:col>28</xdr:col>
      <xdr:colOff>1952625</xdr:colOff>
      <xdr:row>130</xdr:row>
      <xdr:rowOff>190500</xdr:rowOff>
    </xdr:to>
    <xdr:pic>
      <xdr:nvPicPr>
        <xdr:cNvPr id="4" name="Picture 3" descr="C:\WINDOWS\TEMP\~0003946.gif">
          <a:extLst>
            <a:ext uri="{FF2B5EF4-FFF2-40B4-BE49-F238E27FC236}">
              <a16:creationId xmlns:a16="http://schemas.microsoft.com/office/drawing/2014/main" id="{2EF771BD-9666-4157-9F7E-0AFA431A6BB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86050" y="270954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2D4E726F-D4F0-492F-B111-B310BE5FB6B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86050" y="108553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316753</xdr:colOff>
      <xdr:row>52</xdr:row>
      <xdr:rowOff>142768</xdr:rowOff>
    </xdr:to>
    <xdr:pic>
      <xdr:nvPicPr>
        <xdr:cNvPr id="6" name="Picture 5">
          <a:extLst>
            <a:ext uri="{FF2B5EF4-FFF2-40B4-BE49-F238E27FC236}">
              <a16:creationId xmlns:a16="http://schemas.microsoft.com/office/drawing/2014/main" id="{69AF3F46-2EBB-4F62-A08C-7281F10744A3}"/>
            </a:ext>
          </a:extLst>
        </xdr:cNvPr>
        <xdr:cNvPicPr>
          <a:picLocks noChangeAspect="1"/>
        </xdr:cNvPicPr>
      </xdr:nvPicPr>
      <xdr:blipFill>
        <a:blip xmlns:r="http://schemas.openxmlformats.org/officeDocument/2006/relationships" r:embed="rId3"/>
        <a:stretch>
          <a:fillRect/>
        </a:stretch>
      </xdr:blipFill>
      <xdr:spPr>
        <a:xfrm>
          <a:off x="142875" y="10810875"/>
          <a:ext cx="173878" cy="228493"/>
        </a:xfrm>
        <a:prstGeom prst="rect">
          <a:avLst/>
        </a:prstGeom>
      </xdr:spPr>
    </xdr:pic>
    <xdr:clientData/>
  </xdr:twoCellAnchor>
  <xdr:twoCellAnchor editAs="oneCell">
    <xdr:from>
      <xdr:col>0</xdr:col>
      <xdr:colOff>165100</xdr:colOff>
      <xdr:row>129</xdr:row>
      <xdr:rowOff>177800</xdr:rowOff>
    </xdr:from>
    <xdr:to>
      <xdr:col>1</xdr:col>
      <xdr:colOff>523</xdr:colOff>
      <xdr:row>130</xdr:row>
      <xdr:rowOff>199917</xdr:rowOff>
    </xdr:to>
    <xdr:pic>
      <xdr:nvPicPr>
        <xdr:cNvPr id="7" name="Picture 6">
          <a:extLst>
            <a:ext uri="{FF2B5EF4-FFF2-40B4-BE49-F238E27FC236}">
              <a16:creationId xmlns:a16="http://schemas.microsoft.com/office/drawing/2014/main" id="{F05500D2-522D-4C77-B4AC-8697E3861714}"/>
            </a:ext>
          </a:extLst>
        </xdr:cNvPr>
        <xdr:cNvPicPr>
          <a:picLocks noChangeAspect="1"/>
        </xdr:cNvPicPr>
      </xdr:nvPicPr>
      <xdr:blipFill>
        <a:blip xmlns:r="http://schemas.openxmlformats.org/officeDocument/2006/relationships" r:embed="rId3"/>
        <a:stretch>
          <a:fillRect/>
        </a:stretch>
      </xdr:blipFill>
      <xdr:spPr>
        <a:xfrm>
          <a:off x="161925" y="27117675"/>
          <a:ext cx="171973" cy="218967"/>
        </a:xfrm>
        <a:prstGeom prst="rect">
          <a:avLst/>
        </a:prstGeom>
      </xdr:spPr>
    </xdr:pic>
    <xdr:clientData/>
  </xdr:twoCellAnchor>
  <xdr:twoCellAnchor editAs="oneCell">
    <xdr:from>
      <xdr:col>0</xdr:col>
      <xdr:colOff>139700</xdr:colOff>
      <xdr:row>232</xdr:row>
      <xdr:rowOff>152400</xdr:rowOff>
    </xdr:from>
    <xdr:to>
      <xdr:col>0</xdr:col>
      <xdr:colOff>316753</xdr:colOff>
      <xdr:row>233</xdr:row>
      <xdr:rowOff>180867</xdr:rowOff>
    </xdr:to>
    <xdr:pic>
      <xdr:nvPicPr>
        <xdr:cNvPr id="8" name="Picture 7">
          <a:extLst>
            <a:ext uri="{FF2B5EF4-FFF2-40B4-BE49-F238E27FC236}">
              <a16:creationId xmlns:a16="http://schemas.microsoft.com/office/drawing/2014/main" id="{39643CC5-0FC8-4968-9B24-9F139CC4FFAE}"/>
            </a:ext>
          </a:extLst>
        </xdr:cNvPr>
        <xdr:cNvPicPr>
          <a:picLocks noChangeAspect="1"/>
        </xdr:cNvPicPr>
      </xdr:nvPicPr>
      <xdr:blipFill>
        <a:blip xmlns:r="http://schemas.openxmlformats.org/officeDocument/2006/relationships" r:embed="rId3"/>
        <a:stretch>
          <a:fillRect/>
        </a:stretch>
      </xdr:blipFill>
      <xdr:spPr>
        <a:xfrm>
          <a:off x="142875" y="47729775"/>
          <a:ext cx="173878" cy="228492"/>
        </a:xfrm>
        <a:prstGeom prst="rect">
          <a:avLst/>
        </a:prstGeom>
      </xdr:spPr>
    </xdr:pic>
    <xdr:clientData/>
  </xdr:twoCellAnchor>
  <xdr:twoCellAnchor editAs="oneCell">
    <xdr:from>
      <xdr:col>0</xdr:col>
      <xdr:colOff>139700</xdr:colOff>
      <xdr:row>362</xdr:row>
      <xdr:rowOff>127000</xdr:rowOff>
    </xdr:from>
    <xdr:to>
      <xdr:col>0</xdr:col>
      <xdr:colOff>316753</xdr:colOff>
      <xdr:row>363</xdr:row>
      <xdr:rowOff>114647</xdr:rowOff>
    </xdr:to>
    <xdr:pic>
      <xdr:nvPicPr>
        <xdr:cNvPr id="9" name="Picture 8">
          <a:extLst>
            <a:ext uri="{FF2B5EF4-FFF2-40B4-BE49-F238E27FC236}">
              <a16:creationId xmlns:a16="http://schemas.microsoft.com/office/drawing/2014/main" id="{4C75202C-6E09-4AE2-AB85-752FF5535CA2}"/>
            </a:ext>
          </a:extLst>
        </xdr:cNvPr>
        <xdr:cNvPicPr>
          <a:picLocks noChangeAspect="1"/>
        </xdr:cNvPicPr>
      </xdr:nvPicPr>
      <xdr:blipFill>
        <a:blip xmlns:r="http://schemas.openxmlformats.org/officeDocument/2006/relationships" r:embed="rId3"/>
        <a:stretch>
          <a:fillRect/>
        </a:stretch>
      </xdr:blipFill>
      <xdr:spPr>
        <a:xfrm>
          <a:off x="142875" y="73818750"/>
          <a:ext cx="173878" cy="228947"/>
        </a:xfrm>
        <a:prstGeom prst="rect">
          <a:avLst/>
        </a:prstGeom>
      </xdr:spPr>
    </xdr:pic>
    <xdr:clientData/>
  </xdr:twoCellAnchor>
  <xdr:twoCellAnchor editAs="oneCell">
    <xdr:from>
      <xdr:col>28</xdr:col>
      <xdr:colOff>0</xdr:colOff>
      <xdr:row>362</xdr:row>
      <xdr:rowOff>0</xdr:rowOff>
    </xdr:from>
    <xdr:to>
      <xdr:col>28</xdr:col>
      <xdr:colOff>829128</xdr:colOff>
      <xdr:row>363</xdr:row>
      <xdr:rowOff>48612</xdr:rowOff>
    </xdr:to>
    <xdr:pic>
      <xdr:nvPicPr>
        <xdr:cNvPr id="10" name="Picture 9">
          <a:extLst>
            <a:ext uri="{FF2B5EF4-FFF2-40B4-BE49-F238E27FC236}">
              <a16:creationId xmlns:a16="http://schemas.microsoft.com/office/drawing/2014/main" id="{C1679692-E0B0-40B0-977E-E22CF220DBD3}"/>
            </a:ext>
          </a:extLst>
        </xdr:cNvPr>
        <xdr:cNvPicPr>
          <a:picLocks noChangeAspect="1"/>
        </xdr:cNvPicPr>
      </xdr:nvPicPr>
      <xdr:blipFill>
        <a:blip xmlns:r="http://schemas.openxmlformats.org/officeDocument/2006/relationships" r:embed="rId4"/>
        <a:stretch>
          <a:fillRect/>
        </a:stretch>
      </xdr:blipFill>
      <xdr:spPr>
        <a:xfrm>
          <a:off x="27108150" y="73694925"/>
          <a:ext cx="829128" cy="286737"/>
        </a:xfrm>
        <a:prstGeom prst="rect">
          <a:avLst/>
        </a:prstGeom>
      </xdr:spPr>
    </xdr:pic>
    <xdr:clientData/>
  </xdr:twoCellAnchor>
  <xdr:twoCellAnchor editAs="oneCell">
    <xdr:from>
      <xdr:col>28</xdr:col>
      <xdr:colOff>63500</xdr:colOff>
      <xdr:row>232</xdr:row>
      <xdr:rowOff>88900</xdr:rowOff>
    </xdr:from>
    <xdr:to>
      <xdr:col>28</xdr:col>
      <xdr:colOff>892628</xdr:colOff>
      <xdr:row>233</xdr:row>
      <xdr:rowOff>178332</xdr:rowOff>
    </xdr:to>
    <xdr:pic>
      <xdr:nvPicPr>
        <xdr:cNvPr id="11" name="Picture 10">
          <a:extLst>
            <a:ext uri="{FF2B5EF4-FFF2-40B4-BE49-F238E27FC236}">
              <a16:creationId xmlns:a16="http://schemas.microsoft.com/office/drawing/2014/main" id="{D50D46EC-A654-47EC-9650-0A1454025CEF}"/>
            </a:ext>
          </a:extLst>
        </xdr:cNvPr>
        <xdr:cNvPicPr>
          <a:picLocks noChangeAspect="1"/>
        </xdr:cNvPicPr>
      </xdr:nvPicPr>
      <xdr:blipFill>
        <a:blip xmlns:r="http://schemas.openxmlformats.org/officeDocument/2006/relationships" r:embed="rId4"/>
        <a:stretch>
          <a:fillRect/>
        </a:stretch>
      </xdr:blipFill>
      <xdr:spPr>
        <a:xfrm>
          <a:off x="27174825" y="47663100"/>
          <a:ext cx="825953" cy="292632"/>
        </a:xfrm>
        <a:prstGeom prst="rect">
          <a:avLst/>
        </a:prstGeom>
      </xdr:spPr>
    </xdr:pic>
    <xdr:clientData/>
  </xdr:twoCellAnchor>
  <xdr:twoCellAnchor editAs="oneCell">
    <xdr:from>
      <xdr:col>28</xdr:col>
      <xdr:colOff>25400</xdr:colOff>
      <xdr:row>129</xdr:row>
      <xdr:rowOff>76200</xdr:rowOff>
    </xdr:from>
    <xdr:to>
      <xdr:col>28</xdr:col>
      <xdr:colOff>854528</xdr:colOff>
      <xdr:row>130</xdr:row>
      <xdr:rowOff>159282</xdr:rowOff>
    </xdr:to>
    <xdr:pic>
      <xdr:nvPicPr>
        <xdr:cNvPr id="12" name="Picture 11">
          <a:extLst>
            <a:ext uri="{FF2B5EF4-FFF2-40B4-BE49-F238E27FC236}">
              <a16:creationId xmlns:a16="http://schemas.microsoft.com/office/drawing/2014/main" id="{19A5D619-B803-4399-A298-E62513C8C6EB}"/>
            </a:ext>
          </a:extLst>
        </xdr:cNvPr>
        <xdr:cNvPicPr>
          <a:picLocks noChangeAspect="1"/>
        </xdr:cNvPicPr>
      </xdr:nvPicPr>
      <xdr:blipFill>
        <a:blip xmlns:r="http://schemas.openxmlformats.org/officeDocument/2006/relationships" r:embed="rId4"/>
        <a:stretch>
          <a:fillRect/>
        </a:stretch>
      </xdr:blipFill>
      <xdr:spPr>
        <a:xfrm>
          <a:off x="27136725" y="27012900"/>
          <a:ext cx="825953" cy="283107"/>
        </a:xfrm>
        <a:prstGeom prst="rect">
          <a:avLst/>
        </a:prstGeom>
      </xdr:spPr>
    </xdr:pic>
    <xdr:clientData/>
  </xdr:twoCellAnchor>
  <xdr:twoCellAnchor editAs="oneCell">
    <xdr:from>
      <xdr:col>28</xdr:col>
      <xdr:colOff>0</xdr:colOff>
      <xdr:row>51</xdr:row>
      <xdr:rowOff>0</xdr:rowOff>
    </xdr:from>
    <xdr:to>
      <xdr:col>28</xdr:col>
      <xdr:colOff>829128</xdr:colOff>
      <xdr:row>52</xdr:row>
      <xdr:rowOff>83083</xdr:rowOff>
    </xdr:to>
    <xdr:pic>
      <xdr:nvPicPr>
        <xdr:cNvPr id="13" name="Picture 12">
          <a:extLst>
            <a:ext uri="{FF2B5EF4-FFF2-40B4-BE49-F238E27FC236}">
              <a16:creationId xmlns:a16="http://schemas.microsoft.com/office/drawing/2014/main" id="{2452C511-E348-48B9-978B-492B464822CC}"/>
            </a:ext>
          </a:extLst>
        </xdr:cNvPr>
        <xdr:cNvPicPr>
          <a:picLocks noChangeAspect="1"/>
        </xdr:cNvPicPr>
      </xdr:nvPicPr>
      <xdr:blipFill>
        <a:blip xmlns:r="http://schemas.openxmlformats.org/officeDocument/2006/relationships" r:embed="rId4"/>
        <a:stretch>
          <a:fillRect/>
        </a:stretch>
      </xdr:blipFill>
      <xdr:spPr>
        <a:xfrm>
          <a:off x="27108150" y="10696575"/>
          <a:ext cx="829128" cy="2831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28</xdr:col>
      <xdr:colOff>1095375</xdr:colOff>
      <xdr:row>362</xdr:row>
      <xdr:rowOff>123825</xdr:rowOff>
    </xdr:from>
    <xdr:to>
      <xdr:col>28</xdr:col>
      <xdr:colOff>1895475</xdr:colOff>
      <xdr:row>364</xdr:row>
      <xdr:rowOff>152400</xdr:rowOff>
    </xdr:to>
    <xdr:pic>
      <xdr:nvPicPr>
        <xdr:cNvPr id="2" name="Picture 1" descr="C:\WINDOWS\TEMP\~0003946.gif">
          <a:extLst>
            <a:ext uri="{FF2B5EF4-FFF2-40B4-BE49-F238E27FC236}">
              <a16:creationId xmlns:a16="http://schemas.microsoft.com/office/drawing/2014/main" id="{37F45145-C8D4-44EF-87B5-2536517A235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7950" y="73815575"/>
          <a:ext cx="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232</xdr:row>
      <xdr:rowOff>152400</xdr:rowOff>
    </xdr:from>
    <xdr:to>
      <xdr:col>28</xdr:col>
      <xdr:colOff>1924050</xdr:colOff>
      <xdr:row>233</xdr:row>
      <xdr:rowOff>180975</xdr:rowOff>
    </xdr:to>
    <xdr:pic>
      <xdr:nvPicPr>
        <xdr:cNvPr id="3" name="Picture 2" descr="C:\WINDOWS\TEMP\~0003946.gif">
          <a:extLst>
            <a:ext uri="{FF2B5EF4-FFF2-40B4-BE49-F238E27FC236}">
              <a16:creationId xmlns:a16="http://schemas.microsoft.com/office/drawing/2014/main" id="{11E87B78-6F83-475F-B13B-C1B49A96203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51125" y="477297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129</xdr:row>
      <xdr:rowOff>161925</xdr:rowOff>
    </xdr:from>
    <xdr:to>
      <xdr:col>28</xdr:col>
      <xdr:colOff>1952625</xdr:colOff>
      <xdr:row>130</xdr:row>
      <xdr:rowOff>190500</xdr:rowOff>
    </xdr:to>
    <xdr:pic>
      <xdr:nvPicPr>
        <xdr:cNvPr id="4" name="Picture 3" descr="C:\WINDOWS\TEMP\~0003946.gif">
          <a:extLst>
            <a:ext uri="{FF2B5EF4-FFF2-40B4-BE49-F238E27FC236}">
              <a16:creationId xmlns:a16="http://schemas.microsoft.com/office/drawing/2014/main" id="{44635339-A315-4B77-ADBD-D5265804043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7950" y="270954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246C9B71-13BB-4235-A69D-697D0F191E8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47950" y="108553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313578</xdr:colOff>
      <xdr:row>52</xdr:row>
      <xdr:rowOff>145943</xdr:rowOff>
    </xdr:to>
    <xdr:pic>
      <xdr:nvPicPr>
        <xdr:cNvPr id="6" name="Picture 5">
          <a:extLst>
            <a:ext uri="{FF2B5EF4-FFF2-40B4-BE49-F238E27FC236}">
              <a16:creationId xmlns:a16="http://schemas.microsoft.com/office/drawing/2014/main" id="{9D2B685E-A483-4A48-9129-A4E64CBC64C9}"/>
            </a:ext>
          </a:extLst>
        </xdr:cNvPr>
        <xdr:cNvPicPr>
          <a:picLocks noChangeAspect="1"/>
        </xdr:cNvPicPr>
      </xdr:nvPicPr>
      <xdr:blipFill>
        <a:blip xmlns:r="http://schemas.openxmlformats.org/officeDocument/2006/relationships" r:embed="rId3"/>
        <a:stretch>
          <a:fillRect/>
        </a:stretch>
      </xdr:blipFill>
      <xdr:spPr>
        <a:xfrm>
          <a:off x="142875" y="10810875"/>
          <a:ext cx="170703" cy="231668"/>
        </a:xfrm>
        <a:prstGeom prst="rect">
          <a:avLst/>
        </a:prstGeom>
      </xdr:spPr>
    </xdr:pic>
    <xdr:clientData/>
  </xdr:twoCellAnchor>
  <xdr:twoCellAnchor editAs="oneCell">
    <xdr:from>
      <xdr:col>0</xdr:col>
      <xdr:colOff>165100</xdr:colOff>
      <xdr:row>129</xdr:row>
      <xdr:rowOff>177800</xdr:rowOff>
    </xdr:from>
    <xdr:to>
      <xdr:col>1</xdr:col>
      <xdr:colOff>523</xdr:colOff>
      <xdr:row>130</xdr:row>
      <xdr:rowOff>203092</xdr:rowOff>
    </xdr:to>
    <xdr:pic>
      <xdr:nvPicPr>
        <xdr:cNvPr id="7" name="Picture 6">
          <a:extLst>
            <a:ext uri="{FF2B5EF4-FFF2-40B4-BE49-F238E27FC236}">
              <a16:creationId xmlns:a16="http://schemas.microsoft.com/office/drawing/2014/main" id="{5C71ED09-C5B3-4123-A2E9-76E4BC9E12FF}"/>
            </a:ext>
          </a:extLst>
        </xdr:cNvPr>
        <xdr:cNvPicPr>
          <a:picLocks noChangeAspect="1"/>
        </xdr:cNvPicPr>
      </xdr:nvPicPr>
      <xdr:blipFill>
        <a:blip xmlns:r="http://schemas.openxmlformats.org/officeDocument/2006/relationships" r:embed="rId3"/>
        <a:stretch>
          <a:fillRect/>
        </a:stretch>
      </xdr:blipFill>
      <xdr:spPr>
        <a:xfrm>
          <a:off x="161925" y="27117675"/>
          <a:ext cx="171973" cy="222142"/>
        </a:xfrm>
        <a:prstGeom prst="rect">
          <a:avLst/>
        </a:prstGeom>
      </xdr:spPr>
    </xdr:pic>
    <xdr:clientData/>
  </xdr:twoCellAnchor>
  <xdr:twoCellAnchor editAs="oneCell">
    <xdr:from>
      <xdr:col>0</xdr:col>
      <xdr:colOff>139700</xdr:colOff>
      <xdr:row>232</xdr:row>
      <xdr:rowOff>152400</xdr:rowOff>
    </xdr:from>
    <xdr:to>
      <xdr:col>0</xdr:col>
      <xdr:colOff>313578</xdr:colOff>
      <xdr:row>233</xdr:row>
      <xdr:rowOff>184042</xdr:rowOff>
    </xdr:to>
    <xdr:pic>
      <xdr:nvPicPr>
        <xdr:cNvPr id="8" name="Picture 7">
          <a:extLst>
            <a:ext uri="{FF2B5EF4-FFF2-40B4-BE49-F238E27FC236}">
              <a16:creationId xmlns:a16="http://schemas.microsoft.com/office/drawing/2014/main" id="{48F10F3D-9C44-4F4C-BCFE-FEA16325CBEE}"/>
            </a:ext>
          </a:extLst>
        </xdr:cNvPr>
        <xdr:cNvPicPr>
          <a:picLocks noChangeAspect="1"/>
        </xdr:cNvPicPr>
      </xdr:nvPicPr>
      <xdr:blipFill>
        <a:blip xmlns:r="http://schemas.openxmlformats.org/officeDocument/2006/relationships" r:embed="rId3"/>
        <a:stretch>
          <a:fillRect/>
        </a:stretch>
      </xdr:blipFill>
      <xdr:spPr>
        <a:xfrm>
          <a:off x="142875" y="47729775"/>
          <a:ext cx="170703" cy="231667"/>
        </a:xfrm>
        <a:prstGeom prst="rect">
          <a:avLst/>
        </a:prstGeom>
      </xdr:spPr>
    </xdr:pic>
    <xdr:clientData/>
  </xdr:twoCellAnchor>
  <xdr:twoCellAnchor editAs="oneCell">
    <xdr:from>
      <xdr:col>0</xdr:col>
      <xdr:colOff>139700</xdr:colOff>
      <xdr:row>362</xdr:row>
      <xdr:rowOff>127000</xdr:rowOff>
    </xdr:from>
    <xdr:to>
      <xdr:col>0</xdr:col>
      <xdr:colOff>313578</xdr:colOff>
      <xdr:row>363</xdr:row>
      <xdr:rowOff>114647</xdr:rowOff>
    </xdr:to>
    <xdr:pic>
      <xdr:nvPicPr>
        <xdr:cNvPr id="9" name="Picture 8">
          <a:extLst>
            <a:ext uri="{FF2B5EF4-FFF2-40B4-BE49-F238E27FC236}">
              <a16:creationId xmlns:a16="http://schemas.microsoft.com/office/drawing/2014/main" id="{291937D7-BD28-46CC-9C3F-0644064BB208}"/>
            </a:ext>
          </a:extLst>
        </xdr:cNvPr>
        <xdr:cNvPicPr>
          <a:picLocks noChangeAspect="1"/>
        </xdr:cNvPicPr>
      </xdr:nvPicPr>
      <xdr:blipFill>
        <a:blip xmlns:r="http://schemas.openxmlformats.org/officeDocument/2006/relationships" r:embed="rId3"/>
        <a:stretch>
          <a:fillRect/>
        </a:stretch>
      </xdr:blipFill>
      <xdr:spPr>
        <a:xfrm>
          <a:off x="142875" y="73818750"/>
          <a:ext cx="170703" cy="228947"/>
        </a:xfrm>
        <a:prstGeom prst="rect">
          <a:avLst/>
        </a:prstGeom>
      </xdr:spPr>
    </xdr:pic>
    <xdr:clientData/>
  </xdr:twoCellAnchor>
  <xdr:twoCellAnchor editAs="oneCell">
    <xdr:from>
      <xdr:col>28</xdr:col>
      <xdr:colOff>0</xdr:colOff>
      <xdr:row>362</xdr:row>
      <xdr:rowOff>0</xdr:rowOff>
    </xdr:from>
    <xdr:to>
      <xdr:col>28</xdr:col>
      <xdr:colOff>825953</xdr:colOff>
      <xdr:row>363</xdr:row>
      <xdr:rowOff>45437</xdr:rowOff>
    </xdr:to>
    <xdr:pic>
      <xdr:nvPicPr>
        <xdr:cNvPr id="10" name="Picture 9">
          <a:extLst>
            <a:ext uri="{FF2B5EF4-FFF2-40B4-BE49-F238E27FC236}">
              <a16:creationId xmlns:a16="http://schemas.microsoft.com/office/drawing/2014/main" id="{35212663-4EDE-4BED-A9F5-FDC6B862C5FD}"/>
            </a:ext>
          </a:extLst>
        </xdr:cNvPr>
        <xdr:cNvPicPr>
          <a:picLocks noChangeAspect="1"/>
        </xdr:cNvPicPr>
      </xdr:nvPicPr>
      <xdr:blipFill>
        <a:blip xmlns:r="http://schemas.openxmlformats.org/officeDocument/2006/relationships" r:embed="rId4"/>
        <a:stretch>
          <a:fillRect/>
        </a:stretch>
      </xdr:blipFill>
      <xdr:spPr>
        <a:xfrm>
          <a:off x="27070050" y="73694925"/>
          <a:ext cx="825953" cy="283562"/>
        </a:xfrm>
        <a:prstGeom prst="rect">
          <a:avLst/>
        </a:prstGeom>
      </xdr:spPr>
    </xdr:pic>
    <xdr:clientData/>
  </xdr:twoCellAnchor>
  <xdr:twoCellAnchor editAs="oneCell">
    <xdr:from>
      <xdr:col>28</xdr:col>
      <xdr:colOff>63500</xdr:colOff>
      <xdr:row>232</xdr:row>
      <xdr:rowOff>88900</xdr:rowOff>
    </xdr:from>
    <xdr:to>
      <xdr:col>28</xdr:col>
      <xdr:colOff>892628</xdr:colOff>
      <xdr:row>233</xdr:row>
      <xdr:rowOff>181507</xdr:rowOff>
    </xdr:to>
    <xdr:pic>
      <xdr:nvPicPr>
        <xdr:cNvPr id="11" name="Picture 10">
          <a:extLst>
            <a:ext uri="{FF2B5EF4-FFF2-40B4-BE49-F238E27FC236}">
              <a16:creationId xmlns:a16="http://schemas.microsoft.com/office/drawing/2014/main" id="{35913583-7140-44C4-9679-7F2717040920}"/>
            </a:ext>
          </a:extLst>
        </xdr:cNvPr>
        <xdr:cNvPicPr>
          <a:picLocks noChangeAspect="1"/>
        </xdr:cNvPicPr>
      </xdr:nvPicPr>
      <xdr:blipFill>
        <a:blip xmlns:r="http://schemas.openxmlformats.org/officeDocument/2006/relationships" r:embed="rId4"/>
        <a:stretch>
          <a:fillRect/>
        </a:stretch>
      </xdr:blipFill>
      <xdr:spPr>
        <a:xfrm>
          <a:off x="27136725" y="47663100"/>
          <a:ext cx="825953" cy="295807"/>
        </a:xfrm>
        <a:prstGeom prst="rect">
          <a:avLst/>
        </a:prstGeom>
      </xdr:spPr>
    </xdr:pic>
    <xdr:clientData/>
  </xdr:twoCellAnchor>
  <xdr:twoCellAnchor editAs="oneCell">
    <xdr:from>
      <xdr:col>28</xdr:col>
      <xdr:colOff>25400</xdr:colOff>
      <xdr:row>129</xdr:row>
      <xdr:rowOff>76200</xdr:rowOff>
    </xdr:from>
    <xdr:to>
      <xdr:col>28</xdr:col>
      <xdr:colOff>854528</xdr:colOff>
      <xdr:row>130</xdr:row>
      <xdr:rowOff>162457</xdr:rowOff>
    </xdr:to>
    <xdr:pic>
      <xdr:nvPicPr>
        <xdr:cNvPr id="12" name="Picture 11">
          <a:extLst>
            <a:ext uri="{FF2B5EF4-FFF2-40B4-BE49-F238E27FC236}">
              <a16:creationId xmlns:a16="http://schemas.microsoft.com/office/drawing/2014/main" id="{8394163D-707C-4844-A15A-6B2CD44613F4}"/>
            </a:ext>
          </a:extLst>
        </xdr:cNvPr>
        <xdr:cNvPicPr>
          <a:picLocks noChangeAspect="1"/>
        </xdr:cNvPicPr>
      </xdr:nvPicPr>
      <xdr:blipFill>
        <a:blip xmlns:r="http://schemas.openxmlformats.org/officeDocument/2006/relationships" r:embed="rId4"/>
        <a:stretch>
          <a:fillRect/>
        </a:stretch>
      </xdr:blipFill>
      <xdr:spPr>
        <a:xfrm>
          <a:off x="27098625" y="27012900"/>
          <a:ext cx="825953" cy="286282"/>
        </a:xfrm>
        <a:prstGeom prst="rect">
          <a:avLst/>
        </a:prstGeom>
      </xdr:spPr>
    </xdr:pic>
    <xdr:clientData/>
  </xdr:twoCellAnchor>
  <xdr:twoCellAnchor editAs="oneCell">
    <xdr:from>
      <xdr:col>28</xdr:col>
      <xdr:colOff>0</xdr:colOff>
      <xdr:row>51</xdr:row>
      <xdr:rowOff>0</xdr:rowOff>
    </xdr:from>
    <xdr:to>
      <xdr:col>28</xdr:col>
      <xdr:colOff>825953</xdr:colOff>
      <xdr:row>52</xdr:row>
      <xdr:rowOff>86258</xdr:rowOff>
    </xdr:to>
    <xdr:pic>
      <xdr:nvPicPr>
        <xdr:cNvPr id="13" name="Picture 12">
          <a:extLst>
            <a:ext uri="{FF2B5EF4-FFF2-40B4-BE49-F238E27FC236}">
              <a16:creationId xmlns:a16="http://schemas.microsoft.com/office/drawing/2014/main" id="{1564B132-A367-4FE6-8742-47E093A188E8}"/>
            </a:ext>
          </a:extLst>
        </xdr:cNvPr>
        <xdr:cNvPicPr>
          <a:picLocks noChangeAspect="1"/>
        </xdr:cNvPicPr>
      </xdr:nvPicPr>
      <xdr:blipFill>
        <a:blip xmlns:r="http://schemas.openxmlformats.org/officeDocument/2006/relationships" r:embed="rId4"/>
        <a:stretch>
          <a:fillRect/>
        </a:stretch>
      </xdr:blipFill>
      <xdr:spPr>
        <a:xfrm>
          <a:off x="27070050" y="10696575"/>
          <a:ext cx="825953" cy="2862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28</xdr:col>
      <xdr:colOff>1095375</xdr:colOff>
      <xdr:row>362</xdr:row>
      <xdr:rowOff>123825</xdr:rowOff>
    </xdr:from>
    <xdr:to>
      <xdr:col>28</xdr:col>
      <xdr:colOff>1895475</xdr:colOff>
      <xdr:row>364</xdr:row>
      <xdr:rowOff>152400</xdr:rowOff>
    </xdr:to>
    <xdr:pic>
      <xdr:nvPicPr>
        <xdr:cNvPr id="2" name="Picture 1" descr="C:\WINDOWS\TEMP\~0003946.gif">
          <a:extLst>
            <a:ext uri="{FF2B5EF4-FFF2-40B4-BE49-F238E27FC236}">
              <a16:creationId xmlns:a16="http://schemas.microsoft.com/office/drawing/2014/main" id="{2288591F-B7F3-49DD-857F-8A87CC0E457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09850" y="73815575"/>
          <a:ext cx="0"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232</xdr:row>
      <xdr:rowOff>152400</xdr:rowOff>
    </xdr:from>
    <xdr:to>
      <xdr:col>28</xdr:col>
      <xdr:colOff>1924050</xdr:colOff>
      <xdr:row>233</xdr:row>
      <xdr:rowOff>180975</xdr:rowOff>
    </xdr:to>
    <xdr:pic>
      <xdr:nvPicPr>
        <xdr:cNvPr id="3" name="Picture 2" descr="C:\WINDOWS\TEMP\~0003946.gif">
          <a:extLst>
            <a:ext uri="{FF2B5EF4-FFF2-40B4-BE49-F238E27FC236}">
              <a16:creationId xmlns:a16="http://schemas.microsoft.com/office/drawing/2014/main" id="{59325490-E3DC-422D-87B4-25814C52629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13025" y="477297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129</xdr:row>
      <xdr:rowOff>161925</xdr:rowOff>
    </xdr:from>
    <xdr:to>
      <xdr:col>28</xdr:col>
      <xdr:colOff>1952625</xdr:colOff>
      <xdr:row>130</xdr:row>
      <xdr:rowOff>190500</xdr:rowOff>
    </xdr:to>
    <xdr:pic>
      <xdr:nvPicPr>
        <xdr:cNvPr id="4" name="Picture 3" descr="C:\WINDOWS\TEMP\~0003946.gif">
          <a:extLst>
            <a:ext uri="{FF2B5EF4-FFF2-40B4-BE49-F238E27FC236}">
              <a16:creationId xmlns:a16="http://schemas.microsoft.com/office/drawing/2014/main" id="{805F15E9-F840-42DF-96E7-D1C8FA13925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09850" y="27095450"/>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599E0D9B-6427-44C6-BEE4-075765711824}"/>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09850" y="10855325"/>
          <a:ext cx="0" cy="23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313578</xdr:colOff>
      <xdr:row>52</xdr:row>
      <xdr:rowOff>145943</xdr:rowOff>
    </xdr:to>
    <xdr:pic>
      <xdr:nvPicPr>
        <xdr:cNvPr id="6" name="Picture 5">
          <a:extLst>
            <a:ext uri="{FF2B5EF4-FFF2-40B4-BE49-F238E27FC236}">
              <a16:creationId xmlns:a16="http://schemas.microsoft.com/office/drawing/2014/main" id="{1782AD6C-ACC8-4C71-B0AD-1DFD122360AE}"/>
            </a:ext>
          </a:extLst>
        </xdr:cNvPr>
        <xdr:cNvPicPr>
          <a:picLocks noChangeAspect="1"/>
        </xdr:cNvPicPr>
      </xdr:nvPicPr>
      <xdr:blipFill>
        <a:blip xmlns:r="http://schemas.openxmlformats.org/officeDocument/2006/relationships" r:embed="rId3"/>
        <a:stretch>
          <a:fillRect/>
        </a:stretch>
      </xdr:blipFill>
      <xdr:spPr>
        <a:xfrm>
          <a:off x="142875" y="10810875"/>
          <a:ext cx="173878" cy="228493"/>
        </a:xfrm>
        <a:prstGeom prst="rect">
          <a:avLst/>
        </a:prstGeom>
      </xdr:spPr>
    </xdr:pic>
    <xdr:clientData/>
  </xdr:twoCellAnchor>
  <xdr:twoCellAnchor editAs="oneCell">
    <xdr:from>
      <xdr:col>0</xdr:col>
      <xdr:colOff>165100</xdr:colOff>
      <xdr:row>129</xdr:row>
      <xdr:rowOff>177800</xdr:rowOff>
    </xdr:from>
    <xdr:to>
      <xdr:col>1</xdr:col>
      <xdr:colOff>523</xdr:colOff>
      <xdr:row>130</xdr:row>
      <xdr:rowOff>203092</xdr:rowOff>
    </xdr:to>
    <xdr:pic>
      <xdr:nvPicPr>
        <xdr:cNvPr id="7" name="Picture 6">
          <a:extLst>
            <a:ext uri="{FF2B5EF4-FFF2-40B4-BE49-F238E27FC236}">
              <a16:creationId xmlns:a16="http://schemas.microsoft.com/office/drawing/2014/main" id="{23103E16-D021-4132-806E-82D8F9F2907B}"/>
            </a:ext>
          </a:extLst>
        </xdr:cNvPr>
        <xdr:cNvPicPr>
          <a:picLocks noChangeAspect="1"/>
        </xdr:cNvPicPr>
      </xdr:nvPicPr>
      <xdr:blipFill>
        <a:blip xmlns:r="http://schemas.openxmlformats.org/officeDocument/2006/relationships" r:embed="rId3"/>
        <a:stretch>
          <a:fillRect/>
        </a:stretch>
      </xdr:blipFill>
      <xdr:spPr>
        <a:xfrm>
          <a:off x="161925" y="27117675"/>
          <a:ext cx="171973" cy="218967"/>
        </a:xfrm>
        <a:prstGeom prst="rect">
          <a:avLst/>
        </a:prstGeom>
      </xdr:spPr>
    </xdr:pic>
    <xdr:clientData/>
  </xdr:twoCellAnchor>
  <xdr:twoCellAnchor editAs="oneCell">
    <xdr:from>
      <xdr:col>0</xdr:col>
      <xdr:colOff>139700</xdr:colOff>
      <xdr:row>232</xdr:row>
      <xdr:rowOff>152400</xdr:rowOff>
    </xdr:from>
    <xdr:to>
      <xdr:col>0</xdr:col>
      <xdr:colOff>313578</xdr:colOff>
      <xdr:row>233</xdr:row>
      <xdr:rowOff>184042</xdr:rowOff>
    </xdr:to>
    <xdr:pic>
      <xdr:nvPicPr>
        <xdr:cNvPr id="8" name="Picture 7">
          <a:extLst>
            <a:ext uri="{FF2B5EF4-FFF2-40B4-BE49-F238E27FC236}">
              <a16:creationId xmlns:a16="http://schemas.microsoft.com/office/drawing/2014/main" id="{33AD3C72-C811-4963-A5E4-349D69C70C3E}"/>
            </a:ext>
          </a:extLst>
        </xdr:cNvPr>
        <xdr:cNvPicPr>
          <a:picLocks noChangeAspect="1"/>
        </xdr:cNvPicPr>
      </xdr:nvPicPr>
      <xdr:blipFill>
        <a:blip xmlns:r="http://schemas.openxmlformats.org/officeDocument/2006/relationships" r:embed="rId3"/>
        <a:stretch>
          <a:fillRect/>
        </a:stretch>
      </xdr:blipFill>
      <xdr:spPr>
        <a:xfrm>
          <a:off x="142875" y="47729775"/>
          <a:ext cx="173878" cy="228492"/>
        </a:xfrm>
        <a:prstGeom prst="rect">
          <a:avLst/>
        </a:prstGeom>
      </xdr:spPr>
    </xdr:pic>
    <xdr:clientData/>
  </xdr:twoCellAnchor>
  <xdr:twoCellAnchor editAs="oneCell">
    <xdr:from>
      <xdr:col>0</xdr:col>
      <xdr:colOff>139700</xdr:colOff>
      <xdr:row>362</xdr:row>
      <xdr:rowOff>127000</xdr:rowOff>
    </xdr:from>
    <xdr:to>
      <xdr:col>0</xdr:col>
      <xdr:colOff>313578</xdr:colOff>
      <xdr:row>363</xdr:row>
      <xdr:rowOff>114647</xdr:rowOff>
    </xdr:to>
    <xdr:pic>
      <xdr:nvPicPr>
        <xdr:cNvPr id="9" name="Picture 8">
          <a:extLst>
            <a:ext uri="{FF2B5EF4-FFF2-40B4-BE49-F238E27FC236}">
              <a16:creationId xmlns:a16="http://schemas.microsoft.com/office/drawing/2014/main" id="{E4E04C6F-7F9C-4553-9FD4-534B3BCFA263}"/>
            </a:ext>
          </a:extLst>
        </xdr:cNvPr>
        <xdr:cNvPicPr>
          <a:picLocks noChangeAspect="1"/>
        </xdr:cNvPicPr>
      </xdr:nvPicPr>
      <xdr:blipFill>
        <a:blip xmlns:r="http://schemas.openxmlformats.org/officeDocument/2006/relationships" r:embed="rId3"/>
        <a:stretch>
          <a:fillRect/>
        </a:stretch>
      </xdr:blipFill>
      <xdr:spPr>
        <a:xfrm>
          <a:off x="142875" y="73818750"/>
          <a:ext cx="173878" cy="228947"/>
        </a:xfrm>
        <a:prstGeom prst="rect">
          <a:avLst/>
        </a:prstGeom>
      </xdr:spPr>
    </xdr:pic>
    <xdr:clientData/>
  </xdr:twoCellAnchor>
  <xdr:twoCellAnchor editAs="oneCell">
    <xdr:from>
      <xdr:col>28</xdr:col>
      <xdr:colOff>0</xdr:colOff>
      <xdr:row>362</xdr:row>
      <xdr:rowOff>0</xdr:rowOff>
    </xdr:from>
    <xdr:to>
      <xdr:col>28</xdr:col>
      <xdr:colOff>825953</xdr:colOff>
      <xdr:row>363</xdr:row>
      <xdr:rowOff>45437</xdr:rowOff>
    </xdr:to>
    <xdr:pic>
      <xdr:nvPicPr>
        <xdr:cNvPr id="10" name="Picture 9">
          <a:extLst>
            <a:ext uri="{FF2B5EF4-FFF2-40B4-BE49-F238E27FC236}">
              <a16:creationId xmlns:a16="http://schemas.microsoft.com/office/drawing/2014/main" id="{236AF319-E5B8-4B3F-88C9-D60EAAE11B84}"/>
            </a:ext>
          </a:extLst>
        </xdr:cNvPr>
        <xdr:cNvPicPr>
          <a:picLocks noChangeAspect="1"/>
        </xdr:cNvPicPr>
      </xdr:nvPicPr>
      <xdr:blipFill>
        <a:blip xmlns:r="http://schemas.openxmlformats.org/officeDocument/2006/relationships" r:embed="rId4"/>
        <a:stretch>
          <a:fillRect/>
        </a:stretch>
      </xdr:blipFill>
      <xdr:spPr>
        <a:xfrm>
          <a:off x="27031950" y="73694925"/>
          <a:ext cx="829128" cy="286737"/>
        </a:xfrm>
        <a:prstGeom prst="rect">
          <a:avLst/>
        </a:prstGeom>
      </xdr:spPr>
    </xdr:pic>
    <xdr:clientData/>
  </xdr:twoCellAnchor>
  <xdr:twoCellAnchor editAs="oneCell">
    <xdr:from>
      <xdr:col>28</xdr:col>
      <xdr:colOff>63500</xdr:colOff>
      <xdr:row>232</xdr:row>
      <xdr:rowOff>88900</xdr:rowOff>
    </xdr:from>
    <xdr:to>
      <xdr:col>28</xdr:col>
      <xdr:colOff>892628</xdr:colOff>
      <xdr:row>233</xdr:row>
      <xdr:rowOff>181507</xdr:rowOff>
    </xdr:to>
    <xdr:pic>
      <xdr:nvPicPr>
        <xdr:cNvPr id="11" name="Picture 10">
          <a:extLst>
            <a:ext uri="{FF2B5EF4-FFF2-40B4-BE49-F238E27FC236}">
              <a16:creationId xmlns:a16="http://schemas.microsoft.com/office/drawing/2014/main" id="{EABEA8B7-0DF5-46E4-80D8-C8B3B8F3767C}"/>
            </a:ext>
          </a:extLst>
        </xdr:cNvPr>
        <xdr:cNvPicPr>
          <a:picLocks noChangeAspect="1"/>
        </xdr:cNvPicPr>
      </xdr:nvPicPr>
      <xdr:blipFill>
        <a:blip xmlns:r="http://schemas.openxmlformats.org/officeDocument/2006/relationships" r:embed="rId4"/>
        <a:stretch>
          <a:fillRect/>
        </a:stretch>
      </xdr:blipFill>
      <xdr:spPr>
        <a:xfrm>
          <a:off x="27098625" y="47663100"/>
          <a:ext cx="825953" cy="292632"/>
        </a:xfrm>
        <a:prstGeom prst="rect">
          <a:avLst/>
        </a:prstGeom>
      </xdr:spPr>
    </xdr:pic>
    <xdr:clientData/>
  </xdr:twoCellAnchor>
  <xdr:twoCellAnchor editAs="oneCell">
    <xdr:from>
      <xdr:col>28</xdr:col>
      <xdr:colOff>25400</xdr:colOff>
      <xdr:row>129</xdr:row>
      <xdr:rowOff>76200</xdr:rowOff>
    </xdr:from>
    <xdr:to>
      <xdr:col>28</xdr:col>
      <xdr:colOff>854528</xdr:colOff>
      <xdr:row>130</xdr:row>
      <xdr:rowOff>162457</xdr:rowOff>
    </xdr:to>
    <xdr:pic>
      <xdr:nvPicPr>
        <xdr:cNvPr id="12" name="Picture 11">
          <a:extLst>
            <a:ext uri="{FF2B5EF4-FFF2-40B4-BE49-F238E27FC236}">
              <a16:creationId xmlns:a16="http://schemas.microsoft.com/office/drawing/2014/main" id="{40E96D88-5E2D-4101-8821-DA7CFE667A71}"/>
            </a:ext>
          </a:extLst>
        </xdr:cNvPr>
        <xdr:cNvPicPr>
          <a:picLocks noChangeAspect="1"/>
        </xdr:cNvPicPr>
      </xdr:nvPicPr>
      <xdr:blipFill>
        <a:blip xmlns:r="http://schemas.openxmlformats.org/officeDocument/2006/relationships" r:embed="rId4"/>
        <a:stretch>
          <a:fillRect/>
        </a:stretch>
      </xdr:blipFill>
      <xdr:spPr>
        <a:xfrm>
          <a:off x="27060525" y="27012900"/>
          <a:ext cx="825953" cy="283107"/>
        </a:xfrm>
        <a:prstGeom prst="rect">
          <a:avLst/>
        </a:prstGeom>
      </xdr:spPr>
    </xdr:pic>
    <xdr:clientData/>
  </xdr:twoCellAnchor>
  <xdr:twoCellAnchor editAs="oneCell">
    <xdr:from>
      <xdr:col>28</xdr:col>
      <xdr:colOff>0</xdr:colOff>
      <xdr:row>51</xdr:row>
      <xdr:rowOff>0</xdr:rowOff>
    </xdr:from>
    <xdr:to>
      <xdr:col>28</xdr:col>
      <xdr:colOff>825953</xdr:colOff>
      <xdr:row>52</xdr:row>
      <xdr:rowOff>86258</xdr:rowOff>
    </xdr:to>
    <xdr:pic>
      <xdr:nvPicPr>
        <xdr:cNvPr id="13" name="Picture 12">
          <a:extLst>
            <a:ext uri="{FF2B5EF4-FFF2-40B4-BE49-F238E27FC236}">
              <a16:creationId xmlns:a16="http://schemas.microsoft.com/office/drawing/2014/main" id="{A064CA2F-80F5-42E8-802D-CC208A3C6792}"/>
            </a:ext>
          </a:extLst>
        </xdr:cNvPr>
        <xdr:cNvPicPr>
          <a:picLocks noChangeAspect="1"/>
        </xdr:cNvPicPr>
      </xdr:nvPicPr>
      <xdr:blipFill>
        <a:blip xmlns:r="http://schemas.openxmlformats.org/officeDocument/2006/relationships" r:embed="rId4"/>
        <a:stretch>
          <a:fillRect/>
        </a:stretch>
      </xdr:blipFill>
      <xdr:spPr>
        <a:xfrm>
          <a:off x="27031950" y="10696575"/>
          <a:ext cx="829128" cy="2831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28</xdr:col>
      <xdr:colOff>1095375</xdr:colOff>
      <xdr:row>362</xdr:row>
      <xdr:rowOff>123825</xdr:rowOff>
    </xdr:from>
    <xdr:to>
      <xdr:col>28</xdr:col>
      <xdr:colOff>1895475</xdr:colOff>
      <xdr:row>364</xdr:row>
      <xdr:rowOff>152400</xdr:rowOff>
    </xdr:to>
    <xdr:pic>
      <xdr:nvPicPr>
        <xdr:cNvPr id="2" name="Picture 1" descr="C:\WINDOWS\TEMP\~0003946.gif">
          <a:extLst>
            <a:ext uri="{FF2B5EF4-FFF2-40B4-BE49-F238E27FC236}">
              <a16:creationId xmlns:a16="http://schemas.microsoft.com/office/drawing/2014/main" id="{DE91D7D9-9A3E-4DB1-B262-D7A9E4BE532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06675" y="7277417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232</xdr:row>
      <xdr:rowOff>152400</xdr:rowOff>
    </xdr:from>
    <xdr:to>
      <xdr:col>28</xdr:col>
      <xdr:colOff>1924050</xdr:colOff>
      <xdr:row>233</xdr:row>
      <xdr:rowOff>180975</xdr:rowOff>
    </xdr:to>
    <xdr:pic>
      <xdr:nvPicPr>
        <xdr:cNvPr id="3" name="Picture 2" descr="C:\WINDOWS\TEMP\~0003946.gif">
          <a:extLst>
            <a:ext uri="{FF2B5EF4-FFF2-40B4-BE49-F238E27FC236}">
              <a16:creationId xmlns:a16="http://schemas.microsoft.com/office/drawing/2014/main" id="{0BF4B7A6-3A53-4C12-92F7-65F3CEC355F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09850" y="470662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129</xdr:row>
      <xdr:rowOff>161925</xdr:rowOff>
    </xdr:from>
    <xdr:to>
      <xdr:col>28</xdr:col>
      <xdr:colOff>1952625</xdr:colOff>
      <xdr:row>130</xdr:row>
      <xdr:rowOff>190500</xdr:rowOff>
    </xdr:to>
    <xdr:pic>
      <xdr:nvPicPr>
        <xdr:cNvPr id="4" name="Picture 3" descr="C:\WINDOWS\TEMP\~0003946.gif">
          <a:extLst>
            <a:ext uri="{FF2B5EF4-FFF2-40B4-BE49-F238E27FC236}">
              <a16:creationId xmlns:a16="http://schemas.microsoft.com/office/drawing/2014/main" id="{F357BACC-6950-4E26-9036-436C17923FA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06675" y="267112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72ECA16E-62F6-4054-B1C3-870322EC0F6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06675" y="107092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321198</xdr:colOff>
      <xdr:row>52</xdr:row>
      <xdr:rowOff>132608</xdr:rowOff>
    </xdr:to>
    <xdr:pic>
      <xdr:nvPicPr>
        <xdr:cNvPr id="6" name="Picture 5">
          <a:extLst>
            <a:ext uri="{FF2B5EF4-FFF2-40B4-BE49-F238E27FC236}">
              <a16:creationId xmlns:a16="http://schemas.microsoft.com/office/drawing/2014/main" id="{4227F72C-AFD2-49D0-8699-79EF85D6DC45}"/>
            </a:ext>
          </a:extLst>
        </xdr:cNvPr>
        <xdr:cNvPicPr>
          <a:picLocks noChangeAspect="1"/>
        </xdr:cNvPicPr>
      </xdr:nvPicPr>
      <xdr:blipFill>
        <a:blip xmlns:r="http://schemas.openxmlformats.org/officeDocument/2006/relationships" r:embed="rId3"/>
        <a:stretch>
          <a:fillRect/>
        </a:stretch>
      </xdr:blipFill>
      <xdr:spPr>
        <a:xfrm>
          <a:off x="139700" y="10661650"/>
          <a:ext cx="173878" cy="228493"/>
        </a:xfrm>
        <a:prstGeom prst="rect">
          <a:avLst/>
        </a:prstGeom>
      </xdr:spPr>
    </xdr:pic>
    <xdr:clientData/>
  </xdr:twoCellAnchor>
  <xdr:twoCellAnchor editAs="oneCell">
    <xdr:from>
      <xdr:col>0</xdr:col>
      <xdr:colOff>165100</xdr:colOff>
      <xdr:row>129</xdr:row>
      <xdr:rowOff>177800</xdr:rowOff>
    </xdr:from>
    <xdr:to>
      <xdr:col>1</xdr:col>
      <xdr:colOff>523</xdr:colOff>
      <xdr:row>130</xdr:row>
      <xdr:rowOff>206902</xdr:rowOff>
    </xdr:to>
    <xdr:pic>
      <xdr:nvPicPr>
        <xdr:cNvPr id="7" name="Picture 6">
          <a:extLst>
            <a:ext uri="{FF2B5EF4-FFF2-40B4-BE49-F238E27FC236}">
              <a16:creationId xmlns:a16="http://schemas.microsoft.com/office/drawing/2014/main" id="{7D137290-962A-471A-875F-4A354BFD75CB}"/>
            </a:ext>
          </a:extLst>
        </xdr:cNvPr>
        <xdr:cNvPicPr>
          <a:picLocks noChangeAspect="1"/>
        </xdr:cNvPicPr>
      </xdr:nvPicPr>
      <xdr:blipFill>
        <a:blip xmlns:r="http://schemas.openxmlformats.org/officeDocument/2006/relationships" r:embed="rId3"/>
        <a:stretch>
          <a:fillRect/>
        </a:stretch>
      </xdr:blipFill>
      <xdr:spPr>
        <a:xfrm>
          <a:off x="165100" y="26727150"/>
          <a:ext cx="165623" cy="222142"/>
        </a:xfrm>
        <a:prstGeom prst="rect">
          <a:avLst/>
        </a:prstGeom>
      </xdr:spPr>
    </xdr:pic>
    <xdr:clientData/>
  </xdr:twoCellAnchor>
  <xdr:twoCellAnchor editAs="oneCell">
    <xdr:from>
      <xdr:col>0</xdr:col>
      <xdr:colOff>139700</xdr:colOff>
      <xdr:row>232</xdr:row>
      <xdr:rowOff>152400</xdr:rowOff>
    </xdr:from>
    <xdr:to>
      <xdr:col>0</xdr:col>
      <xdr:colOff>321198</xdr:colOff>
      <xdr:row>233</xdr:row>
      <xdr:rowOff>170707</xdr:rowOff>
    </xdr:to>
    <xdr:pic>
      <xdr:nvPicPr>
        <xdr:cNvPr id="8" name="Picture 7">
          <a:extLst>
            <a:ext uri="{FF2B5EF4-FFF2-40B4-BE49-F238E27FC236}">
              <a16:creationId xmlns:a16="http://schemas.microsoft.com/office/drawing/2014/main" id="{1E0CA522-B145-41B9-8F56-79E11BA36FBC}"/>
            </a:ext>
          </a:extLst>
        </xdr:cNvPr>
        <xdr:cNvPicPr>
          <a:picLocks noChangeAspect="1"/>
        </xdr:cNvPicPr>
      </xdr:nvPicPr>
      <xdr:blipFill>
        <a:blip xmlns:r="http://schemas.openxmlformats.org/officeDocument/2006/relationships" r:embed="rId3"/>
        <a:stretch>
          <a:fillRect/>
        </a:stretch>
      </xdr:blipFill>
      <xdr:spPr>
        <a:xfrm>
          <a:off x="139700" y="47066200"/>
          <a:ext cx="173878" cy="228492"/>
        </a:xfrm>
        <a:prstGeom prst="rect">
          <a:avLst/>
        </a:prstGeom>
      </xdr:spPr>
    </xdr:pic>
    <xdr:clientData/>
  </xdr:twoCellAnchor>
  <xdr:twoCellAnchor editAs="oneCell">
    <xdr:from>
      <xdr:col>0</xdr:col>
      <xdr:colOff>139700</xdr:colOff>
      <xdr:row>362</xdr:row>
      <xdr:rowOff>127000</xdr:rowOff>
    </xdr:from>
    <xdr:to>
      <xdr:col>0</xdr:col>
      <xdr:colOff>321198</xdr:colOff>
      <xdr:row>363</xdr:row>
      <xdr:rowOff>114647</xdr:rowOff>
    </xdr:to>
    <xdr:pic>
      <xdr:nvPicPr>
        <xdr:cNvPr id="9" name="Picture 8">
          <a:extLst>
            <a:ext uri="{FF2B5EF4-FFF2-40B4-BE49-F238E27FC236}">
              <a16:creationId xmlns:a16="http://schemas.microsoft.com/office/drawing/2014/main" id="{B5E78557-C45C-4CF2-A2DA-50088A686048}"/>
            </a:ext>
          </a:extLst>
        </xdr:cNvPr>
        <xdr:cNvPicPr>
          <a:picLocks noChangeAspect="1"/>
        </xdr:cNvPicPr>
      </xdr:nvPicPr>
      <xdr:blipFill>
        <a:blip xmlns:r="http://schemas.openxmlformats.org/officeDocument/2006/relationships" r:embed="rId3"/>
        <a:stretch>
          <a:fillRect/>
        </a:stretch>
      </xdr:blipFill>
      <xdr:spPr>
        <a:xfrm>
          <a:off x="139700" y="72777350"/>
          <a:ext cx="173878" cy="222597"/>
        </a:xfrm>
        <a:prstGeom prst="rect">
          <a:avLst/>
        </a:prstGeom>
      </xdr:spPr>
    </xdr:pic>
    <xdr:clientData/>
  </xdr:twoCellAnchor>
  <xdr:twoCellAnchor editAs="oneCell">
    <xdr:from>
      <xdr:col>28</xdr:col>
      <xdr:colOff>0</xdr:colOff>
      <xdr:row>362</xdr:row>
      <xdr:rowOff>0</xdr:rowOff>
    </xdr:from>
    <xdr:to>
      <xdr:col>28</xdr:col>
      <xdr:colOff>822143</xdr:colOff>
      <xdr:row>363</xdr:row>
      <xdr:rowOff>58772</xdr:rowOff>
    </xdr:to>
    <xdr:pic>
      <xdr:nvPicPr>
        <xdr:cNvPr id="10" name="Picture 9">
          <a:extLst>
            <a:ext uri="{FF2B5EF4-FFF2-40B4-BE49-F238E27FC236}">
              <a16:creationId xmlns:a16="http://schemas.microsoft.com/office/drawing/2014/main" id="{3FF4949D-05D1-4921-A716-375DF3D20C31}"/>
            </a:ext>
          </a:extLst>
        </xdr:cNvPr>
        <xdr:cNvPicPr>
          <a:picLocks noChangeAspect="1"/>
        </xdr:cNvPicPr>
      </xdr:nvPicPr>
      <xdr:blipFill>
        <a:blip xmlns:r="http://schemas.openxmlformats.org/officeDocument/2006/relationships" r:embed="rId4"/>
        <a:stretch>
          <a:fillRect/>
        </a:stretch>
      </xdr:blipFill>
      <xdr:spPr>
        <a:xfrm>
          <a:off x="27025600" y="72650350"/>
          <a:ext cx="825953" cy="280387"/>
        </a:xfrm>
        <a:prstGeom prst="rect">
          <a:avLst/>
        </a:prstGeom>
      </xdr:spPr>
    </xdr:pic>
    <xdr:clientData/>
  </xdr:twoCellAnchor>
  <xdr:twoCellAnchor editAs="oneCell">
    <xdr:from>
      <xdr:col>28</xdr:col>
      <xdr:colOff>63500</xdr:colOff>
      <xdr:row>232</xdr:row>
      <xdr:rowOff>88900</xdr:rowOff>
    </xdr:from>
    <xdr:to>
      <xdr:col>28</xdr:col>
      <xdr:colOff>896438</xdr:colOff>
      <xdr:row>233</xdr:row>
      <xdr:rowOff>173887</xdr:rowOff>
    </xdr:to>
    <xdr:pic>
      <xdr:nvPicPr>
        <xdr:cNvPr id="11" name="Picture 10">
          <a:extLst>
            <a:ext uri="{FF2B5EF4-FFF2-40B4-BE49-F238E27FC236}">
              <a16:creationId xmlns:a16="http://schemas.microsoft.com/office/drawing/2014/main" id="{0F522A4E-ECAA-44BA-922A-E9C1393F0741}"/>
            </a:ext>
          </a:extLst>
        </xdr:cNvPr>
        <xdr:cNvPicPr>
          <a:picLocks noChangeAspect="1"/>
        </xdr:cNvPicPr>
      </xdr:nvPicPr>
      <xdr:blipFill>
        <a:blip xmlns:r="http://schemas.openxmlformats.org/officeDocument/2006/relationships" r:embed="rId4"/>
        <a:stretch>
          <a:fillRect/>
        </a:stretch>
      </xdr:blipFill>
      <xdr:spPr>
        <a:xfrm>
          <a:off x="27089100" y="47002700"/>
          <a:ext cx="829128" cy="289457"/>
        </a:xfrm>
        <a:prstGeom prst="rect">
          <a:avLst/>
        </a:prstGeom>
      </xdr:spPr>
    </xdr:pic>
    <xdr:clientData/>
  </xdr:twoCellAnchor>
  <xdr:twoCellAnchor editAs="oneCell">
    <xdr:from>
      <xdr:col>28</xdr:col>
      <xdr:colOff>25400</xdr:colOff>
      <xdr:row>129</xdr:row>
      <xdr:rowOff>76200</xdr:rowOff>
    </xdr:from>
    <xdr:to>
      <xdr:col>28</xdr:col>
      <xdr:colOff>858338</xdr:colOff>
      <xdr:row>130</xdr:row>
      <xdr:rowOff>171982</xdr:rowOff>
    </xdr:to>
    <xdr:pic>
      <xdr:nvPicPr>
        <xdr:cNvPr id="12" name="Picture 11">
          <a:extLst>
            <a:ext uri="{FF2B5EF4-FFF2-40B4-BE49-F238E27FC236}">
              <a16:creationId xmlns:a16="http://schemas.microsoft.com/office/drawing/2014/main" id="{2057A188-3885-4F88-A031-DAC2D4DB0D00}"/>
            </a:ext>
          </a:extLst>
        </xdr:cNvPr>
        <xdr:cNvPicPr>
          <a:picLocks noChangeAspect="1"/>
        </xdr:cNvPicPr>
      </xdr:nvPicPr>
      <xdr:blipFill>
        <a:blip xmlns:r="http://schemas.openxmlformats.org/officeDocument/2006/relationships" r:embed="rId4"/>
        <a:stretch>
          <a:fillRect/>
        </a:stretch>
      </xdr:blipFill>
      <xdr:spPr>
        <a:xfrm>
          <a:off x="27051000" y="26625550"/>
          <a:ext cx="829128" cy="283107"/>
        </a:xfrm>
        <a:prstGeom prst="rect">
          <a:avLst/>
        </a:prstGeom>
      </xdr:spPr>
    </xdr:pic>
    <xdr:clientData/>
  </xdr:twoCellAnchor>
  <xdr:twoCellAnchor editAs="oneCell">
    <xdr:from>
      <xdr:col>28</xdr:col>
      <xdr:colOff>0</xdr:colOff>
      <xdr:row>51</xdr:row>
      <xdr:rowOff>0</xdr:rowOff>
    </xdr:from>
    <xdr:to>
      <xdr:col>28</xdr:col>
      <xdr:colOff>822143</xdr:colOff>
      <xdr:row>52</xdr:row>
      <xdr:rowOff>95783</xdr:rowOff>
    </xdr:to>
    <xdr:pic>
      <xdr:nvPicPr>
        <xdr:cNvPr id="13" name="Picture 12">
          <a:extLst>
            <a:ext uri="{FF2B5EF4-FFF2-40B4-BE49-F238E27FC236}">
              <a16:creationId xmlns:a16="http://schemas.microsoft.com/office/drawing/2014/main" id="{6DFFEA2D-DB81-4E1C-A675-DA0036E1B98C}"/>
            </a:ext>
          </a:extLst>
        </xdr:cNvPr>
        <xdr:cNvPicPr>
          <a:picLocks noChangeAspect="1"/>
        </xdr:cNvPicPr>
      </xdr:nvPicPr>
      <xdr:blipFill>
        <a:blip xmlns:r="http://schemas.openxmlformats.org/officeDocument/2006/relationships" r:embed="rId4"/>
        <a:stretch>
          <a:fillRect/>
        </a:stretch>
      </xdr:blipFill>
      <xdr:spPr>
        <a:xfrm>
          <a:off x="27025600" y="10547350"/>
          <a:ext cx="825953" cy="2831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28</xdr:col>
      <xdr:colOff>1095375</xdr:colOff>
      <xdr:row>345</xdr:row>
      <xdr:rowOff>123825</xdr:rowOff>
    </xdr:from>
    <xdr:to>
      <xdr:col>28</xdr:col>
      <xdr:colOff>1895475</xdr:colOff>
      <xdr:row>347</xdr:row>
      <xdr:rowOff>152400</xdr:rowOff>
    </xdr:to>
    <xdr:pic>
      <xdr:nvPicPr>
        <xdr:cNvPr id="2" name="Picture 1" descr="C:\WINDOWS\TEMP\~0003946.gif">
          <a:extLst>
            <a:ext uri="{FF2B5EF4-FFF2-40B4-BE49-F238E27FC236}">
              <a16:creationId xmlns:a16="http://schemas.microsoft.com/office/drawing/2014/main" id="{03048A10-D093-43D7-B5A7-92997B4D6DB7}"/>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06675" y="7277417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232</xdr:row>
      <xdr:rowOff>152400</xdr:rowOff>
    </xdr:from>
    <xdr:to>
      <xdr:col>28</xdr:col>
      <xdr:colOff>1924050</xdr:colOff>
      <xdr:row>233</xdr:row>
      <xdr:rowOff>180975</xdr:rowOff>
    </xdr:to>
    <xdr:pic>
      <xdr:nvPicPr>
        <xdr:cNvPr id="3" name="Picture 2" descr="C:\WINDOWS\TEMP\~0003946.gif">
          <a:extLst>
            <a:ext uri="{FF2B5EF4-FFF2-40B4-BE49-F238E27FC236}">
              <a16:creationId xmlns:a16="http://schemas.microsoft.com/office/drawing/2014/main" id="{4BE404EC-18EA-4D56-A092-956ABA2209FF}"/>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09850" y="470662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129</xdr:row>
      <xdr:rowOff>161925</xdr:rowOff>
    </xdr:from>
    <xdr:to>
      <xdr:col>28</xdr:col>
      <xdr:colOff>1952625</xdr:colOff>
      <xdr:row>130</xdr:row>
      <xdr:rowOff>190500</xdr:rowOff>
    </xdr:to>
    <xdr:pic>
      <xdr:nvPicPr>
        <xdr:cNvPr id="4" name="Picture 3" descr="C:\WINDOWS\TEMP\~0003946.gif">
          <a:extLst>
            <a:ext uri="{FF2B5EF4-FFF2-40B4-BE49-F238E27FC236}">
              <a16:creationId xmlns:a16="http://schemas.microsoft.com/office/drawing/2014/main" id="{DC71FC05-6E6A-4487-8D8C-8857FCB6B76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06675" y="267112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E47DD266-CDEC-4723-810E-13072008B35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06675" y="107092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321198</xdr:colOff>
      <xdr:row>52</xdr:row>
      <xdr:rowOff>132608</xdr:rowOff>
    </xdr:to>
    <xdr:pic>
      <xdr:nvPicPr>
        <xdr:cNvPr id="6" name="Picture 5">
          <a:extLst>
            <a:ext uri="{FF2B5EF4-FFF2-40B4-BE49-F238E27FC236}">
              <a16:creationId xmlns:a16="http://schemas.microsoft.com/office/drawing/2014/main" id="{27354313-294A-46BE-A8AD-94F367C5730B}"/>
            </a:ext>
          </a:extLst>
        </xdr:cNvPr>
        <xdr:cNvPicPr>
          <a:picLocks noChangeAspect="1"/>
        </xdr:cNvPicPr>
      </xdr:nvPicPr>
      <xdr:blipFill>
        <a:blip xmlns:r="http://schemas.openxmlformats.org/officeDocument/2006/relationships" r:embed="rId3"/>
        <a:stretch>
          <a:fillRect/>
        </a:stretch>
      </xdr:blipFill>
      <xdr:spPr>
        <a:xfrm>
          <a:off x="139700" y="10661650"/>
          <a:ext cx="181498" cy="215158"/>
        </a:xfrm>
        <a:prstGeom prst="rect">
          <a:avLst/>
        </a:prstGeom>
      </xdr:spPr>
    </xdr:pic>
    <xdr:clientData/>
  </xdr:twoCellAnchor>
  <xdr:twoCellAnchor editAs="oneCell">
    <xdr:from>
      <xdr:col>0</xdr:col>
      <xdr:colOff>165100</xdr:colOff>
      <xdr:row>129</xdr:row>
      <xdr:rowOff>177800</xdr:rowOff>
    </xdr:from>
    <xdr:to>
      <xdr:col>1</xdr:col>
      <xdr:colOff>523</xdr:colOff>
      <xdr:row>130</xdr:row>
      <xdr:rowOff>206902</xdr:rowOff>
    </xdr:to>
    <xdr:pic>
      <xdr:nvPicPr>
        <xdr:cNvPr id="7" name="Picture 6">
          <a:extLst>
            <a:ext uri="{FF2B5EF4-FFF2-40B4-BE49-F238E27FC236}">
              <a16:creationId xmlns:a16="http://schemas.microsoft.com/office/drawing/2014/main" id="{05FB4C0C-716B-468F-AC5E-53B0E0206BF8}"/>
            </a:ext>
          </a:extLst>
        </xdr:cNvPr>
        <xdr:cNvPicPr>
          <a:picLocks noChangeAspect="1"/>
        </xdr:cNvPicPr>
      </xdr:nvPicPr>
      <xdr:blipFill>
        <a:blip xmlns:r="http://schemas.openxmlformats.org/officeDocument/2006/relationships" r:embed="rId3"/>
        <a:stretch>
          <a:fillRect/>
        </a:stretch>
      </xdr:blipFill>
      <xdr:spPr>
        <a:xfrm>
          <a:off x="165100" y="26727150"/>
          <a:ext cx="165623" cy="225952"/>
        </a:xfrm>
        <a:prstGeom prst="rect">
          <a:avLst/>
        </a:prstGeom>
      </xdr:spPr>
    </xdr:pic>
    <xdr:clientData/>
  </xdr:twoCellAnchor>
  <xdr:twoCellAnchor editAs="oneCell">
    <xdr:from>
      <xdr:col>0</xdr:col>
      <xdr:colOff>139700</xdr:colOff>
      <xdr:row>232</xdr:row>
      <xdr:rowOff>152400</xdr:rowOff>
    </xdr:from>
    <xdr:to>
      <xdr:col>0</xdr:col>
      <xdr:colOff>321198</xdr:colOff>
      <xdr:row>233</xdr:row>
      <xdr:rowOff>170707</xdr:rowOff>
    </xdr:to>
    <xdr:pic>
      <xdr:nvPicPr>
        <xdr:cNvPr id="8" name="Picture 7">
          <a:extLst>
            <a:ext uri="{FF2B5EF4-FFF2-40B4-BE49-F238E27FC236}">
              <a16:creationId xmlns:a16="http://schemas.microsoft.com/office/drawing/2014/main" id="{EBAC14C4-8459-411F-A482-0BE043FF349B}"/>
            </a:ext>
          </a:extLst>
        </xdr:cNvPr>
        <xdr:cNvPicPr>
          <a:picLocks noChangeAspect="1"/>
        </xdr:cNvPicPr>
      </xdr:nvPicPr>
      <xdr:blipFill>
        <a:blip xmlns:r="http://schemas.openxmlformats.org/officeDocument/2006/relationships" r:embed="rId3"/>
        <a:stretch>
          <a:fillRect/>
        </a:stretch>
      </xdr:blipFill>
      <xdr:spPr>
        <a:xfrm>
          <a:off x="139700" y="47066200"/>
          <a:ext cx="181498" cy="215157"/>
        </a:xfrm>
        <a:prstGeom prst="rect">
          <a:avLst/>
        </a:prstGeom>
      </xdr:spPr>
    </xdr:pic>
    <xdr:clientData/>
  </xdr:twoCellAnchor>
  <xdr:twoCellAnchor editAs="oneCell">
    <xdr:from>
      <xdr:col>0</xdr:col>
      <xdr:colOff>139700</xdr:colOff>
      <xdr:row>345</xdr:row>
      <xdr:rowOff>127000</xdr:rowOff>
    </xdr:from>
    <xdr:to>
      <xdr:col>0</xdr:col>
      <xdr:colOff>321198</xdr:colOff>
      <xdr:row>346</xdr:row>
      <xdr:rowOff>114648</xdr:rowOff>
    </xdr:to>
    <xdr:pic>
      <xdr:nvPicPr>
        <xdr:cNvPr id="9" name="Picture 8">
          <a:extLst>
            <a:ext uri="{FF2B5EF4-FFF2-40B4-BE49-F238E27FC236}">
              <a16:creationId xmlns:a16="http://schemas.microsoft.com/office/drawing/2014/main" id="{CF1E3C2C-C177-40FF-85B9-886B16A4900A}"/>
            </a:ext>
          </a:extLst>
        </xdr:cNvPr>
        <xdr:cNvPicPr>
          <a:picLocks noChangeAspect="1"/>
        </xdr:cNvPicPr>
      </xdr:nvPicPr>
      <xdr:blipFill>
        <a:blip xmlns:r="http://schemas.openxmlformats.org/officeDocument/2006/relationships" r:embed="rId3"/>
        <a:stretch>
          <a:fillRect/>
        </a:stretch>
      </xdr:blipFill>
      <xdr:spPr>
        <a:xfrm>
          <a:off x="139700" y="72777350"/>
          <a:ext cx="181498" cy="222597"/>
        </a:xfrm>
        <a:prstGeom prst="rect">
          <a:avLst/>
        </a:prstGeom>
      </xdr:spPr>
    </xdr:pic>
    <xdr:clientData/>
  </xdr:twoCellAnchor>
  <xdr:twoCellAnchor editAs="oneCell">
    <xdr:from>
      <xdr:col>28</xdr:col>
      <xdr:colOff>0</xdr:colOff>
      <xdr:row>345</xdr:row>
      <xdr:rowOff>0</xdr:rowOff>
    </xdr:from>
    <xdr:to>
      <xdr:col>28</xdr:col>
      <xdr:colOff>822143</xdr:colOff>
      <xdr:row>346</xdr:row>
      <xdr:rowOff>58773</xdr:rowOff>
    </xdr:to>
    <xdr:pic>
      <xdr:nvPicPr>
        <xdr:cNvPr id="10" name="Picture 9">
          <a:extLst>
            <a:ext uri="{FF2B5EF4-FFF2-40B4-BE49-F238E27FC236}">
              <a16:creationId xmlns:a16="http://schemas.microsoft.com/office/drawing/2014/main" id="{1F284265-F90D-4598-9A85-14D66519F42E}"/>
            </a:ext>
          </a:extLst>
        </xdr:cNvPr>
        <xdr:cNvPicPr>
          <a:picLocks noChangeAspect="1"/>
        </xdr:cNvPicPr>
      </xdr:nvPicPr>
      <xdr:blipFill>
        <a:blip xmlns:r="http://schemas.openxmlformats.org/officeDocument/2006/relationships" r:embed="rId4"/>
        <a:stretch>
          <a:fillRect/>
        </a:stretch>
      </xdr:blipFill>
      <xdr:spPr>
        <a:xfrm>
          <a:off x="27025600" y="72650350"/>
          <a:ext cx="822143" cy="293722"/>
        </a:xfrm>
        <a:prstGeom prst="rect">
          <a:avLst/>
        </a:prstGeom>
      </xdr:spPr>
    </xdr:pic>
    <xdr:clientData/>
  </xdr:twoCellAnchor>
  <xdr:twoCellAnchor editAs="oneCell">
    <xdr:from>
      <xdr:col>28</xdr:col>
      <xdr:colOff>63500</xdr:colOff>
      <xdr:row>232</xdr:row>
      <xdr:rowOff>88900</xdr:rowOff>
    </xdr:from>
    <xdr:to>
      <xdr:col>28</xdr:col>
      <xdr:colOff>896438</xdr:colOff>
      <xdr:row>233</xdr:row>
      <xdr:rowOff>173887</xdr:rowOff>
    </xdr:to>
    <xdr:pic>
      <xdr:nvPicPr>
        <xdr:cNvPr id="11" name="Picture 10">
          <a:extLst>
            <a:ext uri="{FF2B5EF4-FFF2-40B4-BE49-F238E27FC236}">
              <a16:creationId xmlns:a16="http://schemas.microsoft.com/office/drawing/2014/main" id="{155D0029-6238-4F14-A18A-8C20DA21CEA0}"/>
            </a:ext>
          </a:extLst>
        </xdr:cNvPr>
        <xdr:cNvPicPr>
          <a:picLocks noChangeAspect="1"/>
        </xdr:cNvPicPr>
      </xdr:nvPicPr>
      <xdr:blipFill>
        <a:blip xmlns:r="http://schemas.openxmlformats.org/officeDocument/2006/relationships" r:embed="rId4"/>
        <a:stretch>
          <a:fillRect/>
        </a:stretch>
      </xdr:blipFill>
      <xdr:spPr>
        <a:xfrm>
          <a:off x="27089100" y="47002700"/>
          <a:ext cx="832938" cy="281837"/>
        </a:xfrm>
        <a:prstGeom prst="rect">
          <a:avLst/>
        </a:prstGeom>
      </xdr:spPr>
    </xdr:pic>
    <xdr:clientData/>
  </xdr:twoCellAnchor>
  <xdr:twoCellAnchor editAs="oneCell">
    <xdr:from>
      <xdr:col>28</xdr:col>
      <xdr:colOff>25400</xdr:colOff>
      <xdr:row>129</xdr:row>
      <xdr:rowOff>76200</xdr:rowOff>
    </xdr:from>
    <xdr:to>
      <xdr:col>28</xdr:col>
      <xdr:colOff>858338</xdr:colOff>
      <xdr:row>130</xdr:row>
      <xdr:rowOff>171982</xdr:rowOff>
    </xdr:to>
    <xdr:pic>
      <xdr:nvPicPr>
        <xdr:cNvPr id="12" name="Picture 11">
          <a:extLst>
            <a:ext uri="{FF2B5EF4-FFF2-40B4-BE49-F238E27FC236}">
              <a16:creationId xmlns:a16="http://schemas.microsoft.com/office/drawing/2014/main" id="{54241DB2-487B-494E-A351-4ECE19F4CB3F}"/>
            </a:ext>
          </a:extLst>
        </xdr:cNvPr>
        <xdr:cNvPicPr>
          <a:picLocks noChangeAspect="1"/>
        </xdr:cNvPicPr>
      </xdr:nvPicPr>
      <xdr:blipFill>
        <a:blip xmlns:r="http://schemas.openxmlformats.org/officeDocument/2006/relationships" r:embed="rId4"/>
        <a:stretch>
          <a:fillRect/>
        </a:stretch>
      </xdr:blipFill>
      <xdr:spPr>
        <a:xfrm>
          <a:off x="27051000" y="26625550"/>
          <a:ext cx="832938" cy="292632"/>
        </a:xfrm>
        <a:prstGeom prst="rect">
          <a:avLst/>
        </a:prstGeom>
      </xdr:spPr>
    </xdr:pic>
    <xdr:clientData/>
  </xdr:twoCellAnchor>
  <xdr:twoCellAnchor editAs="oneCell">
    <xdr:from>
      <xdr:col>28</xdr:col>
      <xdr:colOff>0</xdr:colOff>
      <xdr:row>51</xdr:row>
      <xdr:rowOff>0</xdr:rowOff>
    </xdr:from>
    <xdr:to>
      <xdr:col>28</xdr:col>
      <xdr:colOff>822143</xdr:colOff>
      <xdr:row>52</xdr:row>
      <xdr:rowOff>95783</xdr:rowOff>
    </xdr:to>
    <xdr:pic>
      <xdr:nvPicPr>
        <xdr:cNvPr id="13" name="Picture 12">
          <a:extLst>
            <a:ext uri="{FF2B5EF4-FFF2-40B4-BE49-F238E27FC236}">
              <a16:creationId xmlns:a16="http://schemas.microsoft.com/office/drawing/2014/main" id="{C07C8B75-EDF5-4A9F-874D-C9F5977F6580}"/>
            </a:ext>
          </a:extLst>
        </xdr:cNvPr>
        <xdr:cNvPicPr>
          <a:picLocks noChangeAspect="1"/>
        </xdr:cNvPicPr>
      </xdr:nvPicPr>
      <xdr:blipFill>
        <a:blip xmlns:r="http://schemas.openxmlformats.org/officeDocument/2006/relationships" r:embed="rId4"/>
        <a:stretch>
          <a:fillRect/>
        </a:stretch>
      </xdr:blipFill>
      <xdr:spPr>
        <a:xfrm>
          <a:off x="27025600" y="10547350"/>
          <a:ext cx="822143" cy="2926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28</xdr:col>
      <xdr:colOff>1095375</xdr:colOff>
      <xdr:row>345</xdr:row>
      <xdr:rowOff>123825</xdr:rowOff>
    </xdr:from>
    <xdr:to>
      <xdr:col>28</xdr:col>
      <xdr:colOff>1895475</xdr:colOff>
      <xdr:row>347</xdr:row>
      <xdr:rowOff>152400</xdr:rowOff>
    </xdr:to>
    <xdr:pic>
      <xdr:nvPicPr>
        <xdr:cNvPr id="2" name="Picture 1" descr="C:\WINDOWS\TEMP\~0003946.gif">
          <a:extLst>
            <a:ext uri="{FF2B5EF4-FFF2-40B4-BE49-F238E27FC236}">
              <a16:creationId xmlns:a16="http://schemas.microsoft.com/office/drawing/2014/main" id="{B42CD4EE-CD66-48FE-9F13-EF9C6B7924F8}"/>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06675" y="6940232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232</xdr:row>
      <xdr:rowOff>152400</xdr:rowOff>
    </xdr:from>
    <xdr:to>
      <xdr:col>28</xdr:col>
      <xdr:colOff>1924050</xdr:colOff>
      <xdr:row>233</xdr:row>
      <xdr:rowOff>180975</xdr:rowOff>
    </xdr:to>
    <xdr:pic>
      <xdr:nvPicPr>
        <xdr:cNvPr id="3" name="Picture 2" descr="C:\WINDOWS\TEMP\~0003946.gif">
          <a:extLst>
            <a:ext uri="{FF2B5EF4-FFF2-40B4-BE49-F238E27FC236}">
              <a16:creationId xmlns:a16="http://schemas.microsoft.com/office/drawing/2014/main" id="{042E444D-DC10-4A2F-BC13-FEA8B5A7CD7C}"/>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09850" y="470662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129</xdr:row>
      <xdr:rowOff>161925</xdr:rowOff>
    </xdr:from>
    <xdr:to>
      <xdr:col>28</xdr:col>
      <xdr:colOff>1952625</xdr:colOff>
      <xdr:row>130</xdr:row>
      <xdr:rowOff>190500</xdr:rowOff>
    </xdr:to>
    <xdr:pic>
      <xdr:nvPicPr>
        <xdr:cNvPr id="4" name="Picture 3" descr="C:\WINDOWS\TEMP\~0003946.gif">
          <a:extLst>
            <a:ext uri="{FF2B5EF4-FFF2-40B4-BE49-F238E27FC236}">
              <a16:creationId xmlns:a16="http://schemas.microsoft.com/office/drawing/2014/main" id="{53646EA5-2A96-475A-A2B2-043872ADB7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06675" y="267112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661013C5-E57F-4300-974D-896EED5CF76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06675" y="107092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321198</xdr:colOff>
      <xdr:row>52</xdr:row>
      <xdr:rowOff>132608</xdr:rowOff>
    </xdr:to>
    <xdr:pic>
      <xdr:nvPicPr>
        <xdr:cNvPr id="6" name="Picture 5">
          <a:extLst>
            <a:ext uri="{FF2B5EF4-FFF2-40B4-BE49-F238E27FC236}">
              <a16:creationId xmlns:a16="http://schemas.microsoft.com/office/drawing/2014/main" id="{F4993F05-18D3-4DAC-AD8A-C2FBB7DB2D93}"/>
            </a:ext>
          </a:extLst>
        </xdr:cNvPr>
        <xdr:cNvPicPr>
          <a:picLocks noChangeAspect="1"/>
        </xdr:cNvPicPr>
      </xdr:nvPicPr>
      <xdr:blipFill>
        <a:blip xmlns:r="http://schemas.openxmlformats.org/officeDocument/2006/relationships" r:embed="rId3"/>
        <a:stretch>
          <a:fillRect/>
        </a:stretch>
      </xdr:blipFill>
      <xdr:spPr>
        <a:xfrm>
          <a:off x="139700" y="10661650"/>
          <a:ext cx="181498" cy="215158"/>
        </a:xfrm>
        <a:prstGeom prst="rect">
          <a:avLst/>
        </a:prstGeom>
      </xdr:spPr>
    </xdr:pic>
    <xdr:clientData/>
  </xdr:twoCellAnchor>
  <xdr:twoCellAnchor editAs="oneCell">
    <xdr:from>
      <xdr:col>0</xdr:col>
      <xdr:colOff>165100</xdr:colOff>
      <xdr:row>129</xdr:row>
      <xdr:rowOff>177800</xdr:rowOff>
    </xdr:from>
    <xdr:to>
      <xdr:col>1</xdr:col>
      <xdr:colOff>523</xdr:colOff>
      <xdr:row>130</xdr:row>
      <xdr:rowOff>206902</xdr:rowOff>
    </xdr:to>
    <xdr:pic>
      <xdr:nvPicPr>
        <xdr:cNvPr id="7" name="Picture 6">
          <a:extLst>
            <a:ext uri="{FF2B5EF4-FFF2-40B4-BE49-F238E27FC236}">
              <a16:creationId xmlns:a16="http://schemas.microsoft.com/office/drawing/2014/main" id="{66980E01-CEEC-4513-9345-D8F65E4225E7}"/>
            </a:ext>
          </a:extLst>
        </xdr:cNvPr>
        <xdr:cNvPicPr>
          <a:picLocks noChangeAspect="1"/>
        </xdr:cNvPicPr>
      </xdr:nvPicPr>
      <xdr:blipFill>
        <a:blip xmlns:r="http://schemas.openxmlformats.org/officeDocument/2006/relationships" r:embed="rId3"/>
        <a:stretch>
          <a:fillRect/>
        </a:stretch>
      </xdr:blipFill>
      <xdr:spPr>
        <a:xfrm>
          <a:off x="165100" y="26727150"/>
          <a:ext cx="165623" cy="225952"/>
        </a:xfrm>
        <a:prstGeom prst="rect">
          <a:avLst/>
        </a:prstGeom>
      </xdr:spPr>
    </xdr:pic>
    <xdr:clientData/>
  </xdr:twoCellAnchor>
  <xdr:twoCellAnchor editAs="oneCell">
    <xdr:from>
      <xdr:col>0</xdr:col>
      <xdr:colOff>139700</xdr:colOff>
      <xdr:row>232</xdr:row>
      <xdr:rowOff>152400</xdr:rowOff>
    </xdr:from>
    <xdr:to>
      <xdr:col>0</xdr:col>
      <xdr:colOff>321198</xdr:colOff>
      <xdr:row>233</xdr:row>
      <xdr:rowOff>170707</xdr:rowOff>
    </xdr:to>
    <xdr:pic>
      <xdr:nvPicPr>
        <xdr:cNvPr id="8" name="Picture 7">
          <a:extLst>
            <a:ext uri="{FF2B5EF4-FFF2-40B4-BE49-F238E27FC236}">
              <a16:creationId xmlns:a16="http://schemas.microsoft.com/office/drawing/2014/main" id="{96936E11-1B73-458D-988F-D1EA34B8BD01}"/>
            </a:ext>
          </a:extLst>
        </xdr:cNvPr>
        <xdr:cNvPicPr>
          <a:picLocks noChangeAspect="1"/>
        </xdr:cNvPicPr>
      </xdr:nvPicPr>
      <xdr:blipFill>
        <a:blip xmlns:r="http://schemas.openxmlformats.org/officeDocument/2006/relationships" r:embed="rId3"/>
        <a:stretch>
          <a:fillRect/>
        </a:stretch>
      </xdr:blipFill>
      <xdr:spPr>
        <a:xfrm>
          <a:off x="139700" y="47066200"/>
          <a:ext cx="181498" cy="215157"/>
        </a:xfrm>
        <a:prstGeom prst="rect">
          <a:avLst/>
        </a:prstGeom>
      </xdr:spPr>
    </xdr:pic>
    <xdr:clientData/>
  </xdr:twoCellAnchor>
  <xdr:twoCellAnchor editAs="oneCell">
    <xdr:from>
      <xdr:col>0</xdr:col>
      <xdr:colOff>139700</xdr:colOff>
      <xdr:row>345</xdr:row>
      <xdr:rowOff>127000</xdr:rowOff>
    </xdr:from>
    <xdr:to>
      <xdr:col>0</xdr:col>
      <xdr:colOff>321198</xdr:colOff>
      <xdr:row>346</xdr:row>
      <xdr:rowOff>114648</xdr:rowOff>
    </xdr:to>
    <xdr:pic>
      <xdr:nvPicPr>
        <xdr:cNvPr id="9" name="Picture 8">
          <a:extLst>
            <a:ext uri="{FF2B5EF4-FFF2-40B4-BE49-F238E27FC236}">
              <a16:creationId xmlns:a16="http://schemas.microsoft.com/office/drawing/2014/main" id="{90377E78-874B-47FB-90E0-91A0E3B66A84}"/>
            </a:ext>
          </a:extLst>
        </xdr:cNvPr>
        <xdr:cNvPicPr>
          <a:picLocks noChangeAspect="1"/>
        </xdr:cNvPicPr>
      </xdr:nvPicPr>
      <xdr:blipFill>
        <a:blip xmlns:r="http://schemas.openxmlformats.org/officeDocument/2006/relationships" r:embed="rId3"/>
        <a:stretch>
          <a:fillRect/>
        </a:stretch>
      </xdr:blipFill>
      <xdr:spPr>
        <a:xfrm>
          <a:off x="139700" y="69405500"/>
          <a:ext cx="181498" cy="222598"/>
        </a:xfrm>
        <a:prstGeom prst="rect">
          <a:avLst/>
        </a:prstGeom>
      </xdr:spPr>
    </xdr:pic>
    <xdr:clientData/>
  </xdr:twoCellAnchor>
  <xdr:twoCellAnchor editAs="oneCell">
    <xdr:from>
      <xdr:col>28</xdr:col>
      <xdr:colOff>0</xdr:colOff>
      <xdr:row>345</xdr:row>
      <xdr:rowOff>0</xdr:rowOff>
    </xdr:from>
    <xdr:to>
      <xdr:col>28</xdr:col>
      <xdr:colOff>822143</xdr:colOff>
      <xdr:row>346</xdr:row>
      <xdr:rowOff>58773</xdr:rowOff>
    </xdr:to>
    <xdr:pic>
      <xdr:nvPicPr>
        <xdr:cNvPr id="10" name="Picture 9">
          <a:extLst>
            <a:ext uri="{FF2B5EF4-FFF2-40B4-BE49-F238E27FC236}">
              <a16:creationId xmlns:a16="http://schemas.microsoft.com/office/drawing/2014/main" id="{F013472D-C25F-4D0B-BACD-0BDD185F5503}"/>
            </a:ext>
          </a:extLst>
        </xdr:cNvPr>
        <xdr:cNvPicPr>
          <a:picLocks noChangeAspect="1"/>
        </xdr:cNvPicPr>
      </xdr:nvPicPr>
      <xdr:blipFill>
        <a:blip xmlns:r="http://schemas.openxmlformats.org/officeDocument/2006/relationships" r:embed="rId4"/>
        <a:stretch>
          <a:fillRect/>
        </a:stretch>
      </xdr:blipFill>
      <xdr:spPr>
        <a:xfrm>
          <a:off x="27025600" y="69278500"/>
          <a:ext cx="822143" cy="293723"/>
        </a:xfrm>
        <a:prstGeom prst="rect">
          <a:avLst/>
        </a:prstGeom>
      </xdr:spPr>
    </xdr:pic>
    <xdr:clientData/>
  </xdr:twoCellAnchor>
  <xdr:twoCellAnchor editAs="oneCell">
    <xdr:from>
      <xdr:col>28</xdr:col>
      <xdr:colOff>63500</xdr:colOff>
      <xdr:row>232</xdr:row>
      <xdr:rowOff>88900</xdr:rowOff>
    </xdr:from>
    <xdr:to>
      <xdr:col>28</xdr:col>
      <xdr:colOff>896438</xdr:colOff>
      <xdr:row>233</xdr:row>
      <xdr:rowOff>173887</xdr:rowOff>
    </xdr:to>
    <xdr:pic>
      <xdr:nvPicPr>
        <xdr:cNvPr id="11" name="Picture 10">
          <a:extLst>
            <a:ext uri="{FF2B5EF4-FFF2-40B4-BE49-F238E27FC236}">
              <a16:creationId xmlns:a16="http://schemas.microsoft.com/office/drawing/2014/main" id="{B26CE985-4310-42C9-94CA-97BADBF46E8B}"/>
            </a:ext>
          </a:extLst>
        </xdr:cNvPr>
        <xdr:cNvPicPr>
          <a:picLocks noChangeAspect="1"/>
        </xdr:cNvPicPr>
      </xdr:nvPicPr>
      <xdr:blipFill>
        <a:blip xmlns:r="http://schemas.openxmlformats.org/officeDocument/2006/relationships" r:embed="rId4"/>
        <a:stretch>
          <a:fillRect/>
        </a:stretch>
      </xdr:blipFill>
      <xdr:spPr>
        <a:xfrm>
          <a:off x="27089100" y="47002700"/>
          <a:ext cx="832938" cy="281837"/>
        </a:xfrm>
        <a:prstGeom prst="rect">
          <a:avLst/>
        </a:prstGeom>
      </xdr:spPr>
    </xdr:pic>
    <xdr:clientData/>
  </xdr:twoCellAnchor>
  <xdr:twoCellAnchor editAs="oneCell">
    <xdr:from>
      <xdr:col>28</xdr:col>
      <xdr:colOff>25400</xdr:colOff>
      <xdr:row>129</xdr:row>
      <xdr:rowOff>76200</xdr:rowOff>
    </xdr:from>
    <xdr:to>
      <xdr:col>28</xdr:col>
      <xdr:colOff>858338</xdr:colOff>
      <xdr:row>130</xdr:row>
      <xdr:rowOff>171982</xdr:rowOff>
    </xdr:to>
    <xdr:pic>
      <xdr:nvPicPr>
        <xdr:cNvPr id="12" name="Picture 11">
          <a:extLst>
            <a:ext uri="{FF2B5EF4-FFF2-40B4-BE49-F238E27FC236}">
              <a16:creationId xmlns:a16="http://schemas.microsoft.com/office/drawing/2014/main" id="{64D711C0-ABC0-446D-8449-D13DEE08515C}"/>
            </a:ext>
          </a:extLst>
        </xdr:cNvPr>
        <xdr:cNvPicPr>
          <a:picLocks noChangeAspect="1"/>
        </xdr:cNvPicPr>
      </xdr:nvPicPr>
      <xdr:blipFill>
        <a:blip xmlns:r="http://schemas.openxmlformats.org/officeDocument/2006/relationships" r:embed="rId4"/>
        <a:stretch>
          <a:fillRect/>
        </a:stretch>
      </xdr:blipFill>
      <xdr:spPr>
        <a:xfrm>
          <a:off x="27051000" y="26625550"/>
          <a:ext cx="832938" cy="292632"/>
        </a:xfrm>
        <a:prstGeom prst="rect">
          <a:avLst/>
        </a:prstGeom>
      </xdr:spPr>
    </xdr:pic>
    <xdr:clientData/>
  </xdr:twoCellAnchor>
  <xdr:twoCellAnchor editAs="oneCell">
    <xdr:from>
      <xdr:col>28</xdr:col>
      <xdr:colOff>0</xdr:colOff>
      <xdr:row>51</xdr:row>
      <xdr:rowOff>0</xdr:rowOff>
    </xdr:from>
    <xdr:to>
      <xdr:col>28</xdr:col>
      <xdr:colOff>822143</xdr:colOff>
      <xdr:row>52</xdr:row>
      <xdr:rowOff>95783</xdr:rowOff>
    </xdr:to>
    <xdr:pic>
      <xdr:nvPicPr>
        <xdr:cNvPr id="13" name="Picture 12">
          <a:extLst>
            <a:ext uri="{FF2B5EF4-FFF2-40B4-BE49-F238E27FC236}">
              <a16:creationId xmlns:a16="http://schemas.microsoft.com/office/drawing/2014/main" id="{FF1AAD46-80C9-4676-A807-D08CFE6C3534}"/>
            </a:ext>
          </a:extLst>
        </xdr:cNvPr>
        <xdr:cNvPicPr>
          <a:picLocks noChangeAspect="1"/>
        </xdr:cNvPicPr>
      </xdr:nvPicPr>
      <xdr:blipFill>
        <a:blip xmlns:r="http://schemas.openxmlformats.org/officeDocument/2006/relationships" r:embed="rId4"/>
        <a:stretch>
          <a:fillRect/>
        </a:stretch>
      </xdr:blipFill>
      <xdr:spPr>
        <a:xfrm>
          <a:off x="27025600" y="10547350"/>
          <a:ext cx="822143" cy="2926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28</xdr:col>
      <xdr:colOff>1095375</xdr:colOff>
      <xdr:row>345</xdr:row>
      <xdr:rowOff>123825</xdr:rowOff>
    </xdr:from>
    <xdr:to>
      <xdr:col>28</xdr:col>
      <xdr:colOff>1895475</xdr:colOff>
      <xdr:row>347</xdr:row>
      <xdr:rowOff>152400</xdr:rowOff>
    </xdr:to>
    <xdr:pic>
      <xdr:nvPicPr>
        <xdr:cNvPr id="2" name="Picture 1" descr="C:\WINDOWS\TEMP\~0003946.gif">
          <a:extLst>
            <a:ext uri="{FF2B5EF4-FFF2-40B4-BE49-F238E27FC236}">
              <a16:creationId xmlns:a16="http://schemas.microsoft.com/office/drawing/2014/main" id="{68A3F813-57C8-40D0-B3C8-3344CCEDF209}"/>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06675" y="69402325"/>
          <a:ext cx="0" cy="498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1123950</xdr:colOff>
      <xdr:row>232</xdr:row>
      <xdr:rowOff>152400</xdr:rowOff>
    </xdr:from>
    <xdr:to>
      <xdr:col>28</xdr:col>
      <xdr:colOff>1924050</xdr:colOff>
      <xdr:row>233</xdr:row>
      <xdr:rowOff>180975</xdr:rowOff>
    </xdr:to>
    <xdr:pic>
      <xdr:nvPicPr>
        <xdr:cNvPr id="3" name="Picture 2" descr="C:\WINDOWS\TEMP\~0003946.gif">
          <a:extLst>
            <a:ext uri="{FF2B5EF4-FFF2-40B4-BE49-F238E27FC236}">
              <a16:creationId xmlns:a16="http://schemas.microsoft.com/office/drawing/2014/main" id="{EE978F30-BDC6-4EDF-9A7E-34CAAF86CF8E}"/>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09850" y="47066200"/>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129</xdr:row>
      <xdr:rowOff>161925</xdr:rowOff>
    </xdr:from>
    <xdr:to>
      <xdr:col>28</xdr:col>
      <xdr:colOff>1952625</xdr:colOff>
      <xdr:row>130</xdr:row>
      <xdr:rowOff>190500</xdr:rowOff>
    </xdr:to>
    <xdr:pic>
      <xdr:nvPicPr>
        <xdr:cNvPr id="4" name="Picture 3" descr="C:\WINDOWS\TEMP\~0003946.gif">
          <a:extLst>
            <a:ext uri="{FF2B5EF4-FFF2-40B4-BE49-F238E27FC236}">
              <a16:creationId xmlns:a16="http://schemas.microsoft.com/office/drawing/2014/main" id="{285A1A81-061C-47B7-B97C-06A067741FC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06675" y="267112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1152525</xdr:colOff>
      <xdr:row>51</xdr:row>
      <xdr:rowOff>161925</xdr:rowOff>
    </xdr:from>
    <xdr:to>
      <xdr:col>28</xdr:col>
      <xdr:colOff>1952625</xdr:colOff>
      <xdr:row>52</xdr:row>
      <xdr:rowOff>190500</xdr:rowOff>
    </xdr:to>
    <xdr:pic>
      <xdr:nvPicPr>
        <xdr:cNvPr id="5" name="Picture 4" descr="C:\WINDOWS\TEMP\~0003946.gif">
          <a:extLst>
            <a:ext uri="{FF2B5EF4-FFF2-40B4-BE49-F238E27FC236}">
              <a16:creationId xmlns:a16="http://schemas.microsoft.com/office/drawing/2014/main" id="{D40F6558-C34A-4E2E-B8ED-3444733A9FBB}"/>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8006675" y="10709275"/>
          <a:ext cx="0" cy="22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139700</xdr:colOff>
      <xdr:row>51</xdr:row>
      <xdr:rowOff>114300</xdr:rowOff>
    </xdr:from>
    <xdr:to>
      <xdr:col>0</xdr:col>
      <xdr:colOff>321198</xdr:colOff>
      <xdr:row>52</xdr:row>
      <xdr:rowOff>132608</xdr:rowOff>
    </xdr:to>
    <xdr:pic>
      <xdr:nvPicPr>
        <xdr:cNvPr id="6" name="Picture 5">
          <a:extLst>
            <a:ext uri="{FF2B5EF4-FFF2-40B4-BE49-F238E27FC236}">
              <a16:creationId xmlns:a16="http://schemas.microsoft.com/office/drawing/2014/main" id="{E2378108-BA05-448B-9BEE-366F0F80815C}"/>
            </a:ext>
          </a:extLst>
        </xdr:cNvPr>
        <xdr:cNvPicPr>
          <a:picLocks noChangeAspect="1"/>
        </xdr:cNvPicPr>
      </xdr:nvPicPr>
      <xdr:blipFill>
        <a:blip xmlns:r="http://schemas.openxmlformats.org/officeDocument/2006/relationships" r:embed="rId3"/>
        <a:stretch>
          <a:fillRect/>
        </a:stretch>
      </xdr:blipFill>
      <xdr:spPr>
        <a:xfrm>
          <a:off x="139700" y="10661650"/>
          <a:ext cx="181498" cy="215158"/>
        </a:xfrm>
        <a:prstGeom prst="rect">
          <a:avLst/>
        </a:prstGeom>
      </xdr:spPr>
    </xdr:pic>
    <xdr:clientData/>
  </xdr:twoCellAnchor>
  <xdr:twoCellAnchor editAs="oneCell">
    <xdr:from>
      <xdr:col>0</xdr:col>
      <xdr:colOff>165100</xdr:colOff>
      <xdr:row>129</xdr:row>
      <xdr:rowOff>177800</xdr:rowOff>
    </xdr:from>
    <xdr:to>
      <xdr:col>1</xdr:col>
      <xdr:colOff>523</xdr:colOff>
      <xdr:row>130</xdr:row>
      <xdr:rowOff>206902</xdr:rowOff>
    </xdr:to>
    <xdr:pic>
      <xdr:nvPicPr>
        <xdr:cNvPr id="7" name="Picture 6">
          <a:extLst>
            <a:ext uri="{FF2B5EF4-FFF2-40B4-BE49-F238E27FC236}">
              <a16:creationId xmlns:a16="http://schemas.microsoft.com/office/drawing/2014/main" id="{C6BB35E3-90B6-4381-82E0-B4DD9C368E9B}"/>
            </a:ext>
          </a:extLst>
        </xdr:cNvPr>
        <xdr:cNvPicPr>
          <a:picLocks noChangeAspect="1"/>
        </xdr:cNvPicPr>
      </xdr:nvPicPr>
      <xdr:blipFill>
        <a:blip xmlns:r="http://schemas.openxmlformats.org/officeDocument/2006/relationships" r:embed="rId3"/>
        <a:stretch>
          <a:fillRect/>
        </a:stretch>
      </xdr:blipFill>
      <xdr:spPr>
        <a:xfrm>
          <a:off x="165100" y="26727150"/>
          <a:ext cx="165623" cy="225952"/>
        </a:xfrm>
        <a:prstGeom prst="rect">
          <a:avLst/>
        </a:prstGeom>
      </xdr:spPr>
    </xdr:pic>
    <xdr:clientData/>
  </xdr:twoCellAnchor>
  <xdr:twoCellAnchor editAs="oneCell">
    <xdr:from>
      <xdr:col>0</xdr:col>
      <xdr:colOff>139700</xdr:colOff>
      <xdr:row>232</xdr:row>
      <xdr:rowOff>152400</xdr:rowOff>
    </xdr:from>
    <xdr:to>
      <xdr:col>0</xdr:col>
      <xdr:colOff>321198</xdr:colOff>
      <xdr:row>233</xdr:row>
      <xdr:rowOff>170707</xdr:rowOff>
    </xdr:to>
    <xdr:pic>
      <xdr:nvPicPr>
        <xdr:cNvPr id="8" name="Picture 7">
          <a:extLst>
            <a:ext uri="{FF2B5EF4-FFF2-40B4-BE49-F238E27FC236}">
              <a16:creationId xmlns:a16="http://schemas.microsoft.com/office/drawing/2014/main" id="{DE734F5D-33C1-4BED-BCB8-1D7A3A41925A}"/>
            </a:ext>
          </a:extLst>
        </xdr:cNvPr>
        <xdr:cNvPicPr>
          <a:picLocks noChangeAspect="1"/>
        </xdr:cNvPicPr>
      </xdr:nvPicPr>
      <xdr:blipFill>
        <a:blip xmlns:r="http://schemas.openxmlformats.org/officeDocument/2006/relationships" r:embed="rId3"/>
        <a:stretch>
          <a:fillRect/>
        </a:stretch>
      </xdr:blipFill>
      <xdr:spPr>
        <a:xfrm>
          <a:off x="139700" y="47066200"/>
          <a:ext cx="181498" cy="215157"/>
        </a:xfrm>
        <a:prstGeom prst="rect">
          <a:avLst/>
        </a:prstGeom>
      </xdr:spPr>
    </xdr:pic>
    <xdr:clientData/>
  </xdr:twoCellAnchor>
  <xdr:twoCellAnchor editAs="oneCell">
    <xdr:from>
      <xdr:col>0</xdr:col>
      <xdr:colOff>139700</xdr:colOff>
      <xdr:row>345</xdr:row>
      <xdr:rowOff>127000</xdr:rowOff>
    </xdr:from>
    <xdr:to>
      <xdr:col>0</xdr:col>
      <xdr:colOff>321198</xdr:colOff>
      <xdr:row>346</xdr:row>
      <xdr:rowOff>114648</xdr:rowOff>
    </xdr:to>
    <xdr:pic>
      <xdr:nvPicPr>
        <xdr:cNvPr id="9" name="Picture 8">
          <a:extLst>
            <a:ext uri="{FF2B5EF4-FFF2-40B4-BE49-F238E27FC236}">
              <a16:creationId xmlns:a16="http://schemas.microsoft.com/office/drawing/2014/main" id="{C3C541F2-2268-43DF-9C95-206E8C278998}"/>
            </a:ext>
          </a:extLst>
        </xdr:cNvPr>
        <xdr:cNvPicPr>
          <a:picLocks noChangeAspect="1"/>
        </xdr:cNvPicPr>
      </xdr:nvPicPr>
      <xdr:blipFill>
        <a:blip xmlns:r="http://schemas.openxmlformats.org/officeDocument/2006/relationships" r:embed="rId3"/>
        <a:stretch>
          <a:fillRect/>
        </a:stretch>
      </xdr:blipFill>
      <xdr:spPr>
        <a:xfrm>
          <a:off x="139700" y="69405500"/>
          <a:ext cx="181498" cy="222598"/>
        </a:xfrm>
        <a:prstGeom prst="rect">
          <a:avLst/>
        </a:prstGeom>
      </xdr:spPr>
    </xdr:pic>
    <xdr:clientData/>
  </xdr:twoCellAnchor>
  <xdr:twoCellAnchor editAs="oneCell">
    <xdr:from>
      <xdr:col>28</xdr:col>
      <xdr:colOff>0</xdr:colOff>
      <xdr:row>345</xdr:row>
      <xdr:rowOff>0</xdr:rowOff>
    </xdr:from>
    <xdr:to>
      <xdr:col>28</xdr:col>
      <xdr:colOff>822143</xdr:colOff>
      <xdr:row>346</xdr:row>
      <xdr:rowOff>58773</xdr:rowOff>
    </xdr:to>
    <xdr:pic>
      <xdr:nvPicPr>
        <xdr:cNvPr id="10" name="Picture 9">
          <a:extLst>
            <a:ext uri="{FF2B5EF4-FFF2-40B4-BE49-F238E27FC236}">
              <a16:creationId xmlns:a16="http://schemas.microsoft.com/office/drawing/2014/main" id="{24AAA010-18AD-432A-A26E-04E21E7A7E35}"/>
            </a:ext>
          </a:extLst>
        </xdr:cNvPr>
        <xdr:cNvPicPr>
          <a:picLocks noChangeAspect="1"/>
        </xdr:cNvPicPr>
      </xdr:nvPicPr>
      <xdr:blipFill>
        <a:blip xmlns:r="http://schemas.openxmlformats.org/officeDocument/2006/relationships" r:embed="rId4"/>
        <a:stretch>
          <a:fillRect/>
        </a:stretch>
      </xdr:blipFill>
      <xdr:spPr>
        <a:xfrm>
          <a:off x="27025600" y="69278500"/>
          <a:ext cx="822143" cy="293723"/>
        </a:xfrm>
        <a:prstGeom prst="rect">
          <a:avLst/>
        </a:prstGeom>
      </xdr:spPr>
    </xdr:pic>
    <xdr:clientData/>
  </xdr:twoCellAnchor>
  <xdr:twoCellAnchor editAs="oneCell">
    <xdr:from>
      <xdr:col>28</xdr:col>
      <xdr:colOff>63500</xdr:colOff>
      <xdr:row>232</xdr:row>
      <xdr:rowOff>88900</xdr:rowOff>
    </xdr:from>
    <xdr:to>
      <xdr:col>28</xdr:col>
      <xdr:colOff>896438</xdr:colOff>
      <xdr:row>233</xdr:row>
      <xdr:rowOff>173887</xdr:rowOff>
    </xdr:to>
    <xdr:pic>
      <xdr:nvPicPr>
        <xdr:cNvPr id="11" name="Picture 10">
          <a:extLst>
            <a:ext uri="{FF2B5EF4-FFF2-40B4-BE49-F238E27FC236}">
              <a16:creationId xmlns:a16="http://schemas.microsoft.com/office/drawing/2014/main" id="{6433726B-8100-4CD6-9890-9D68C3CC73C8}"/>
            </a:ext>
          </a:extLst>
        </xdr:cNvPr>
        <xdr:cNvPicPr>
          <a:picLocks noChangeAspect="1"/>
        </xdr:cNvPicPr>
      </xdr:nvPicPr>
      <xdr:blipFill>
        <a:blip xmlns:r="http://schemas.openxmlformats.org/officeDocument/2006/relationships" r:embed="rId4"/>
        <a:stretch>
          <a:fillRect/>
        </a:stretch>
      </xdr:blipFill>
      <xdr:spPr>
        <a:xfrm>
          <a:off x="27089100" y="47002700"/>
          <a:ext cx="832938" cy="281837"/>
        </a:xfrm>
        <a:prstGeom prst="rect">
          <a:avLst/>
        </a:prstGeom>
      </xdr:spPr>
    </xdr:pic>
    <xdr:clientData/>
  </xdr:twoCellAnchor>
  <xdr:twoCellAnchor editAs="oneCell">
    <xdr:from>
      <xdr:col>28</xdr:col>
      <xdr:colOff>25400</xdr:colOff>
      <xdr:row>129</xdr:row>
      <xdr:rowOff>76200</xdr:rowOff>
    </xdr:from>
    <xdr:to>
      <xdr:col>28</xdr:col>
      <xdr:colOff>858338</xdr:colOff>
      <xdr:row>130</xdr:row>
      <xdr:rowOff>171982</xdr:rowOff>
    </xdr:to>
    <xdr:pic>
      <xdr:nvPicPr>
        <xdr:cNvPr id="12" name="Picture 11">
          <a:extLst>
            <a:ext uri="{FF2B5EF4-FFF2-40B4-BE49-F238E27FC236}">
              <a16:creationId xmlns:a16="http://schemas.microsoft.com/office/drawing/2014/main" id="{BD8EF1C1-E277-4D63-B9D3-72935669FE79}"/>
            </a:ext>
          </a:extLst>
        </xdr:cNvPr>
        <xdr:cNvPicPr>
          <a:picLocks noChangeAspect="1"/>
        </xdr:cNvPicPr>
      </xdr:nvPicPr>
      <xdr:blipFill>
        <a:blip xmlns:r="http://schemas.openxmlformats.org/officeDocument/2006/relationships" r:embed="rId4"/>
        <a:stretch>
          <a:fillRect/>
        </a:stretch>
      </xdr:blipFill>
      <xdr:spPr>
        <a:xfrm>
          <a:off x="27051000" y="26625550"/>
          <a:ext cx="832938" cy="292632"/>
        </a:xfrm>
        <a:prstGeom prst="rect">
          <a:avLst/>
        </a:prstGeom>
      </xdr:spPr>
    </xdr:pic>
    <xdr:clientData/>
  </xdr:twoCellAnchor>
  <xdr:twoCellAnchor editAs="oneCell">
    <xdr:from>
      <xdr:col>28</xdr:col>
      <xdr:colOff>0</xdr:colOff>
      <xdr:row>51</xdr:row>
      <xdr:rowOff>0</xdr:rowOff>
    </xdr:from>
    <xdr:to>
      <xdr:col>28</xdr:col>
      <xdr:colOff>822143</xdr:colOff>
      <xdr:row>52</xdr:row>
      <xdr:rowOff>95783</xdr:rowOff>
    </xdr:to>
    <xdr:pic>
      <xdr:nvPicPr>
        <xdr:cNvPr id="13" name="Picture 12">
          <a:extLst>
            <a:ext uri="{FF2B5EF4-FFF2-40B4-BE49-F238E27FC236}">
              <a16:creationId xmlns:a16="http://schemas.microsoft.com/office/drawing/2014/main" id="{5CE5AE18-7E90-4BDE-A584-BD03EA6F720F}"/>
            </a:ext>
          </a:extLst>
        </xdr:cNvPr>
        <xdr:cNvPicPr>
          <a:picLocks noChangeAspect="1"/>
        </xdr:cNvPicPr>
      </xdr:nvPicPr>
      <xdr:blipFill>
        <a:blip xmlns:r="http://schemas.openxmlformats.org/officeDocument/2006/relationships" r:embed="rId4"/>
        <a:stretch>
          <a:fillRect/>
        </a:stretch>
      </xdr:blipFill>
      <xdr:spPr>
        <a:xfrm>
          <a:off x="27025600" y="10547350"/>
          <a:ext cx="822143" cy="29263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0.xml"/><Relationship Id="rId5" Type="http://schemas.openxmlformats.org/officeDocument/2006/relationships/printerSettings" Target="../printerSettings/printerSettings10.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1.xml"/><Relationship Id="rId5" Type="http://schemas.openxmlformats.org/officeDocument/2006/relationships/printerSettings" Target="../printerSettings/printerSettings11.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2.xml"/><Relationship Id="rId5" Type="http://schemas.openxmlformats.org/officeDocument/2006/relationships/printerSettings" Target="../printerSettings/printerSettings12.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4.xml"/><Relationship Id="rId5" Type="http://schemas.openxmlformats.org/officeDocument/2006/relationships/printerSettings" Target="../printerSettings/printerSettings14.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5.xml"/><Relationship Id="rId5" Type="http://schemas.openxmlformats.org/officeDocument/2006/relationships/printerSettings" Target="../printerSettings/printerSettings15.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16.xml"/><Relationship Id="rId5" Type="http://schemas.openxmlformats.org/officeDocument/2006/relationships/printerSettings" Target="../printerSettings/printerSettings16.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6.xml"/><Relationship Id="rId5" Type="http://schemas.openxmlformats.org/officeDocument/2006/relationships/printerSettings" Target="../printerSettings/printerSettings6.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7.xml"/><Relationship Id="rId5" Type="http://schemas.openxmlformats.org/officeDocument/2006/relationships/printerSettings" Target="../printerSettings/printerSettings7.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www.paragonbankinggroup.co.uk/" TargetMode="External"/><Relationship Id="rId2" Type="http://schemas.openxmlformats.org/officeDocument/2006/relationships/hyperlink" Target="http://www.paragonbankinggroup.co.uk/" TargetMode="External"/><Relationship Id="rId1" Type="http://schemas.openxmlformats.org/officeDocument/2006/relationships/hyperlink" Target="http://www.paragon-group.co.uk/"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investorreporting.paragonbankinggroup.co.uk/bondinvestor_viewer/resources/bondinvestor/pdf/investornews/2021/libor-mortgages-transition-july-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244E9-ED8F-47AF-8D09-0861D784C18A}">
  <sheetPr>
    <tabColor rgb="FF89CB31"/>
  </sheetPr>
  <dimension ref="A1:JB385"/>
  <sheetViews>
    <sheetView showGridLines="0" showOutlineSymbols="0" zoomScale="70" zoomScaleNormal="70" workbookViewId="0"/>
  </sheetViews>
  <sheetFormatPr defaultColWidth="9.81640625" defaultRowHeight="15.6" x14ac:dyDescent="0.3"/>
  <cols>
    <col min="1" max="1" width="4" style="6" customWidth="1"/>
    <col min="2" max="2" width="71.08984375" style="6" customWidth="1"/>
    <col min="3" max="3" width="2.08984375" style="6" customWidth="1"/>
    <col min="4" max="4" width="16.08984375" style="6" customWidth="1"/>
    <col min="5" max="5" width="2.81640625" style="6" customWidth="1"/>
    <col min="6" max="6" width="16.08984375" style="6" customWidth="1"/>
    <col min="7" max="7" width="2.08984375" style="6" customWidth="1"/>
    <col min="8" max="8" width="17.81640625" style="6" customWidth="1"/>
    <col min="9" max="9" width="2.08984375" style="6" customWidth="1"/>
    <col min="10" max="10" width="14.8164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302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168</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301</v>
      </c>
      <c r="AC14" s="21"/>
      <c r="AD14" s="22"/>
    </row>
    <row r="15" spans="1:30" s="23" customFormat="1" x14ac:dyDescent="0.3">
      <c r="A15" s="18"/>
      <c r="B15" s="19" t="s">
        <v>278</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323</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3.6400000000000002E-2</v>
      </c>
      <c r="Z16" s="29" t="s">
        <v>264</v>
      </c>
      <c r="AA16" s="29">
        <v>0.96360000000000001</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3.61E-2</v>
      </c>
      <c r="Z17" s="29" t="s">
        <v>264</v>
      </c>
      <c r="AA17" s="29">
        <v>0.96389999999999998</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6">
        <v>43951</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44034</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304</v>
      </c>
      <c r="G23" s="35"/>
      <c r="H23" s="35" t="s">
        <v>140</v>
      </c>
      <c r="I23" s="35"/>
      <c r="J23" s="35" t="s">
        <v>141</v>
      </c>
      <c r="K23" s="35"/>
      <c r="L23" s="35" t="s">
        <v>171</v>
      </c>
      <c r="M23" s="35"/>
      <c r="N23" s="35" t="s">
        <v>161</v>
      </c>
      <c r="O23" s="35"/>
      <c r="P23" s="35" t="s">
        <v>181</v>
      </c>
      <c r="Q23" s="35"/>
      <c r="R23" s="35" t="s">
        <v>182</v>
      </c>
      <c r="S23" s="35"/>
      <c r="T23" s="35" t="s">
        <v>183</v>
      </c>
      <c r="U23" s="35"/>
      <c r="V23" s="35" t="s">
        <v>184</v>
      </c>
      <c r="W23" s="35"/>
      <c r="X23" s="35" t="s">
        <v>185</v>
      </c>
      <c r="Y23" s="35" t="s">
        <v>186</v>
      </c>
      <c r="Z23" s="35"/>
      <c r="AA23" s="34"/>
      <c r="AB23" s="34"/>
      <c r="AC23" s="36"/>
      <c r="AD23" s="5"/>
    </row>
    <row r="24" spans="1:33" s="23" customFormat="1" x14ac:dyDescent="0.3">
      <c r="A24" s="18"/>
      <c r="B24" s="37" t="s">
        <v>158</v>
      </c>
      <c r="C24" s="38"/>
      <c r="D24" s="228"/>
      <c r="E24" s="228"/>
      <c r="F24" s="228" t="s">
        <v>220</v>
      </c>
      <c r="G24" s="228"/>
      <c r="H24" s="228" t="s">
        <v>221</v>
      </c>
      <c r="I24" s="228"/>
      <c r="J24" s="228" t="s">
        <v>269</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c r="E25" s="227"/>
      <c r="F25" s="227" t="s">
        <v>222</v>
      </c>
      <c r="G25" s="227"/>
      <c r="H25" s="227" t="s">
        <v>223</v>
      </c>
      <c r="I25" s="227"/>
      <c r="J25" s="227" t="s">
        <v>270</v>
      </c>
      <c r="K25" s="227"/>
      <c r="L25" s="227" t="s">
        <v>324</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159</v>
      </c>
      <c r="C26" s="41"/>
      <c r="D26" s="229"/>
      <c r="E26" s="229"/>
      <c r="F26" s="229" t="s">
        <v>220</v>
      </c>
      <c r="G26" s="229"/>
      <c r="H26" s="229" t="s">
        <v>221</v>
      </c>
      <c r="I26" s="229"/>
      <c r="J26" s="229" t="s">
        <v>269</v>
      </c>
      <c r="K26" s="229"/>
      <c r="L26" s="229" t="s">
        <v>271</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c r="E27" s="229"/>
      <c r="F27" s="229" t="s">
        <v>222</v>
      </c>
      <c r="G27" s="229"/>
      <c r="H27" s="229" t="s">
        <v>223</v>
      </c>
      <c r="I27" s="229"/>
      <c r="J27" s="229" t="s">
        <v>270</v>
      </c>
      <c r="K27" s="229"/>
      <c r="L27" s="229" t="s">
        <v>324</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c r="E28" s="227"/>
      <c r="F28" s="227" t="s">
        <v>313</v>
      </c>
      <c r="G28" s="227"/>
      <c r="H28" s="227" t="s">
        <v>314</v>
      </c>
      <c r="I28" s="227"/>
      <c r="J28" s="227" t="s">
        <v>315</v>
      </c>
      <c r="K28" s="227"/>
      <c r="L28" s="227" t="s">
        <v>316</v>
      </c>
      <c r="M28" s="227"/>
      <c r="N28" s="227" t="s">
        <v>317</v>
      </c>
      <c r="O28" s="227"/>
      <c r="P28" s="227" t="s">
        <v>318</v>
      </c>
      <c r="Q28" s="227"/>
      <c r="R28" s="227" t="s">
        <v>83</v>
      </c>
      <c r="S28" s="227"/>
      <c r="T28" s="227" t="s">
        <v>319</v>
      </c>
      <c r="U28" s="227"/>
      <c r="V28" s="227" t="s">
        <v>320</v>
      </c>
      <c r="W28" s="227"/>
      <c r="X28" s="227" t="s">
        <v>321</v>
      </c>
      <c r="Y28" s="227" t="s">
        <v>322</v>
      </c>
      <c r="Z28" s="227"/>
      <c r="AA28" s="49"/>
      <c r="AB28" s="50"/>
      <c r="AC28" s="51"/>
      <c r="AD28" s="22"/>
      <c r="AE28" s="45"/>
      <c r="AG28" s="46"/>
    </row>
    <row r="29" spans="1:33" s="23" customFormat="1" x14ac:dyDescent="0.3">
      <c r="A29" s="39"/>
      <c r="B29" s="40" t="s">
        <v>91</v>
      </c>
      <c r="C29" s="52"/>
      <c r="D29" s="54"/>
      <c r="E29" s="53"/>
      <c r="F29" s="54">
        <v>648307</v>
      </c>
      <c r="G29" s="55"/>
      <c r="H29" s="54">
        <v>41826</v>
      </c>
      <c r="I29" s="55"/>
      <c r="J29" s="54">
        <v>22814</v>
      </c>
      <c r="K29" s="55"/>
      <c r="L29" s="54">
        <v>22814</v>
      </c>
      <c r="M29" s="50"/>
      <c r="N29" s="54">
        <v>24717</v>
      </c>
      <c r="O29" s="54"/>
      <c r="P29" s="231">
        <v>11637</v>
      </c>
      <c r="Q29" s="231"/>
      <c r="R29" s="231">
        <v>4175</v>
      </c>
      <c r="S29" s="54"/>
      <c r="T29" s="54" t="s">
        <v>83</v>
      </c>
      <c r="U29" s="54"/>
      <c r="V29" s="54" t="s">
        <v>83</v>
      </c>
      <c r="W29" s="54"/>
      <c r="X29" s="54" t="s">
        <v>83</v>
      </c>
      <c r="Y29" s="54" t="s">
        <v>83</v>
      </c>
      <c r="Z29" s="54"/>
      <c r="AA29" s="52"/>
      <c r="AB29" s="50">
        <f>SUM(F29:N29)</f>
        <v>760478</v>
      </c>
      <c r="AC29" s="51"/>
      <c r="AD29" s="22"/>
    </row>
    <row r="30" spans="1:33" s="23" customFormat="1" x14ac:dyDescent="0.3">
      <c r="A30" s="47"/>
      <c r="B30" s="40" t="s">
        <v>90</v>
      </c>
      <c r="C30" s="49"/>
      <c r="D30" s="54"/>
      <c r="E30" s="54"/>
      <c r="F30" s="54">
        <v>0</v>
      </c>
      <c r="G30" s="54"/>
      <c r="H30" s="54">
        <v>0</v>
      </c>
      <c r="I30" s="54"/>
      <c r="J30" s="54">
        <v>0</v>
      </c>
      <c r="K30" s="54"/>
      <c r="L30" s="54">
        <v>0</v>
      </c>
      <c r="M30" s="54"/>
      <c r="N30" s="54">
        <v>0</v>
      </c>
      <c r="O30" s="54"/>
      <c r="P30" s="54">
        <v>0</v>
      </c>
      <c r="Q30" s="54"/>
      <c r="R30" s="54">
        <v>0</v>
      </c>
      <c r="S30" s="54"/>
      <c r="T30" s="54" t="s">
        <v>83</v>
      </c>
      <c r="U30" s="54"/>
      <c r="V30" s="54" t="s">
        <v>83</v>
      </c>
      <c r="W30" s="54"/>
      <c r="X30" s="54" t="s">
        <v>83</v>
      </c>
      <c r="Y30" s="54" t="s">
        <v>83</v>
      </c>
      <c r="Z30" s="54"/>
      <c r="AA30" s="49"/>
      <c r="AB30" s="50">
        <f>SUM(F30:N30)</f>
        <v>0</v>
      </c>
      <c r="AC30" s="51"/>
      <c r="AD30" s="22"/>
    </row>
    <row r="31" spans="1:33" s="23" customFormat="1" x14ac:dyDescent="0.3">
      <c r="A31" s="47"/>
      <c r="B31" s="44" t="s">
        <v>92</v>
      </c>
      <c r="C31" s="49"/>
      <c r="D31" s="57"/>
      <c r="E31" s="57"/>
      <c r="F31" s="57">
        <f>F29*F32</f>
        <v>647029.83520999993</v>
      </c>
      <c r="G31" s="57"/>
      <c r="H31" s="57">
        <f>H29</f>
        <v>41826</v>
      </c>
      <c r="I31" s="57"/>
      <c r="J31" s="57">
        <f>J29</f>
        <v>22814</v>
      </c>
      <c r="K31" s="57"/>
      <c r="L31" s="57">
        <f>L29</f>
        <v>22814</v>
      </c>
      <c r="M31" s="57"/>
      <c r="N31" s="57">
        <f>N29</f>
        <v>24717</v>
      </c>
      <c r="O31" s="57"/>
      <c r="P31" s="57">
        <f>P29*P32</f>
        <v>11036.06532</v>
      </c>
      <c r="Q31" s="57"/>
      <c r="R31" s="57">
        <v>4024</v>
      </c>
      <c r="S31" s="57"/>
      <c r="T31" s="57" t="s">
        <v>83</v>
      </c>
      <c r="U31" s="57"/>
      <c r="V31" s="57" t="s">
        <v>83</v>
      </c>
      <c r="W31" s="57"/>
      <c r="X31" s="57" t="s">
        <v>83</v>
      </c>
      <c r="Y31" s="57" t="s">
        <v>83</v>
      </c>
      <c r="Z31" s="57"/>
      <c r="AA31" s="49"/>
      <c r="AB31" s="56">
        <f>SUM(F31:N31)</f>
        <v>759200.83520999993</v>
      </c>
      <c r="AC31" s="51"/>
      <c r="AD31" s="22"/>
      <c r="AE31" s="235"/>
    </row>
    <row r="32" spans="1:33" s="65" customFormat="1" x14ac:dyDescent="0.3">
      <c r="A32" s="58"/>
      <c r="B32" s="166" t="s">
        <v>88</v>
      </c>
      <c r="C32" s="61"/>
      <c r="D32" s="60"/>
      <c r="E32" s="60"/>
      <c r="F32" s="60">
        <v>0.99802999999999997</v>
      </c>
      <c r="G32" s="60"/>
      <c r="H32" s="60">
        <v>1</v>
      </c>
      <c r="I32" s="60"/>
      <c r="J32" s="60">
        <v>1</v>
      </c>
      <c r="K32" s="60"/>
      <c r="L32" s="60">
        <v>1</v>
      </c>
      <c r="M32" s="60"/>
      <c r="N32" s="60">
        <v>1</v>
      </c>
      <c r="O32" s="60"/>
      <c r="P32" s="60">
        <v>0.94835999999999998</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c r="E33" s="225"/>
      <c r="F33" s="225">
        <v>1</v>
      </c>
      <c r="G33" s="225"/>
      <c r="H33" s="225">
        <v>1</v>
      </c>
      <c r="I33" s="225"/>
      <c r="J33" s="225">
        <v>1</v>
      </c>
      <c r="K33" s="225"/>
      <c r="L33" s="225">
        <v>1</v>
      </c>
      <c r="M33" s="225"/>
      <c r="N33" s="225">
        <v>1</v>
      </c>
      <c r="O33" s="225"/>
      <c r="P33" s="60">
        <v>1</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c r="E34" s="48"/>
      <c r="F34" s="48" t="s">
        <v>305</v>
      </c>
      <c r="G34" s="48"/>
      <c r="H34" s="48" t="s">
        <v>306</v>
      </c>
      <c r="I34" s="48"/>
      <c r="J34" s="48" t="s">
        <v>273</v>
      </c>
      <c r="K34" s="48"/>
      <c r="L34" s="48" t="s">
        <v>307</v>
      </c>
      <c r="M34" s="48"/>
      <c r="N34" s="48" t="s">
        <v>308</v>
      </c>
      <c r="O34" s="48"/>
      <c r="P34" s="48" t="s">
        <v>254</v>
      </c>
      <c r="Q34" s="48"/>
      <c r="R34" s="48" t="s">
        <v>254</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c r="E35" s="241"/>
      <c r="F35" s="241">
        <v>1.1656100000000001E-2</v>
      </c>
      <c r="G35" s="241"/>
      <c r="H35" s="241">
        <v>1.5656099999999999E-2</v>
      </c>
      <c r="I35" s="241"/>
      <c r="J35" s="241">
        <v>1.8656099999999998E-2</v>
      </c>
      <c r="K35" s="241"/>
      <c r="L35" s="241">
        <v>2.1656100000000001E-2</v>
      </c>
      <c r="M35" s="241"/>
      <c r="N35" s="241">
        <v>3.16561E-2</v>
      </c>
      <c r="O35" s="241"/>
      <c r="P35" s="241">
        <v>4.0656100000000001E-2</v>
      </c>
      <c r="Q35" s="241"/>
      <c r="R35" s="241">
        <v>4.0656100000000001E-2</v>
      </c>
      <c r="S35" s="68"/>
      <c r="T35" s="68" t="s">
        <v>83</v>
      </c>
      <c r="U35" s="68"/>
      <c r="V35" s="68" t="s">
        <v>83</v>
      </c>
      <c r="W35" s="68"/>
      <c r="X35" s="68" t="s">
        <v>83</v>
      </c>
      <c r="Y35" s="68" t="s">
        <v>83</v>
      </c>
      <c r="Z35" s="68"/>
      <c r="AA35" s="40"/>
      <c r="AB35" s="67">
        <f>SUMPRODUCT(D35:N35,D29:N29)/AB29</f>
        <v>1.3036129402559968E-2</v>
      </c>
      <c r="AC35" s="43"/>
      <c r="AD35" s="22"/>
    </row>
    <row r="36" spans="1:30" s="23" customFormat="1" x14ac:dyDescent="0.3">
      <c r="A36" s="47"/>
      <c r="B36" s="40" t="s">
        <v>10</v>
      </c>
      <c r="C36" s="69"/>
      <c r="D36" s="241"/>
      <c r="E36" s="241"/>
      <c r="F36" s="241">
        <v>0</v>
      </c>
      <c r="G36" s="241"/>
      <c r="H36" s="241">
        <v>0</v>
      </c>
      <c r="I36" s="241"/>
      <c r="J36" s="241">
        <v>0</v>
      </c>
      <c r="K36" s="241"/>
      <c r="L36" s="241">
        <v>0</v>
      </c>
      <c r="M36" s="241"/>
      <c r="N36" s="241">
        <v>0</v>
      </c>
      <c r="O36" s="241"/>
      <c r="P36" s="241">
        <v>0</v>
      </c>
      <c r="Q36" s="241"/>
      <c r="R36" s="241">
        <v>0</v>
      </c>
      <c r="S36" s="68"/>
      <c r="T36" s="68" t="s">
        <v>83</v>
      </c>
      <c r="U36" s="68"/>
      <c r="V36" s="68" t="s">
        <v>83</v>
      </c>
      <c r="W36" s="68"/>
      <c r="X36" s="68" t="s">
        <v>83</v>
      </c>
      <c r="Y36" s="68" t="s">
        <v>83</v>
      </c>
      <c r="Z36" s="68"/>
      <c r="AA36" s="40"/>
      <c r="AB36" s="40"/>
      <c r="AC36" s="43"/>
      <c r="AD36" s="22"/>
    </row>
    <row r="37" spans="1:30" s="23" customFormat="1" x14ac:dyDescent="0.3">
      <c r="A37" s="47"/>
      <c r="B37" s="40" t="s">
        <v>160</v>
      </c>
      <c r="C37" s="40"/>
      <c r="D37" s="69"/>
      <c r="E37" s="69"/>
      <c r="F37" s="69">
        <v>45945</v>
      </c>
      <c r="G37" s="69"/>
      <c r="H37" s="69">
        <v>45945</v>
      </c>
      <c r="I37" s="69"/>
      <c r="J37" s="69">
        <v>45945</v>
      </c>
      <c r="K37" s="69"/>
      <c r="L37" s="69">
        <v>45945</v>
      </c>
      <c r="M37" s="69"/>
      <c r="N37" s="69">
        <v>45945</v>
      </c>
      <c r="O37" s="69"/>
      <c r="P37" s="69">
        <v>45945</v>
      </c>
      <c r="Q37" s="69"/>
      <c r="R37" s="69">
        <v>45945</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c r="E38" s="69"/>
      <c r="F38" s="69">
        <v>45945</v>
      </c>
      <c r="G38" s="48"/>
      <c r="H38" s="69">
        <v>45945</v>
      </c>
      <c r="I38" s="48"/>
      <c r="J38" s="69">
        <v>45945</v>
      </c>
      <c r="K38" s="48"/>
      <c r="L38" s="69">
        <v>45945</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c r="E39" s="48"/>
      <c r="F39" s="48" t="s">
        <v>309</v>
      </c>
      <c r="G39" s="48"/>
      <c r="H39" s="48" t="s">
        <v>272</v>
      </c>
      <c r="I39" s="48"/>
      <c r="J39" s="48" t="s">
        <v>310</v>
      </c>
      <c r="K39" s="48"/>
      <c r="L39" s="48" t="s">
        <v>308</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7" t="s">
        <v>110</v>
      </c>
      <c r="AC40" s="43"/>
      <c r="AD40" s="22"/>
    </row>
    <row r="41" spans="1:30" s="23" customFormat="1" x14ac:dyDescent="0.3">
      <c r="A41" s="47"/>
      <c r="B41" s="40" t="s">
        <v>253</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32">
        <f>SUM(G29:N29)/F29</f>
        <v>0.17302142349226524</v>
      </c>
      <c r="AC41" s="43"/>
      <c r="AD41" s="22"/>
    </row>
    <row r="42" spans="1:30" s="23" customFormat="1" x14ac:dyDescent="0.3">
      <c r="A42" s="47"/>
      <c r="B42" s="40" t="s">
        <v>252</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32">
        <f>SUM(G31:N31)/F31</f>
        <v>0.17336294850081185</v>
      </c>
      <c r="AC42" s="43"/>
      <c r="AD42" s="22"/>
    </row>
    <row r="43" spans="1:30" s="23" customFormat="1" x14ac:dyDescent="0.3">
      <c r="A43" s="47"/>
      <c r="B43" s="40" t="s">
        <v>197</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1"/>
      <c r="AC44" s="43"/>
      <c r="AD44" s="22"/>
    </row>
    <row r="45" spans="1:30" s="23" customFormat="1" x14ac:dyDescent="0.3">
      <c r="A45" s="47"/>
      <c r="B45" s="40" t="s">
        <v>196</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2"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3"/>
      <c r="AA46" s="73"/>
      <c r="AB46" s="74">
        <v>44027</v>
      </c>
      <c r="AC46" s="43"/>
      <c r="AD46" s="22"/>
    </row>
    <row r="47" spans="1:30" s="23" customFormat="1" x14ac:dyDescent="0.3">
      <c r="A47" s="47"/>
      <c r="B47" s="40" t="s">
        <v>85</v>
      </c>
      <c r="C47" s="40"/>
      <c r="D47" s="75"/>
      <c r="E47" s="75"/>
      <c r="F47" s="75"/>
      <c r="G47" s="75"/>
      <c r="H47" s="75"/>
      <c r="I47" s="75"/>
      <c r="J47" s="75"/>
      <c r="K47" s="75"/>
      <c r="L47" s="75"/>
      <c r="M47" s="75"/>
      <c r="N47" s="75"/>
      <c r="O47" s="75"/>
      <c r="P47" s="75"/>
      <c r="Q47" s="75"/>
      <c r="R47" s="75"/>
      <c r="S47" s="75"/>
      <c r="T47" s="75"/>
      <c r="U47" s="75"/>
      <c r="V47" s="75"/>
      <c r="W47" s="75"/>
      <c r="X47" s="40"/>
      <c r="Y47" s="40"/>
      <c r="Z47" s="76"/>
      <c r="AA47" s="77"/>
      <c r="AB47" s="76"/>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80">
        <f>+AB48-Z48+1</f>
        <v>76</v>
      </c>
      <c r="Y48" s="40"/>
      <c r="Z48" s="76">
        <v>43951</v>
      </c>
      <c r="AA48" s="77"/>
      <c r="AB48" s="76">
        <v>44026</v>
      </c>
      <c r="AC48" s="43"/>
      <c r="AD48" s="22"/>
    </row>
    <row r="49" spans="1:31" s="23" customFormat="1" x14ac:dyDescent="0.3">
      <c r="A49" s="47"/>
      <c r="B49" s="40" t="s">
        <v>187</v>
      </c>
      <c r="C49" s="40"/>
      <c r="D49" s="40"/>
      <c r="E49" s="40"/>
      <c r="F49" s="40"/>
      <c r="G49" s="40"/>
      <c r="H49" s="40"/>
      <c r="I49" s="40"/>
      <c r="J49" s="40"/>
      <c r="K49" s="40"/>
      <c r="L49" s="40"/>
      <c r="M49" s="40"/>
      <c r="N49" s="40"/>
      <c r="O49" s="40"/>
      <c r="P49" s="40"/>
      <c r="Q49" s="40"/>
      <c r="R49" s="40"/>
      <c r="S49" s="40"/>
      <c r="T49" s="40"/>
      <c r="U49" s="40"/>
      <c r="V49" s="40"/>
      <c r="W49" s="40"/>
      <c r="X49" s="40"/>
      <c r="Y49" s="40"/>
      <c r="Z49" s="76"/>
      <c r="AA49" s="77"/>
      <c r="AB49" s="76" t="s">
        <v>99</v>
      </c>
      <c r="AC49" s="43"/>
      <c r="AD49" s="22"/>
      <c r="AE49" s="78"/>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v>44026</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9"/>
      <c r="AA51" s="80"/>
      <c r="AB51" s="79"/>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1"/>
      <c r="AA52" s="82"/>
      <c r="AB52" s="81"/>
      <c r="AC52" s="21"/>
      <c r="AD52" s="22"/>
    </row>
    <row r="53" spans="1:31" s="23" customFormat="1" ht="18.600000000000001" thickBot="1" x14ac:dyDescent="0.4">
      <c r="A53" s="83"/>
      <c r="B53" s="84" t="s">
        <v>311</v>
      </c>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6"/>
      <c r="AC53" s="87"/>
      <c r="AD53" s="22"/>
    </row>
    <row r="54" spans="1:31" x14ac:dyDescent="0.3">
      <c r="A54" s="33"/>
      <c r="B54" s="88" t="s">
        <v>13</v>
      </c>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90"/>
      <c r="AC54" s="89"/>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1"/>
      <c r="AC55" s="10"/>
      <c r="AD55" s="5"/>
    </row>
    <row r="56" spans="1:31" s="65" customFormat="1" ht="46.8" x14ac:dyDescent="0.3">
      <c r="A56" s="92"/>
      <c r="B56" s="93" t="s">
        <v>14</v>
      </c>
      <c r="C56" s="94"/>
      <c r="D56" s="94"/>
      <c r="E56" s="94"/>
      <c r="F56" s="94"/>
      <c r="G56" s="94"/>
      <c r="H56" s="94"/>
      <c r="I56" s="94"/>
      <c r="J56" s="94"/>
      <c r="K56" s="94"/>
      <c r="L56" s="94"/>
      <c r="M56" s="94"/>
      <c r="N56" s="94"/>
      <c r="O56" s="94"/>
      <c r="P56" s="94" t="s">
        <v>63</v>
      </c>
      <c r="Q56" s="94"/>
      <c r="R56" s="94" t="s">
        <v>65</v>
      </c>
      <c r="S56" s="94"/>
      <c r="T56" s="94" t="s">
        <v>135</v>
      </c>
      <c r="U56" s="94"/>
      <c r="V56" s="94" t="s">
        <v>136</v>
      </c>
      <c r="W56" s="94"/>
      <c r="X56" s="94" t="s">
        <v>68</v>
      </c>
      <c r="Y56" s="94"/>
      <c r="Z56" s="94" t="s">
        <v>72</v>
      </c>
      <c r="AA56" s="94"/>
      <c r="AB56" s="95" t="s">
        <v>78</v>
      </c>
      <c r="AC56" s="96"/>
      <c r="AD56" s="64"/>
    </row>
    <row r="57" spans="1:31" s="23" customFormat="1" x14ac:dyDescent="0.3">
      <c r="A57" s="47"/>
      <c r="B57" s="40" t="s">
        <v>15</v>
      </c>
      <c r="C57" s="97"/>
      <c r="D57" s="97"/>
      <c r="E57" s="97"/>
      <c r="F57" s="97"/>
      <c r="G57" s="97"/>
      <c r="H57" s="98"/>
      <c r="I57" s="97"/>
      <c r="J57" s="98"/>
      <c r="K57" s="97"/>
      <c r="L57" s="97"/>
      <c r="M57" s="97"/>
      <c r="N57" s="97"/>
      <c r="O57" s="97"/>
      <c r="P57" s="238">
        <v>759666</v>
      </c>
      <c r="Q57" s="238"/>
      <c r="R57" s="237">
        <v>759666</v>
      </c>
      <c r="S57" s="238"/>
      <c r="T57" s="237">
        <f>14+265</f>
        <v>279</v>
      </c>
      <c r="U57" s="238"/>
      <c r="V57" s="238">
        <v>1000</v>
      </c>
      <c r="W57" s="238"/>
      <c r="X57" s="238">
        <v>73</v>
      </c>
      <c r="Y57" s="238"/>
      <c r="Z57" s="238">
        <v>0</v>
      </c>
      <c r="AA57" s="238"/>
      <c r="AB57" s="237">
        <f>R57-T57-V57+X57-Z57</f>
        <v>758460</v>
      </c>
      <c r="AC57" s="43"/>
      <c r="AD57" s="22"/>
      <c r="AE57" s="271"/>
    </row>
    <row r="58" spans="1:31" s="23" customFormat="1" x14ac:dyDescent="0.3">
      <c r="A58" s="47"/>
      <c r="B58" s="40" t="s">
        <v>16</v>
      </c>
      <c r="C58" s="97"/>
      <c r="D58" s="97"/>
      <c r="E58" s="97"/>
      <c r="F58" s="97"/>
      <c r="G58" s="97"/>
      <c r="H58" s="98"/>
      <c r="I58" s="97"/>
      <c r="J58" s="98"/>
      <c r="K58" s="97"/>
      <c r="L58" s="97"/>
      <c r="M58" s="97"/>
      <c r="N58" s="97"/>
      <c r="O58" s="97"/>
      <c r="P58" s="238">
        <v>0</v>
      </c>
      <c r="Q58" s="238"/>
      <c r="R58" s="237">
        <v>0</v>
      </c>
      <c r="S58" s="238"/>
      <c r="T58" s="237">
        <v>0</v>
      </c>
      <c r="U58" s="238"/>
      <c r="V58" s="238">
        <v>0</v>
      </c>
      <c r="W58" s="238"/>
      <c r="X58" s="238">
        <v>0</v>
      </c>
      <c r="Y58" s="238"/>
      <c r="Z58" s="238">
        <v>0</v>
      </c>
      <c r="AA58" s="238"/>
      <c r="AB58" s="237">
        <f>F58-J58-L58</f>
        <v>0</v>
      </c>
      <c r="AC58" s="43"/>
      <c r="AD58" s="22"/>
    </row>
    <row r="59" spans="1:31" s="23" customFormat="1" x14ac:dyDescent="0.3">
      <c r="A59" s="47"/>
      <c r="B59" s="40"/>
      <c r="C59" s="97"/>
      <c r="D59" s="97"/>
      <c r="E59" s="97"/>
      <c r="F59" s="97"/>
      <c r="G59" s="97"/>
      <c r="H59" s="98"/>
      <c r="I59" s="97"/>
      <c r="J59" s="98"/>
      <c r="K59" s="97"/>
      <c r="L59" s="97"/>
      <c r="M59" s="97"/>
      <c r="N59" s="97"/>
      <c r="O59" s="97"/>
      <c r="P59" s="238"/>
      <c r="Q59" s="238"/>
      <c r="R59" s="237"/>
      <c r="S59" s="238"/>
      <c r="T59" s="237"/>
      <c r="U59" s="238"/>
      <c r="V59" s="238"/>
      <c r="W59" s="238"/>
      <c r="X59" s="238"/>
      <c r="Y59" s="238"/>
      <c r="Z59" s="238"/>
      <c r="AA59" s="238"/>
      <c r="AB59" s="237"/>
      <c r="AC59" s="43"/>
      <c r="AD59" s="22"/>
    </row>
    <row r="60" spans="1:31" s="23" customFormat="1" x14ac:dyDescent="0.3">
      <c r="A60" s="47"/>
      <c r="B60" s="40" t="s">
        <v>17</v>
      </c>
      <c r="C60" s="97"/>
      <c r="D60" s="97"/>
      <c r="E60" s="97"/>
      <c r="F60" s="97"/>
      <c r="G60" s="97"/>
      <c r="H60" s="97"/>
      <c r="I60" s="97"/>
      <c r="J60" s="97"/>
      <c r="K60" s="97"/>
      <c r="L60" s="97"/>
      <c r="M60" s="97"/>
      <c r="N60" s="97"/>
      <c r="O60" s="97"/>
      <c r="P60" s="238">
        <f>SUM(P57:P59)</f>
        <v>759666</v>
      </c>
      <c r="Q60" s="238"/>
      <c r="R60" s="238">
        <f>R57+R58</f>
        <v>759666</v>
      </c>
      <c r="S60" s="238"/>
      <c r="T60" s="238">
        <f>T57+T58</f>
        <v>279</v>
      </c>
      <c r="U60" s="238"/>
      <c r="V60" s="238">
        <f>SUM(V57:V59)</f>
        <v>1000</v>
      </c>
      <c r="W60" s="238"/>
      <c r="X60" s="238">
        <f>SUM(X57:X59)</f>
        <v>73</v>
      </c>
      <c r="Y60" s="238"/>
      <c r="Z60" s="238">
        <f>SUM(Z57:Z59)</f>
        <v>0</v>
      </c>
      <c r="AA60" s="238"/>
      <c r="AB60" s="238">
        <f>SUM(AB57:AB59)</f>
        <v>758460</v>
      </c>
      <c r="AC60" s="43"/>
      <c r="AD60" s="22"/>
    </row>
    <row r="61" spans="1:31" s="23" customFormat="1" ht="32.1" customHeight="1" x14ac:dyDescent="0.3">
      <c r="A61" s="47"/>
      <c r="B61" s="40"/>
      <c r="C61" s="97"/>
      <c r="D61" s="97"/>
      <c r="E61" s="97"/>
      <c r="F61" s="97"/>
      <c r="G61" s="97"/>
      <c r="H61" s="97"/>
      <c r="I61" s="97"/>
      <c r="J61" s="97"/>
      <c r="K61" s="97"/>
      <c r="L61" s="97"/>
      <c r="M61" s="97"/>
      <c r="N61" s="97"/>
      <c r="O61" s="97"/>
      <c r="P61" s="238"/>
      <c r="Q61" s="238"/>
      <c r="R61" s="238"/>
      <c r="S61" s="238"/>
      <c r="T61" s="238"/>
      <c r="U61" s="238"/>
      <c r="V61" s="238"/>
      <c r="W61" s="238"/>
      <c r="X61" s="238"/>
      <c r="Y61" s="238"/>
      <c r="Z61" s="238"/>
      <c r="AA61" s="238"/>
      <c r="AB61" s="238"/>
      <c r="AC61" s="43"/>
      <c r="AD61" s="22"/>
    </row>
    <row r="62" spans="1:31" s="23" customFormat="1" x14ac:dyDescent="0.3">
      <c r="A62" s="47"/>
      <c r="B62" s="40" t="s">
        <v>18</v>
      </c>
      <c r="C62" s="97"/>
      <c r="D62" s="97"/>
      <c r="E62" s="97"/>
      <c r="F62" s="97"/>
      <c r="G62" s="97"/>
      <c r="H62" s="97"/>
      <c r="I62" s="97"/>
      <c r="J62" s="97"/>
      <c r="K62" s="97"/>
      <c r="L62" s="97"/>
      <c r="M62" s="97"/>
      <c r="N62" s="97"/>
      <c r="O62" s="97"/>
      <c r="P62" s="238">
        <v>0</v>
      </c>
      <c r="Q62" s="238"/>
      <c r="R62" s="238">
        <v>0</v>
      </c>
      <c r="S62" s="238"/>
      <c r="T62" s="238"/>
      <c r="U62" s="238"/>
      <c r="V62" s="238"/>
      <c r="W62" s="238"/>
      <c r="X62" s="238"/>
      <c r="Y62" s="238"/>
      <c r="Z62" s="238"/>
      <c r="AA62" s="238"/>
      <c r="AB62" s="237">
        <v>0</v>
      </c>
      <c r="AC62" s="43"/>
      <c r="AD62" s="22"/>
    </row>
    <row r="63" spans="1:31" s="23" customFormat="1" x14ac:dyDescent="0.3">
      <c r="A63" s="47"/>
      <c r="B63" s="40" t="s">
        <v>274</v>
      </c>
      <c r="C63" s="97"/>
      <c r="D63" s="97"/>
      <c r="E63" s="97"/>
      <c r="F63" s="97"/>
      <c r="G63" s="97"/>
      <c r="H63" s="97"/>
      <c r="I63" s="97"/>
      <c r="J63" s="97"/>
      <c r="K63" s="97"/>
      <c r="L63" s="97"/>
      <c r="M63" s="97"/>
      <c r="N63" s="97"/>
      <c r="O63" s="97"/>
      <c r="P63" s="238">
        <v>0</v>
      </c>
      <c r="Q63" s="238"/>
      <c r="R63" s="238">
        <v>0</v>
      </c>
      <c r="S63" s="238"/>
      <c r="T63" s="238">
        <v>0</v>
      </c>
      <c r="U63" s="238"/>
      <c r="V63" s="238">
        <v>2</v>
      </c>
      <c r="W63" s="238"/>
      <c r="X63" s="238"/>
      <c r="Y63" s="238"/>
      <c r="Z63" s="238"/>
      <c r="AA63" s="238"/>
      <c r="AB63" s="238">
        <f>R63+V63</f>
        <v>2</v>
      </c>
      <c r="AC63" s="43"/>
      <c r="AD63" s="22"/>
    </row>
    <row r="64" spans="1:31" s="23" customFormat="1" x14ac:dyDescent="0.3">
      <c r="A64" s="47"/>
      <c r="B64" s="40" t="s">
        <v>172</v>
      </c>
      <c r="C64" s="97"/>
      <c r="D64" s="97"/>
      <c r="E64" s="97"/>
      <c r="F64" s="97"/>
      <c r="G64" s="97"/>
      <c r="H64" s="97"/>
      <c r="I64" s="97"/>
      <c r="J64" s="97"/>
      <c r="K64" s="97"/>
      <c r="L64" s="97"/>
      <c r="M64" s="97"/>
      <c r="N64" s="97"/>
      <c r="O64" s="97"/>
      <c r="P64" s="238">
        <v>812</v>
      </c>
      <c r="Q64" s="238"/>
      <c r="R64" s="238">
        <v>812</v>
      </c>
      <c r="S64" s="238"/>
      <c r="T64" s="238"/>
      <c r="U64" s="238"/>
      <c r="V64" s="238"/>
      <c r="W64" s="238"/>
      <c r="X64" s="238">
        <f>-X57</f>
        <v>-73</v>
      </c>
      <c r="Y64" s="238"/>
      <c r="Z64" s="238"/>
      <c r="AA64" s="238"/>
      <c r="AB64" s="238">
        <f>+R64+X64</f>
        <v>739</v>
      </c>
      <c r="AC64" s="43"/>
      <c r="AD64" s="22"/>
    </row>
    <row r="65" spans="1:30" s="23" customFormat="1" x14ac:dyDescent="0.3">
      <c r="A65" s="47"/>
      <c r="B65" s="40" t="s">
        <v>19</v>
      </c>
      <c r="C65" s="97"/>
      <c r="D65" s="97"/>
      <c r="E65" s="97"/>
      <c r="F65" s="97"/>
      <c r="G65" s="97"/>
      <c r="H65" s="97"/>
      <c r="I65" s="97"/>
      <c r="J65" s="97"/>
      <c r="K65" s="97"/>
      <c r="L65" s="97"/>
      <c r="M65" s="97"/>
      <c r="N65" s="97"/>
      <c r="O65" s="97"/>
      <c r="P65" s="238">
        <v>0</v>
      </c>
      <c r="Q65" s="238"/>
      <c r="R65" s="238">
        <v>0</v>
      </c>
      <c r="S65" s="238"/>
      <c r="T65" s="238"/>
      <c r="U65" s="238"/>
      <c r="V65" s="238"/>
      <c r="W65" s="238"/>
      <c r="X65" s="238"/>
      <c r="Y65" s="238"/>
      <c r="Z65" s="238"/>
      <c r="AA65" s="238"/>
      <c r="AB65" s="238">
        <v>0</v>
      </c>
      <c r="AC65" s="43"/>
      <c r="AD65" s="22"/>
    </row>
    <row r="66" spans="1:30" s="23" customFormat="1" x14ac:dyDescent="0.3">
      <c r="A66" s="47"/>
      <c r="B66" s="40" t="s">
        <v>20</v>
      </c>
      <c r="C66" s="97"/>
      <c r="D66" s="97"/>
      <c r="E66" s="97"/>
      <c r="F66" s="97"/>
      <c r="G66" s="97"/>
      <c r="H66" s="97"/>
      <c r="I66" s="97"/>
      <c r="J66" s="97"/>
      <c r="K66" s="97"/>
      <c r="L66" s="97"/>
      <c r="M66" s="97"/>
      <c r="N66" s="97"/>
      <c r="O66" s="97"/>
      <c r="P66" s="238">
        <f>SUM(P60:P65)</f>
        <v>760478</v>
      </c>
      <c r="Q66" s="238"/>
      <c r="R66" s="238">
        <f>SUM(R60:R65)</f>
        <v>760478</v>
      </c>
      <c r="S66" s="238"/>
      <c r="T66" s="238"/>
      <c r="U66" s="238"/>
      <c r="V66" s="238"/>
      <c r="W66" s="238"/>
      <c r="X66" s="238"/>
      <c r="Y66" s="238"/>
      <c r="Z66" s="238"/>
      <c r="AA66" s="238"/>
      <c r="AB66" s="238">
        <f>SUM(AB60:AB65)</f>
        <v>759201</v>
      </c>
      <c r="AC66" s="43"/>
      <c r="AD66" s="22"/>
    </row>
    <row r="67" spans="1:30" x14ac:dyDescent="0.3">
      <c r="A67" s="7"/>
      <c r="B67" s="99"/>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1"/>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2" t="s">
        <v>21</v>
      </c>
      <c r="C69" s="102"/>
      <c r="D69" s="103"/>
      <c r="E69" s="103"/>
      <c r="F69" s="103"/>
      <c r="G69" s="103"/>
      <c r="H69" s="104"/>
      <c r="I69" s="103"/>
      <c r="J69" s="105"/>
      <c r="K69" s="103"/>
      <c r="L69" s="103"/>
      <c r="M69" s="103"/>
      <c r="N69" s="103"/>
      <c r="O69" s="103"/>
      <c r="P69" s="103"/>
      <c r="Q69" s="103"/>
      <c r="R69" s="104" t="s">
        <v>64</v>
      </c>
      <c r="S69" s="103"/>
      <c r="T69" s="105">
        <f>+Z235</f>
        <v>44012</v>
      </c>
      <c r="U69" s="103"/>
      <c r="V69" s="103"/>
      <c r="W69" s="103"/>
      <c r="X69" s="103"/>
      <c r="Y69" s="103"/>
      <c r="Z69" s="103" t="s">
        <v>73</v>
      </c>
      <c r="AA69" s="103"/>
      <c r="AB69" s="103"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100">
        <v>0</v>
      </c>
      <c r="AA70" s="37"/>
      <c r="AB70" s="107">
        <v>0</v>
      </c>
      <c r="AC70" s="21"/>
      <c r="AD70" s="22"/>
    </row>
    <row r="71" spans="1:30" s="23" customFormat="1" x14ac:dyDescent="0.3">
      <c r="A71" s="47"/>
      <c r="B71" s="40" t="s">
        <v>218</v>
      </c>
      <c r="C71" s="40"/>
      <c r="D71" s="70"/>
      <c r="E71" s="70"/>
      <c r="F71" s="70"/>
      <c r="G71" s="108"/>
      <c r="H71" s="70"/>
      <c r="I71" s="40"/>
      <c r="J71" s="109"/>
      <c r="K71" s="40"/>
      <c r="L71" s="40"/>
      <c r="M71" s="40"/>
      <c r="N71" s="40"/>
      <c r="O71" s="40"/>
      <c r="P71" s="40"/>
      <c r="Q71" s="40"/>
      <c r="R71" s="40"/>
      <c r="S71" s="40"/>
      <c r="T71" s="40"/>
      <c r="U71" s="40"/>
      <c r="V71" s="40"/>
      <c r="W71" s="40"/>
      <c r="X71" s="40"/>
      <c r="Y71" s="40"/>
      <c r="Z71" s="238">
        <f>-X64</f>
        <v>73</v>
      </c>
      <c r="AA71" s="40"/>
      <c r="AB71" s="98"/>
      <c r="AC71" s="43"/>
      <c r="AD71" s="22"/>
    </row>
    <row r="72" spans="1:30" s="23" customFormat="1" x14ac:dyDescent="0.3">
      <c r="A72" s="47"/>
      <c r="B72" s="40" t="s">
        <v>217</v>
      </c>
      <c r="C72" s="40"/>
      <c r="D72" s="70"/>
      <c r="E72" s="70"/>
      <c r="F72" s="70"/>
      <c r="G72" s="108"/>
      <c r="H72" s="70"/>
      <c r="I72" s="40"/>
      <c r="J72" s="109"/>
      <c r="K72" s="40"/>
      <c r="L72" s="40"/>
      <c r="M72" s="40"/>
      <c r="N72" s="40"/>
      <c r="O72" s="40"/>
      <c r="P72" s="40"/>
      <c r="Q72" s="40"/>
      <c r="R72" s="40"/>
      <c r="S72" s="40"/>
      <c r="T72" s="40"/>
      <c r="U72" s="40"/>
      <c r="V72" s="40"/>
      <c r="W72" s="40"/>
      <c r="X72" s="40"/>
      <c r="Y72" s="40"/>
      <c r="Z72" s="238">
        <f>-Z209</f>
        <v>-73</v>
      </c>
      <c r="AA72" s="40"/>
      <c r="AB72" s="98"/>
      <c r="AC72" s="43"/>
      <c r="AD72" s="22"/>
    </row>
    <row r="73" spans="1:30" s="23" customFormat="1" x14ac:dyDescent="0.3">
      <c r="A73" s="47"/>
      <c r="B73" s="40" t="s">
        <v>23</v>
      </c>
      <c r="C73" s="40"/>
      <c r="D73" s="70"/>
      <c r="E73" s="70"/>
      <c r="F73" s="70"/>
      <c r="G73" s="108"/>
      <c r="H73" s="70"/>
      <c r="I73" s="40"/>
      <c r="J73" s="109"/>
      <c r="K73" s="40"/>
      <c r="L73" s="40"/>
      <c r="M73" s="40"/>
      <c r="N73" s="40"/>
      <c r="O73" s="40"/>
      <c r="P73" s="40"/>
      <c r="Q73" s="40"/>
      <c r="R73" s="40"/>
      <c r="S73" s="40"/>
      <c r="T73" s="40"/>
      <c r="U73" s="40"/>
      <c r="V73" s="40"/>
      <c r="W73" s="40"/>
      <c r="X73" s="40"/>
      <c r="Y73" s="40"/>
      <c r="Z73" s="238">
        <f>+T57+V57+Z57</f>
        <v>1279</v>
      </c>
      <c r="AA73" s="40"/>
      <c r="AB73" s="98"/>
      <c r="AC73" s="43"/>
      <c r="AD73" s="22"/>
    </row>
    <row r="74" spans="1:30" s="23" customFormat="1" x14ac:dyDescent="0.3">
      <c r="A74" s="47"/>
      <c r="B74" s="40" t="s">
        <v>115</v>
      </c>
      <c r="C74" s="40"/>
      <c r="D74" s="70"/>
      <c r="E74" s="70"/>
      <c r="F74" s="70"/>
      <c r="G74" s="108"/>
      <c r="H74" s="70"/>
      <c r="I74" s="40"/>
      <c r="J74" s="109"/>
      <c r="K74" s="40"/>
      <c r="L74" s="40"/>
      <c r="M74" s="40"/>
      <c r="N74" s="40"/>
      <c r="O74" s="40"/>
      <c r="P74" s="40"/>
      <c r="Q74" s="40"/>
      <c r="R74" s="40"/>
      <c r="S74" s="40"/>
      <c r="T74" s="40"/>
      <c r="U74" s="40"/>
      <c r="V74" s="40"/>
      <c r="W74" s="40"/>
      <c r="X74" s="40"/>
      <c r="Y74" s="40"/>
      <c r="Z74" s="238"/>
      <c r="AA74" s="40"/>
      <c r="AB74" s="98">
        <f>5763+220-289-15</f>
        <v>5679</v>
      </c>
      <c r="AC74" s="43"/>
      <c r="AD74" s="22"/>
    </row>
    <row r="75" spans="1:30" s="23" customFormat="1" x14ac:dyDescent="0.3">
      <c r="A75" s="47"/>
      <c r="B75" s="40" t="s">
        <v>113</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25+9</f>
        <v>34</v>
      </c>
      <c r="AC75" s="43"/>
      <c r="AD75" s="22"/>
    </row>
    <row r="76" spans="1:30" s="23" customFormat="1" x14ac:dyDescent="0.3">
      <c r="A76" s="47"/>
      <c r="B76" s="40" t="s">
        <v>114</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v>0</v>
      </c>
      <c r="AC76" s="43"/>
      <c r="AD76" s="22"/>
    </row>
    <row r="77" spans="1:30" s="23" customFormat="1" x14ac:dyDescent="0.3">
      <c r="A77" s="47"/>
      <c r="B77" s="40" t="s">
        <v>120</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59" t="s">
        <v>224</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0</v>
      </c>
      <c r="AC78" s="43"/>
      <c r="AD78" s="22"/>
    </row>
    <row r="79" spans="1:30" s="23" customFormat="1" x14ac:dyDescent="0.3">
      <c r="A79" s="47"/>
      <c r="B79" s="59" t="s">
        <v>225</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0</v>
      </c>
      <c r="AC79" s="43"/>
      <c r="AD79" s="22"/>
    </row>
    <row r="80" spans="1:30" s="23" customFormat="1" x14ac:dyDescent="0.3">
      <c r="A80" s="47"/>
      <c r="B80" s="40" t="s">
        <v>232</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f>+AB167</f>
        <v>0</v>
      </c>
      <c r="AC80" s="43"/>
      <c r="AD80" s="22"/>
    </row>
    <row r="81" spans="1:30" s="23" customFormat="1" x14ac:dyDescent="0.3">
      <c r="A81" s="47"/>
      <c r="B81" s="40" t="s">
        <v>246</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v>0</v>
      </c>
      <c r="AC81" s="43"/>
      <c r="AD81" s="22"/>
    </row>
    <row r="82" spans="1:30" s="23" customFormat="1" x14ac:dyDescent="0.3">
      <c r="A82" s="47"/>
      <c r="B82" s="59" t="s">
        <v>233</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8">
        <f>SUM(Z70:Z82)</f>
        <v>1279</v>
      </c>
      <c r="AA83" s="40"/>
      <c r="AB83" s="97">
        <f>SUM(AB70:AB82)</f>
        <v>5713</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8">
        <f>-AB84</f>
        <v>0</v>
      </c>
      <c r="AA84" s="40"/>
      <c r="AB84" s="98">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8"/>
      <c r="AA85" s="40"/>
      <c r="AB85" s="98">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8">
        <f>Z83+Z84</f>
        <v>1279</v>
      </c>
      <c r="AA86" s="40"/>
      <c r="AB86" s="97">
        <f>AB83+AB84+AB85</f>
        <v>5713</v>
      </c>
      <c r="AC86" s="43"/>
      <c r="AD86" s="22"/>
    </row>
    <row r="87" spans="1:30" x14ac:dyDescent="0.3">
      <c r="A87" s="110"/>
      <c r="B87" s="111" t="s">
        <v>27</v>
      </c>
      <c r="C87" s="59"/>
      <c r="D87" s="59"/>
      <c r="E87" s="59"/>
      <c r="F87" s="59"/>
      <c r="G87" s="59"/>
      <c r="H87" s="59"/>
      <c r="I87" s="59"/>
      <c r="J87" s="59"/>
      <c r="K87" s="59"/>
      <c r="L87" s="59"/>
      <c r="M87" s="59"/>
      <c r="N87" s="59"/>
      <c r="O87" s="59"/>
      <c r="P87" s="59"/>
      <c r="Q87" s="59"/>
      <c r="R87" s="59"/>
      <c r="S87" s="59"/>
      <c r="T87" s="59"/>
      <c r="U87" s="59"/>
      <c r="V87" s="59"/>
      <c r="W87" s="59"/>
      <c r="X87" s="59"/>
      <c r="Y87" s="59"/>
      <c r="Z87" s="238"/>
      <c r="AA87" s="112"/>
      <c r="AB87" s="113"/>
      <c r="AC87" s="114"/>
      <c r="AD87" s="5"/>
    </row>
    <row r="88" spans="1:30" x14ac:dyDescent="0.3">
      <c r="A88" s="110">
        <v>1</v>
      </c>
      <c r="B88" s="59" t="s">
        <v>138</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98">
        <v>-1838</v>
      </c>
      <c r="AC88" s="114"/>
      <c r="AD88" s="5"/>
    </row>
    <row r="89" spans="1:30" x14ac:dyDescent="0.3">
      <c r="A89" s="110">
        <v>2</v>
      </c>
      <c r="B89" s="59" t="s">
        <v>275</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-2</v>
      </c>
      <c r="AC89" s="114"/>
      <c r="AD89" s="5"/>
    </row>
    <row r="90" spans="1:30" x14ac:dyDescent="0.3">
      <c r="A90" s="110">
        <v>3</v>
      </c>
      <c r="B90" s="59" t="s">
        <v>247</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f>-258-10</f>
        <v>-268</v>
      </c>
      <c r="AC90" s="114"/>
      <c r="AD90" s="5"/>
    </row>
    <row r="91" spans="1:30" x14ac:dyDescent="0.3">
      <c r="A91" s="110">
        <v>4</v>
      </c>
      <c r="B91" s="59" t="s">
        <v>82</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v>-625</v>
      </c>
      <c r="AC91" s="114"/>
      <c r="AD91" s="5"/>
    </row>
    <row r="92" spans="1:30" x14ac:dyDescent="0.3">
      <c r="A92" s="110">
        <v>5</v>
      </c>
      <c r="B92" s="59" t="s">
        <v>129</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-1573</v>
      </c>
      <c r="AC92" s="114"/>
      <c r="AD92" s="5"/>
    </row>
    <row r="93" spans="1:30" x14ac:dyDescent="0.3">
      <c r="A93" s="110">
        <v>6</v>
      </c>
      <c r="B93" s="59" t="s">
        <v>150</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-136</v>
      </c>
      <c r="AC93" s="114"/>
      <c r="AD93" s="5"/>
    </row>
    <row r="94" spans="1:30" x14ac:dyDescent="0.3">
      <c r="A94" s="110">
        <v>7</v>
      </c>
      <c r="B94" s="59" t="s">
        <v>201</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0</v>
      </c>
      <c r="AC94" s="114"/>
      <c r="AD94" s="5"/>
    </row>
    <row r="95" spans="1:30" x14ac:dyDescent="0.3">
      <c r="A95" s="110">
        <v>8</v>
      </c>
      <c r="B95" s="59" t="s">
        <v>151</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-89</v>
      </c>
      <c r="AC95" s="114"/>
      <c r="AD95" s="5"/>
    </row>
    <row r="96" spans="1:30" x14ac:dyDescent="0.3">
      <c r="A96" s="110">
        <v>9</v>
      </c>
      <c r="B96" s="59" t="s">
        <v>180</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-103</v>
      </c>
      <c r="AC96" s="114"/>
      <c r="AD96" s="5"/>
    </row>
    <row r="97" spans="1:30" x14ac:dyDescent="0.3">
      <c r="A97" s="110">
        <v>10</v>
      </c>
      <c r="B97" s="59" t="s">
        <v>130</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-1</v>
      </c>
      <c r="AC97" s="114"/>
      <c r="AD97" s="5"/>
    </row>
    <row r="98" spans="1:30" x14ac:dyDescent="0.3">
      <c r="A98" s="110">
        <v>11</v>
      </c>
      <c r="B98" s="59" t="s">
        <v>200</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0</v>
      </c>
      <c r="AC98" s="114"/>
      <c r="AD98" s="5"/>
    </row>
    <row r="99" spans="1:30" x14ac:dyDescent="0.3">
      <c r="A99" s="110">
        <v>12</v>
      </c>
      <c r="B99" s="59" t="s">
        <v>33</v>
      </c>
      <c r="C99" s="59"/>
      <c r="D99" s="59"/>
      <c r="E99" s="59"/>
      <c r="F99" s="59"/>
      <c r="G99" s="59"/>
      <c r="H99" s="59"/>
      <c r="I99" s="59"/>
      <c r="J99" s="59"/>
      <c r="K99" s="59"/>
      <c r="L99" s="59"/>
      <c r="M99" s="59"/>
      <c r="N99" s="59"/>
      <c r="O99" s="59"/>
      <c r="P99" s="59"/>
      <c r="Q99" s="59"/>
      <c r="R99" s="59"/>
      <c r="S99" s="59"/>
      <c r="T99" s="59"/>
      <c r="U99" s="59"/>
      <c r="V99" s="59"/>
      <c r="W99" s="59"/>
      <c r="X99" s="59"/>
      <c r="Y99" s="59"/>
      <c r="Z99" s="238">
        <f>-AB99</f>
        <v>0</v>
      </c>
      <c r="AA99" s="112"/>
      <c r="AB99" s="98">
        <v>0</v>
      </c>
      <c r="AC99" s="114"/>
      <c r="AD99" s="5"/>
    </row>
    <row r="100" spans="1:30" x14ac:dyDescent="0.3">
      <c r="A100" s="110">
        <v>13</v>
      </c>
      <c r="B100" s="59" t="s">
        <v>276</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14</v>
      </c>
      <c r="B101" s="59" t="s">
        <v>277</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c r="AA101" s="112"/>
      <c r="AB101" s="98">
        <v>0</v>
      </c>
      <c r="AC101" s="114"/>
      <c r="AD101" s="5"/>
    </row>
    <row r="102" spans="1:30" x14ac:dyDescent="0.3">
      <c r="A102" s="110">
        <v>15</v>
      </c>
      <c r="B102" s="59" t="s">
        <v>28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-30</v>
      </c>
      <c r="AC102" s="114"/>
      <c r="AD102" s="5"/>
    </row>
    <row r="103" spans="1:30" x14ac:dyDescent="0.3">
      <c r="A103" s="110">
        <v>16</v>
      </c>
      <c r="B103" s="59" t="s">
        <v>118</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0</v>
      </c>
      <c r="AC103" s="114"/>
      <c r="AD103" s="5"/>
    </row>
    <row r="104" spans="1:30" x14ac:dyDescent="0.3">
      <c r="A104" s="110">
        <v>17</v>
      </c>
      <c r="B104" s="59" t="s">
        <v>188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0</v>
      </c>
      <c r="AC104" s="114"/>
      <c r="AD104" s="5"/>
    </row>
    <row r="105" spans="1:30" x14ac:dyDescent="0.3">
      <c r="A105" s="110">
        <v>18</v>
      </c>
      <c r="B105" s="59" t="s">
        <v>162</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-163</v>
      </c>
      <c r="AC105" s="114"/>
      <c r="AD105" s="5"/>
    </row>
    <row r="106" spans="1:30" x14ac:dyDescent="0.3">
      <c r="A106" s="110">
        <v>19</v>
      </c>
      <c r="B106" s="59" t="s">
        <v>257</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-98</v>
      </c>
      <c r="AC106" s="114"/>
      <c r="AD106" s="5"/>
    </row>
    <row r="107" spans="1:30" x14ac:dyDescent="0.3">
      <c r="A107" s="110">
        <v>20</v>
      </c>
      <c r="B107" s="59" t="s">
        <v>258</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-601</v>
      </c>
      <c r="AC107" s="114"/>
      <c r="AD107" s="5"/>
    </row>
    <row r="108" spans="1:30" x14ac:dyDescent="0.3">
      <c r="A108" s="110">
        <v>21</v>
      </c>
      <c r="B108" s="59" t="s">
        <v>259</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-35</v>
      </c>
      <c r="AC108" s="114"/>
      <c r="AD108" s="5"/>
    </row>
    <row r="109" spans="1:30" x14ac:dyDescent="0.3">
      <c r="A109" s="110">
        <v>22</v>
      </c>
      <c r="B109" s="59" t="s">
        <v>260</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-151</v>
      </c>
      <c r="AC109" s="114"/>
      <c r="AD109" s="5"/>
    </row>
    <row r="110" spans="1:30" x14ac:dyDescent="0.3">
      <c r="A110" s="110">
        <v>23</v>
      </c>
      <c r="B110" s="59" t="s">
        <v>131</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24</v>
      </c>
      <c r="B111" s="59" t="s">
        <v>137</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25</v>
      </c>
      <c r="B112" s="59" t="s">
        <v>255</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0" x14ac:dyDescent="0.3">
      <c r="A113" s="110">
        <v>26</v>
      </c>
      <c r="B113" s="59" t="s">
        <v>226</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0</v>
      </c>
      <c r="AC113" s="114"/>
      <c r="AD113" s="5"/>
    </row>
    <row r="114" spans="1:30" x14ac:dyDescent="0.3">
      <c r="A114" s="110"/>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113"/>
      <c r="AC114" s="114"/>
      <c r="AD114" s="5"/>
    </row>
    <row r="115" spans="1:30" x14ac:dyDescent="0.3">
      <c r="A115" s="110"/>
      <c r="B115" s="111" t="s">
        <v>29</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112"/>
      <c r="AB115" s="116"/>
      <c r="AC115" s="114"/>
      <c r="AD115" s="5"/>
    </row>
    <row r="116" spans="1:30" x14ac:dyDescent="0.3">
      <c r="A116" s="110"/>
      <c r="B116" s="40" t="s">
        <v>227</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v>0</v>
      </c>
      <c r="AA116" s="112"/>
      <c r="AB116" s="116"/>
      <c r="AC116" s="114"/>
      <c r="AD116" s="5"/>
    </row>
    <row r="117" spans="1:30" s="23" customFormat="1" x14ac:dyDescent="0.3">
      <c r="A117" s="47"/>
      <c r="B117" s="40" t="s">
        <v>156</v>
      </c>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238">
        <v>0</v>
      </c>
      <c r="AA117" s="97"/>
      <c r="AB117" s="98"/>
      <c r="AC117" s="43"/>
      <c r="AD117" s="22"/>
    </row>
    <row r="118" spans="1:30" s="23" customFormat="1" x14ac:dyDescent="0.3">
      <c r="A118" s="47"/>
      <c r="B118" s="40" t="s">
        <v>157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8">
        <v>0</v>
      </c>
      <c r="AA118" s="97"/>
      <c r="AB118" s="98"/>
      <c r="AC118" s="43"/>
      <c r="AD118" s="22"/>
    </row>
    <row r="119" spans="1:30" s="23" customFormat="1" x14ac:dyDescent="0.3">
      <c r="A119" s="47"/>
      <c r="B119" s="40" t="s">
        <v>262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263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312</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-1277</v>
      </c>
      <c r="AA121" s="97"/>
      <c r="AB121" s="98"/>
      <c r="AC121" s="43"/>
      <c r="AD121" s="22"/>
    </row>
    <row r="122" spans="1:30" s="23" customFormat="1" x14ac:dyDescent="0.3">
      <c r="A122" s="47"/>
      <c r="B122" s="40" t="s">
        <v>142</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143</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0</v>
      </c>
      <c r="AA123" s="97"/>
      <c r="AB123" s="98"/>
      <c r="AC123" s="43"/>
      <c r="AD123" s="22"/>
    </row>
    <row r="124" spans="1:30" s="23" customFormat="1" x14ac:dyDescent="0.3">
      <c r="A124" s="47"/>
      <c r="B124" s="40" t="s">
        <v>173</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163</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189</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30</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f>SUM(Z116:Z126)</f>
        <v>-1277</v>
      </c>
      <c r="AA127" s="97"/>
      <c r="AB127" s="97">
        <f>SUM(AB87:AB125)</f>
        <v>-5713</v>
      </c>
      <c r="AC127" s="43"/>
      <c r="AD127" s="22"/>
    </row>
    <row r="128" spans="1:30" s="23" customFormat="1" x14ac:dyDescent="0.3">
      <c r="A128" s="47"/>
      <c r="B128" s="40" t="s">
        <v>31</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f>Z86+Z127+Z99</f>
        <v>2</v>
      </c>
      <c r="AA128" s="97"/>
      <c r="AB128" s="97">
        <f>AB86+AB127</f>
        <v>0</v>
      </c>
      <c r="AC128" s="43"/>
      <c r="AD128" s="22"/>
    </row>
    <row r="129" spans="1:30" s="23" customFormat="1" x14ac:dyDescent="0.3">
      <c r="A129" s="18"/>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106"/>
      <c r="AA129" s="106"/>
      <c r="AB129" s="106"/>
      <c r="AC129" s="21"/>
      <c r="AD129" s="22"/>
    </row>
    <row r="130" spans="1:30" s="23" customFormat="1" x14ac:dyDescent="0.3">
      <c r="A130" s="18"/>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117"/>
      <c r="AC130" s="21"/>
      <c r="AD130" s="22"/>
    </row>
    <row r="131" spans="1:30" s="23" customFormat="1" ht="18.600000000000001" thickBot="1" x14ac:dyDescent="0.4">
      <c r="A131" s="83"/>
      <c r="B131" s="84" t="str">
        <f>B53</f>
        <v>PM27 INVESTOR REPORT QUARTER ENDING JUNE 2020</v>
      </c>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118"/>
      <c r="AC131" s="87"/>
      <c r="AD131" s="22"/>
    </row>
    <row r="132" spans="1:30" x14ac:dyDescent="0.3">
      <c r="A132" s="119"/>
      <c r="B132" s="120" t="s">
        <v>32</v>
      </c>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2"/>
      <c r="AC132" s="123"/>
      <c r="AD132" s="5"/>
    </row>
    <row r="133" spans="1:30" x14ac:dyDescent="0.3">
      <c r="A133" s="7"/>
      <c r="B133" s="124"/>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1"/>
      <c r="AC133" s="10"/>
      <c r="AD133" s="5"/>
    </row>
    <row r="134" spans="1:30" x14ac:dyDescent="0.3">
      <c r="A134" s="7"/>
      <c r="B134" s="125" t="s">
        <v>192</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1"/>
      <c r="AC134" s="10"/>
      <c r="AD134" s="5"/>
    </row>
    <row r="135" spans="1:30" s="23" customFormat="1" x14ac:dyDescent="0.3">
      <c r="A135" s="47"/>
      <c r="B135" s="40" t="s">
        <v>199</v>
      </c>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98">
        <f>SUM(F29:H29)*1.5%</f>
        <v>10351.994999999999</v>
      </c>
      <c r="AC135" s="43"/>
      <c r="AD135" s="22"/>
    </row>
    <row r="136" spans="1:30" s="23" customFormat="1" x14ac:dyDescent="0.3">
      <c r="A136" s="47"/>
      <c r="B136" s="40" t="s">
        <v>204</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8">
        <f>SUM(F29:H29)*0.015</f>
        <v>10351.994999999999</v>
      </c>
      <c r="AC136" s="43"/>
      <c r="AD136" s="22"/>
    </row>
    <row r="137" spans="1:30" s="23" customFormat="1" x14ac:dyDescent="0.3">
      <c r="A137" s="47"/>
      <c r="B137" s="40" t="s">
        <v>248</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8"/>
      <c r="AC137" s="43"/>
      <c r="AD137" s="22"/>
    </row>
    <row r="138" spans="1:30" s="23" customFormat="1" x14ac:dyDescent="0.3">
      <c r="A138" s="47"/>
      <c r="B138" s="40" t="s">
        <v>250</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v>0</v>
      </c>
      <c r="AC138" s="43"/>
      <c r="AD138" s="22"/>
    </row>
    <row r="139" spans="1:30" s="23" customFormat="1" x14ac:dyDescent="0.3">
      <c r="A139" s="47"/>
      <c r="B139" s="40" t="s">
        <v>198</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v>0</v>
      </c>
      <c r="AC139" s="43"/>
      <c r="AD139" s="22"/>
    </row>
    <row r="140" spans="1:30" s="23" customFormat="1" x14ac:dyDescent="0.3">
      <c r="A140" s="47"/>
      <c r="B140" s="40" t="s">
        <v>150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v>0</v>
      </c>
      <c r="AC140" s="43"/>
      <c r="AD140" s="22"/>
    </row>
    <row r="141" spans="1:30" s="23" customFormat="1" x14ac:dyDescent="0.3">
      <c r="A141" s="47"/>
      <c r="B141" s="40" t="s">
        <v>87</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251</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0</v>
      </c>
      <c r="AC142" s="43"/>
      <c r="AD142" s="22"/>
    </row>
    <row r="143" spans="1:30" s="23" customFormat="1" x14ac:dyDescent="0.3">
      <c r="A143" s="47"/>
      <c r="B143" s="40" t="s">
        <v>203</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f>SUM(AB136:AB142)</f>
        <v>10351.994999999999</v>
      </c>
      <c r="AC143" s="43"/>
      <c r="AD143" s="22"/>
    </row>
    <row r="144" spans="1:30" x14ac:dyDescent="0.3">
      <c r="A144" s="7"/>
      <c r="B144" s="124"/>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1"/>
      <c r="AC144" s="10"/>
      <c r="AD144" s="5"/>
    </row>
    <row r="145" spans="1:30" x14ac:dyDescent="0.3">
      <c r="A145" s="7"/>
      <c r="B145" s="125" t="s">
        <v>190</v>
      </c>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1"/>
      <c r="AC145" s="10"/>
      <c r="AD145" s="5"/>
    </row>
    <row r="146" spans="1:30" s="23" customFormat="1" x14ac:dyDescent="0.3">
      <c r="A146" s="47"/>
      <c r="B146" s="59" t="s">
        <v>191</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SUM(J29:L29)*1.5%</f>
        <v>684.42</v>
      </c>
      <c r="AC146" s="43"/>
      <c r="AD146" s="22"/>
    </row>
    <row r="147" spans="1:30" s="23" customFormat="1" x14ac:dyDescent="0.3">
      <c r="A147" s="47"/>
      <c r="B147" s="59" t="s">
        <v>205</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8">
        <f>SUM(J29:L29)*0.015</f>
        <v>684.42</v>
      </c>
      <c r="AC147" s="43"/>
      <c r="AD147" s="22"/>
    </row>
    <row r="148" spans="1:30" s="23" customFormat="1" x14ac:dyDescent="0.3">
      <c r="A148" s="47"/>
      <c r="B148" s="59" t="s">
        <v>93</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8"/>
      <c r="AC148" s="43"/>
      <c r="AD148" s="22"/>
    </row>
    <row r="149" spans="1:30" s="23" customFormat="1" x14ac:dyDescent="0.3">
      <c r="A149" s="47"/>
      <c r="B149" s="40" t="s">
        <v>250</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v>0</v>
      </c>
      <c r="AC149" s="43"/>
      <c r="AD149" s="22"/>
    </row>
    <row r="150" spans="1:30" s="23" customFormat="1" x14ac:dyDescent="0.3">
      <c r="A150" s="47"/>
      <c r="B150" s="59" t="s">
        <v>129</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v>0</v>
      </c>
      <c r="AC150" s="43"/>
      <c r="AD150" s="22"/>
    </row>
    <row r="151" spans="1:30" s="23" customFormat="1" x14ac:dyDescent="0.3">
      <c r="A151" s="47"/>
      <c r="B151" s="59" t="s">
        <v>150</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v>0</v>
      </c>
      <c r="AC151" s="43"/>
      <c r="AD151" s="22"/>
    </row>
    <row r="152" spans="1:30" s="23" customFormat="1" x14ac:dyDescent="0.3">
      <c r="A152" s="47"/>
      <c r="B152" s="59" t="s">
        <v>151</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0" s="23" customFormat="1" x14ac:dyDescent="0.3">
      <c r="A153" s="47"/>
      <c r="B153" s="59" t="s">
        <v>180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0" s="23" customFormat="1" x14ac:dyDescent="0.3">
      <c r="A154" s="47"/>
      <c r="B154" s="59" t="s">
        <v>87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0" s="23" customFormat="1" x14ac:dyDescent="0.3">
      <c r="A155" s="47"/>
      <c r="B155" s="40" t="s">
        <v>251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0" s="23" customFormat="1" x14ac:dyDescent="0.3">
      <c r="A156" s="47"/>
      <c r="B156" s="59" t="s">
        <v>202</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f>SUM(AB147:AB155)</f>
        <v>684.42</v>
      </c>
      <c r="AC156" s="43"/>
      <c r="AD156" s="22"/>
    </row>
    <row r="157" spans="1:30" x14ac:dyDescent="0.3">
      <c r="A157" s="7"/>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126"/>
      <c r="AC157" s="10"/>
      <c r="AD157" s="5"/>
    </row>
    <row r="158" spans="1:30" x14ac:dyDescent="0.3">
      <c r="A158" s="7"/>
      <c r="B158" s="125" t="s">
        <v>174</v>
      </c>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8"/>
      <c r="AC158" s="10"/>
      <c r="AD158" s="5"/>
    </row>
    <row r="159" spans="1:30" s="23" customFormat="1" x14ac:dyDescent="0.3">
      <c r="A159" s="129"/>
      <c r="B159" s="230" t="s">
        <v>281</v>
      </c>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1">
        <v>812</v>
      </c>
      <c r="AC159" s="132"/>
      <c r="AD159" s="22"/>
    </row>
    <row r="160" spans="1:30" s="23" customFormat="1" x14ac:dyDescent="0.3">
      <c r="A160" s="129"/>
      <c r="B160" s="230" t="s">
        <v>175</v>
      </c>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1">
        <f>X64</f>
        <v>-73</v>
      </c>
      <c r="AC160" s="132"/>
      <c r="AD160" s="22"/>
    </row>
    <row r="161" spans="1:262" s="23" customFormat="1" x14ac:dyDescent="0.3">
      <c r="A161" s="129"/>
      <c r="B161" s="230" t="s">
        <v>249</v>
      </c>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1">
        <v>0</v>
      </c>
      <c r="AC161" s="132"/>
      <c r="AD161" s="22"/>
    </row>
    <row r="162" spans="1:262" s="23" customFormat="1" x14ac:dyDescent="0.3">
      <c r="A162" s="129"/>
      <c r="B162" s="230" t="s">
        <v>176</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AB159+AB160</f>
        <v>739</v>
      </c>
      <c r="AC162" s="132"/>
      <c r="AD162" s="22"/>
    </row>
    <row r="163" spans="1:262" x14ac:dyDescent="0.3">
      <c r="A163" s="7"/>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126"/>
      <c r="AC163" s="10"/>
      <c r="AD163" s="5"/>
    </row>
    <row r="164" spans="1:262" x14ac:dyDescent="0.3">
      <c r="A164" s="7"/>
      <c r="B164" s="125" t="s">
        <v>34</v>
      </c>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133"/>
      <c r="AC164" s="10"/>
      <c r="AD164" s="5"/>
    </row>
    <row r="165" spans="1:262" s="23" customFormat="1" x14ac:dyDescent="0.3">
      <c r="A165" s="47"/>
      <c r="B165" s="40" t="s">
        <v>35</v>
      </c>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98">
        <v>0</v>
      </c>
      <c r="AC165" s="43"/>
      <c r="AD165" s="22"/>
    </row>
    <row r="166" spans="1:262" s="23" customFormat="1" x14ac:dyDescent="0.3">
      <c r="A166" s="47"/>
      <c r="B166" s="40" t="s">
        <v>36</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8">
        <v>0</v>
      </c>
      <c r="AC166" s="43"/>
      <c r="AD166" s="22"/>
    </row>
    <row r="167" spans="1:262" s="23" customFormat="1" x14ac:dyDescent="0.3">
      <c r="A167" s="47"/>
      <c r="B167" s="40" t="s">
        <v>219</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8">
        <v>0</v>
      </c>
      <c r="AC167" s="43"/>
      <c r="AD167" s="22"/>
    </row>
    <row r="168" spans="1:262" s="23" customFormat="1" x14ac:dyDescent="0.3">
      <c r="A168" s="47"/>
      <c r="B168" s="40" t="s">
        <v>37</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AB166+AB165+AB167</f>
        <v>0</v>
      </c>
      <c r="AC168" s="43"/>
      <c r="AD168" s="22"/>
    </row>
    <row r="169" spans="1:262" s="23" customFormat="1" x14ac:dyDescent="0.3">
      <c r="A169" s="47"/>
      <c r="B169" s="40" t="s">
        <v>268</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f>+AB99</f>
        <v>0</v>
      </c>
      <c r="AC169" s="43"/>
      <c r="AD169" s="22"/>
    </row>
    <row r="170" spans="1:262" s="23" customFormat="1" x14ac:dyDescent="0.3">
      <c r="A170" s="47"/>
      <c r="B170" s="40" t="s">
        <v>38</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f>AB168+AB169</f>
        <v>0</v>
      </c>
      <c r="AC170" s="43"/>
      <c r="AD170" s="22"/>
    </row>
    <row r="171" spans="1:262" s="23" customFormat="1" x14ac:dyDescent="0.3">
      <c r="A171" s="47"/>
      <c r="B171" s="40" t="s">
        <v>124</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-AB85</f>
        <v>0</v>
      </c>
      <c r="AC171" s="43"/>
      <c r="AD171" s="22"/>
    </row>
    <row r="172" spans="1:262" ht="16.2" thickBot="1" x14ac:dyDescent="0.35">
      <c r="A172" s="7"/>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126"/>
      <c r="AC172" s="10"/>
      <c r="AD172" s="5"/>
    </row>
    <row r="173" spans="1:262" x14ac:dyDescent="0.3">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134"/>
      <c r="AC173" s="4"/>
      <c r="AD173" s="5"/>
    </row>
    <row r="174" spans="1:262" s="136" customFormat="1" x14ac:dyDescent="0.3">
      <c r="A174" s="7"/>
      <c r="B174" s="125" t="s">
        <v>193</v>
      </c>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135"/>
      <c r="AC174" s="10"/>
      <c r="AD174" s="5"/>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row>
    <row r="175" spans="1:262" s="137" customFormat="1" x14ac:dyDescent="0.3">
      <c r="A175" s="47"/>
      <c r="B175" s="40" t="s">
        <v>332</v>
      </c>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98">
        <v>0</v>
      </c>
      <c r="AC175" s="43"/>
      <c r="AD175" s="22"/>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row>
    <row r="176" spans="1:262" s="137" customFormat="1" x14ac:dyDescent="0.3">
      <c r="A176" s="47"/>
      <c r="B176" s="40" t="s">
        <v>210</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8">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7" customFormat="1" x14ac:dyDescent="0.3">
      <c r="A177" s="47"/>
      <c r="B177" s="40" t="s">
        <v>234</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8">
        <f>-AB185</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7" customFormat="1" x14ac:dyDescent="0.3">
      <c r="A178" s="47"/>
      <c r="B178" s="40" t="s">
        <v>236</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f>+AB81</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207</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+AB176+AB177-AB178</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9" customFormat="1" ht="16.2" thickBot="1" x14ac:dyDescent="0.35">
      <c r="A180" s="138"/>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126"/>
      <c r="AC180" s="10"/>
      <c r="AD180" s="5"/>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row>
    <row r="181" spans="1:262" x14ac:dyDescent="0.3">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134"/>
      <c r="AC181" s="4"/>
      <c r="AD181" s="5"/>
    </row>
    <row r="182" spans="1:262" s="136" customFormat="1" x14ac:dyDescent="0.3">
      <c r="A182" s="7"/>
      <c r="B182" s="125" t="s">
        <v>206</v>
      </c>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135"/>
      <c r="AC182" s="10"/>
      <c r="AD182" s="5"/>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row>
    <row r="183" spans="1:262" s="137" customFormat="1" x14ac:dyDescent="0.3">
      <c r="A183" s="47"/>
      <c r="B183" s="40" t="s">
        <v>208</v>
      </c>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98">
        <v>300</v>
      </c>
      <c r="AC183" s="43"/>
      <c r="AD183" s="22"/>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row>
    <row r="184" spans="1:262" s="137" customFormat="1" x14ac:dyDescent="0.3">
      <c r="A184" s="47"/>
      <c r="B184" s="40" t="s">
        <v>211</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98">
        <v>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7" customFormat="1" x14ac:dyDescent="0.3">
      <c r="A185" s="47"/>
      <c r="B185" s="59" t="s">
        <v>228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8">
        <v>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7" customFormat="1" x14ac:dyDescent="0.3">
      <c r="A186" s="47"/>
      <c r="B186" s="59" t="s">
        <v>229</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f>-AB100</f>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209</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AB183-AB185+AB186</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9" customFormat="1" ht="16.2" thickBot="1" x14ac:dyDescent="0.35">
      <c r="A188" s="138"/>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126"/>
      <c r="AC188" s="10"/>
      <c r="AD188" s="5"/>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row>
    <row r="189" spans="1:262" x14ac:dyDescent="0.3">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134"/>
      <c r="AC189" s="4"/>
      <c r="AD189" s="5"/>
    </row>
    <row r="190" spans="1:262" s="136" customFormat="1" x14ac:dyDescent="0.3">
      <c r="A190" s="7"/>
      <c r="B190" s="125" t="s">
        <v>212</v>
      </c>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135"/>
      <c r="AC190" s="10"/>
      <c r="AD190" s="5"/>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row>
    <row r="191" spans="1:262" s="137" customFormat="1" x14ac:dyDescent="0.3">
      <c r="A191" s="47"/>
      <c r="B191" s="40" t="s">
        <v>334</v>
      </c>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98">
        <v>0</v>
      </c>
      <c r="AC191" s="43"/>
      <c r="AD191" s="22"/>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row>
    <row r="192" spans="1:262" s="137" customFormat="1" x14ac:dyDescent="0.3">
      <c r="A192" s="47"/>
      <c r="B192" s="40" t="s">
        <v>213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98">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7" customFormat="1" x14ac:dyDescent="0.3">
      <c r="A193" s="47"/>
      <c r="B193" s="40" t="s">
        <v>235</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8">
        <f>AB201</f>
        <v>0</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7"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f>AB82</f>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346</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AB192+AB193-AB194</f>
        <v>0</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9" customFormat="1" ht="16.2" thickBot="1" x14ac:dyDescent="0.35">
      <c r="A196" s="138"/>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126"/>
      <c r="AC196" s="10"/>
      <c r="AD196" s="5"/>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row>
    <row r="197" spans="1:262" x14ac:dyDescent="0.3">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134"/>
      <c r="AC197" s="4"/>
      <c r="AD197" s="5"/>
    </row>
    <row r="198" spans="1:262" s="136" customFormat="1" x14ac:dyDescent="0.3">
      <c r="A198" s="7"/>
      <c r="B198" s="125" t="s">
        <v>333</v>
      </c>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135"/>
      <c r="AC198" s="10"/>
      <c r="AD198" s="5"/>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row>
    <row r="199" spans="1:262" s="137" customFormat="1" x14ac:dyDescent="0.3">
      <c r="A199" s="47"/>
      <c r="B199" s="40" t="s">
        <v>214</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v>301</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7" customFormat="1" x14ac:dyDescent="0.3">
      <c r="A200" s="47"/>
      <c r="B200" s="40" t="s">
        <v>215</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98">
        <v>0</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7" customFormat="1" x14ac:dyDescent="0.3">
      <c r="A201" s="47"/>
      <c r="B201" s="59" t="s">
        <v>256</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8">
        <v>0</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7" customFormat="1" x14ac:dyDescent="0.3">
      <c r="A202" s="47"/>
      <c r="B202" s="59" t="s">
        <v>231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f>-AB101</f>
        <v>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AB199-AB201+AB202</f>
        <v>301</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9" customFormat="1" ht="16.2" thickBot="1" x14ac:dyDescent="0.35">
      <c r="A204" s="138"/>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126"/>
      <c r="AC204" s="10"/>
      <c r="AD204" s="5"/>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row>
    <row r="205" spans="1:262" x14ac:dyDescent="0.3">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134"/>
      <c r="AC205" s="4"/>
      <c r="AD205" s="5"/>
    </row>
    <row r="206" spans="1:262" s="136" customFormat="1" x14ac:dyDescent="0.3">
      <c r="A206" s="7"/>
      <c r="B206" s="125" t="s">
        <v>237</v>
      </c>
      <c r="C206" s="99"/>
      <c r="D206" s="99"/>
      <c r="E206" s="99"/>
      <c r="F206" s="99"/>
      <c r="G206" s="99"/>
      <c r="H206" s="99"/>
      <c r="I206" s="99"/>
      <c r="J206" s="99"/>
      <c r="K206" s="99"/>
      <c r="L206" s="99"/>
      <c r="M206" s="99"/>
      <c r="N206" s="99"/>
      <c r="O206" s="99"/>
      <c r="P206" s="99"/>
      <c r="Q206" s="99"/>
      <c r="R206" s="99"/>
      <c r="S206" s="99"/>
      <c r="T206" s="99"/>
      <c r="U206" s="99"/>
      <c r="V206" s="99"/>
      <c r="W206" s="99"/>
      <c r="X206" s="99"/>
      <c r="Y206" s="233" t="s">
        <v>243</v>
      </c>
      <c r="Z206" s="233" t="s">
        <v>244</v>
      </c>
      <c r="AA206" s="12"/>
      <c r="AB206" s="234" t="s">
        <v>80</v>
      </c>
      <c r="AC206" s="10"/>
      <c r="AD206" s="5"/>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row>
    <row r="207" spans="1:262" s="137" customFormat="1" x14ac:dyDescent="0.3">
      <c r="A207" s="47"/>
      <c r="B207" s="40" t="s">
        <v>238</v>
      </c>
      <c r="C207" s="40"/>
      <c r="D207" s="40"/>
      <c r="E207" s="40"/>
      <c r="F207" s="40"/>
      <c r="G207" s="40"/>
      <c r="H207" s="40"/>
      <c r="I207" s="40"/>
      <c r="J207" s="40"/>
      <c r="K207" s="40"/>
      <c r="L207" s="40"/>
      <c r="M207" s="40"/>
      <c r="N207" s="40"/>
      <c r="O207" s="40"/>
      <c r="P207" s="40"/>
      <c r="Q207" s="40"/>
      <c r="R207" s="40"/>
      <c r="S207" s="40"/>
      <c r="T207" s="40"/>
      <c r="U207" s="40"/>
      <c r="V207" s="40"/>
      <c r="W207" s="40"/>
      <c r="X207" s="40"/>
      <c r="Y207" s="98">
        <f>SUM(F29:R29)*0.16</f>
        <v>124206.40000000001</v>
      </c>
      <c r="Z207" s="70"/>
      <c r="AA207" s="40"/>
      <c r="AB207" s="98"/>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7" customFormat="1" x14ac:dyDescent="0.3">
      <c r="A208" s="47"/>
      <c r="B208" s="40" t="s">
        <v>239</v>
      </c>
      <c r="C208" s="40"/>
      <c r="D208" s="40"/>
      <c r="E208" s="40"/>
      <c r="F208" s="40"/>
      <c r="G208" s="40"/>
      <c r="H208" s="40"/>
      <c r="I208" s="40"/>
      <c r="J208" s="40"/>
      <c r="K208" s="40"/>
      <c r="L208" s="40"/>
      <c r="M208" s="40"/>
      <c r="N208" s="40"/>
      <c r="O208" s="40"/>
      <c r="P208" s="40"/>
      <c r="Q208" s="40"/>
      <c r="R208" s="40"/>
      <c r="S208" s="40"/>
      <c r="T208" s="40"/>
      <c r="U208" s="40"/>
      <c r="V208" s="40"/>
      <c r="W208" s="40"/>
      <c r="X208" s="40"/>
      <c r="Y208" s="98">
        <v>0</v>
      </c>
      <c r="Z208" s="98">
        <v>0</v>
      </c>
      <c r="AA208" s="40"/>
      <c r="AB208" s="98">
        <f>Y208+Z208</f>
        <v>0</v>
      </c>
      <c r="AC208" s="43"/>
      <c r="AD208" s="22"/>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row>
    <row r="209" spans="1:262" s="137" customFormat="1" x14ac:dyDescent="0.3">
      <c r="A209" s="47"/>
      <c r="B209" s="40" t="s">
        <v>240</v>
      </c>
      <c r="C209" s="40"/>
      <c r="D209" s="40"/>
      <c r="E209" s="40"/>
      <c r="F209" s="40"/>
      <c r="G209" s="40"/>
      <c r="H209" s="40"/>
      <c r="I209" s="40"/>
      <c r="J209" s="40"/>
      <c r="K209" s="40"/>
      <c r="L209" s="40"/>
      <c r="M209" s="40"/>
      <c r="N209" s="40"/>
      <c r="O209" s="40"/>
      <c r="P209" s="40"/>
      <c r="Q209" s="40"/>
      <c r="R209" s="40"/>
      <c r="S209" s="40"/>
      <c r="T209" s="40"/>
      <c r="U209" s="40"/>
      <c r="V209" s="40"/>
      <c r="W209" s="40"/>
      <c r="X209" s="40"/>
      <c r="Y209" s="97">
        <v>0</v>
      </c>
      <c r="Z209" s="97">
        <v>73</v>
      </c>
      <c r="AA209" s="40"/>
      <c r="AB209" s="98">
        <f>Y209+Z209</f>
        <v>73</v>
      </c>
      <c r="AC209" s="43"/>
      <c r="AD209" s="22"/>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row>
    <row r="210" spans="1:262" s="137" customFormat="1" x14ac:dyDescent="0.3">
      <c r="A210" s="47"/>
      <c r="B210" s="40" t="s">
        <v>241</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Y208+Y209</f>
        <v>0</v>
      </c>
      <c r="Z210" s="98">
        <f>Z209+Z208</f>
        <v>73</v>
      </c>
      <c r="AA210" s="40"/>
      <c r="AB210" s="98">
        <f>Y210+Z210</f>
        <v>73</v>
      </c>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242</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Y207-Y210-Z210</f>
        <v>124133.40000000001</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9" customFormat="1" ht="16.2" thickBot="1" x14ac:dyDescent="0.35">
      <c r="A212" s="138"/>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126"/>
      <c r="AC212" s="10"/>
      <c r="AD212" s="5"/>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row>
    <row r="213" spans="1:262" x14ac:dyDescent="0.3">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134"/>
      <c r="AC213" s="4"/>
      <c r="AD213" s="5"/>
    </row>
    <row r="214" spans="1:262" s="136" customFormat="1" x14ac:dyDescent="0.3">
      <c r="A214" s="7"/>
      <c r="B214" s="125" t="s">
        <v>267</v>
      </c>
      <c r="C214" s="99"/>
      <c r="D214" s="99"/>
      <c r="E214" s="99"/>
      <c r="F214" s="99"/>
      <c r="G214" s="99"/>
      <c r="H214" s="99"/>
      <c r="I214" s="99"/>
      <c r="J214" s="99"/>
      <c r="K214" s="99"/>
      <c r="L214" s="99"/>
      <c r="M214" s="99"/>
      <c r="N214" s="99"/>
      <c r="O214" s="99"/>
      <c r="P214" s="99"/>
      <c r="Q214" s="99"/>
      <c r="R214" s="99"/>
      <c r="S214" s="99"/>
      <c r="T214" s="99"/>
      <c r="U214" s="99"/>
      <c r="V214" s="99"/>
      <c r="W214" s="99"/>
      <c r="X214" s="99"/>
      <c r="Y214" s="233"/>
      <c r="Z214" s="233"/>
      <c r="AA214" s="12"/>
      <c r="AB214" s="234" t="s">
        <v>80</v>
      </c>
      <c r="AC214" s="10"/>
      <c r="AD214" s="5"/>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row>
    <row r="215" spans="1:262" s="137" customFormat="1" x14ac:dyDescent="0.3">
      <c r="A215" s="47"/>
      <c r="B215" s="40" t="s">
        <v>265</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c r="Z215" s="70"/>
      <c r="AA215" s="40"/>
      <c r="AB215" s="237">
        <v>763000</v>
      </c>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7" customFormat="1" x14ac:dyDescent="0.3">
      <c r="A216" s="47"/>
      <c r="B216" s="40" t="s">
        <v>325</v>
      </c>
      <c r="C216" s="40"/>
      <c r="D216" s="40"/>
      <c r="E216" s="40"/>
      <c r="F216" s="40"/>
      <c r="G216" s="40"/>
      <c r="H216" s="40"/>
      <c r="I216" s="40"/>
      <c r="J216" s="40"/>
      <c r="K216" s="40"/>
      <c r="L216" s="40"/>
      <c r="M216" s="40"/>
      <c r="N216" s="40"/>
      <c r="O216" s="40"/>
      <c r="P216" s="40"/>
      <c r="Q216" s="40"/>
      <c r="R216" s="40"/>
      <c r="S216" s="40"/>
      <c r="T216" s="40"/>
      <c r="U216" s="40"/>
      <c r="V216" s="40"/>
      <c r="W216" s="40"/>
      <c r="X216" s="40"/>
      <c r="Y216" s="98"/>
      <c r="Z216" s="98"/>
      <c r="AA216" s="40"/>
      <c r="AB216" s="237">
        <v>758460</v>
      </c>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7" customFormat="1" x14ac:dyDescent="0.3">
      <c r="A217" s="47"/>
      <c r="B217" s="40" t="s">
        <v>266</v>
      </c>
      <c r="C217" s="40"/>
      <c r="D217" s="40"/>
      <c r="E217" s="40"/>
      <c r="F217" s="40"/>
      <c r="G217" s="40"/>
      <c r="H217" s="40"/>
      <c r="I217" s="40"/>
      <c r="J217" s="40"/>
      <c r="K217" s="40"/>
      <c r="L217" s="40"/>
      <c r="M217" s="40"/>
      <c r="N217" s="40"/>
      <c r="O217" s="40"/>
      <c r="P217" s="40"/>
      <c r="Q217" s="40"/>
      <c r="R217" s="40"/>
      <c r="S217" s="40"/>
      <c r="T217" s="40"/>
      <c r="U217" s="40"/>
      <c r="V217" s="40"/>
      <c r="W217" s="40"/>
      <c r="X217" s="40"/>
      <c r="Y217" s="98"/>
      <c r="Z217" s="98"/>
      <c r="AA217" s="40"/>
      <c r="AB217" s="98">
        <f>AB215-AB216</f>
        <v>4540</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7" customFormat="1" x14ac:dyDescent="0.3">
      <c r="A218" s="47"/>
      <c r="B218" s="40" t="s">
        <v>279</v>
      </c>
      <c r="C218" s="40"/>
      <c r="D218" s="40"/>
      <c r="E218" s="40"/>
      <c r="F218" s="40"/>
      <c r="G218" s="40"/>
      <c r="H218" s="40"/>
      <c r="I218" s="40"/>
      <c r="J218" s="40"/>
      <c r="K218" s="40"/>
      <c r="L218" s="40"/>
      <c r="M218" s="40"/>
      <c r="N218" s="40"/>
      <c r="O218" s="40"/>
      <c r="P218" s="40"/>
      <c r="Q218" s="40"/>
      <c r="R218" s="40"/>
      <c r="S218" s="40"/>
      <c r="T218" s="40"/>
      <c r="U218" s="40"/>
      <c r="V218" s="40"/>
      <c r="W218" s="40"/>
      <c r="X218" s="40"/>
      <c r="Y218" s="97"/>
      <c r="Z218" s="97"/>
      <c r="AA218" s="40"/>
      <c r="AB218" s="240">
        <v>4.5999999999999999E-3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9" customFormat="1" ht="16.2" thickBot="1" x14ac:dyDescent="0.35">
      <c r="A219" s="138"/>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126"/>
      <c r="AC219" s="10"/>
      <c r="AD219" s="5"/>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row>
    <row r="220" spans="1:262" x14ac:dyDescent="0.3">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134"/>
      <c r="AC220" s="4"/>
      <c r="AD220" s="5"/>
    </row>
    <row r="221" spans="1:262" x14ac:dyDescent="0.3">
      <c r="A221" s="7"/>
      <c r="B221" s="125" t="s">
        <v>39</v>
      </c>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140"/>
      <c r="AC221" s="10"/>
      <c r="AD221" s="5"/>
    </row>
    <row r="222" spans="1:262" s="23" customFormat="1" x14ac:dyDescent="0.3">
      <c r="A222" s="47"/>
      <c r="B222" s="40" t="s">
        <v>40</v>
      </c>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142">
        <f>(AB86+AB88+AB89+AB90+AB91)/-AB92</f>
        <v>1.89446916719644</v>
      </c>
      <c r="AC222" s="43" t="s">
        <v>81</v>
      </c>
      <c r="AD222" s="22"/>
    </row>
    <row r="223" spans="1:262" s="23" customFormat="1" x14ac:dyDescent="0.3">
      <c r="A223" s="47"/>
      <c r="B223" s="40" t="s">
        <v>41</v>
      </c>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142">
        <v>1.89</v>
      </c>
      <c r="AC223" s="43" t="s">
        <v>81</v>
      </c>
      <c r="AD223" s="22"/>
    </row>
    <row r="224" spans="1:262" s="23" customFormat="1" x14ac:dyDescent="0.3">
      <c r="A224" s="47"/>
      <c r="B224" s="40" t="s">
        <v>144</v>
      </c>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141">
        <f>(AB86+AB88+AB89+AB90+AB91+AB92)/-(AB93)</f>
        <v>10.345588235294118</v>
      </c>
      <c r="AC224" s="43" t="s">
        <v>81</v>
      </c>
      <c r="AD224" s="22"/>
    </row>
    <row r="225" spans="1:30" s="23" customFormat="1" x14ac:dyDescent="0.3">
      <c r="A225" s="47"/>
      <c r="B225" s="40" t="s">
        <v>145</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v>10.35</v>
      </c>
      <c r="AC225" s="43" t="s">
        <v>81</v>
      </c>
      <c r="AD225" s="22"/>
    </row>
    <row r="226" spans="1:30" s="23" customFormat="1" x14ac:dyDescent="0.3">
      <c r="A226" s="47"/>
      <c r="B226" s="40" t="s">
        <v>146</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1">
        <f>(AB86+AB88+AB89+AB90+AB91+AB92+AB93)/-(AB95)</f>
        <v>14.280898876404494</v>
      </c>
      <c r="AC226" s="43" t="s">
        <v>81</v>
      </c>
      <c r="AD226" s="22"/>
    </row>
    <row r="227" spans="1:30" s="23" customFormat="1" x14ac:dyDescent="0.3">
      <c r="A227" s="47"/>
      <c r="B227" s="40" t="s">
        <v>147</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14.28</v>
      </c>
      <c r="AC227" s="43" t="s">
        <v>81</v>
      </c>
      <c r="AD227" s="22"/>
    </row>
    <row r="228" spans="1:30" s="23" customFormat="1" x14ac:dyDescent="0.3">
      <c r="A228" s="47"/>
      <c r="B228" s="40" t="s">
        <v>177</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(AB86+AB88+AB89+AB90+AB91+AB92+AB93+AB95)/-(AB96)</f>
        <v>11.475728155339805</v>
      </c>
      <c r="AC228" s="43" t="s">
        <v>81</v>
      </c>
      <c r="AD228" s="22"/>
    </row>
    <row r="229" spans="1:30" s="23" customFormat="1" x14ac:dyDescent="0.3">
      <c r="A229" s="47"/>
      <c r="B229" s="40" t="s">
        <v>178</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11.48</v>
      </c>
      <c r="AC229" s="43" t="s">
        <v>81</v>
      </c>
      <c r="AD229" s="22"/>
    </row>
    <row r="230" spans="1:30" s="23" customFormat="1" x14ac:dyDescent="0.3">
      <c r="A230" s="47"/>
      <c r="B230" s="40" t="s">
        <v>164</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(AB86+AB88+AB89+AB90+AB91+AB92+AB93+AB95+AB96)/-(AB105)</f>
        <v>6.6196319018404912</v>
      </c>
      <c r="AC230" s="43" t="s">
        <v>81</v>
      </c>
      <c r="AD230" s="22"/>
    </row>
    <row r="231" spans="1:30" s="23" customFormat="1" x14ac:dyDescent="0.3">
      <c r="A231" s="47"/>
      <c r="B231" s="40" t="s">
        <v>165</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6.62</v>
      </c>
      <c r="AC231" s="43" t="s">
        <v>81</v>
      </c>
      <c r="AD231" s="22"/>
    </row>
    <row r="232" spans="1:30" s="23" customFormat="1" x14ac:dyDescent="0.3">
      <c r="A232" s="18"/>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21"/>
      <c r="AD232" s="22"/>
    </row>
    <row r="233" spans="1:30" s="23" customFormat="1" x14ac:dyDescent="0.3">
      <c r="A233" s="18"/>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1"/>
      <c r="AD233" s="22"/>
    </row>
    <row r="234" spans="1:30" s="23" customFormat="1" ht="18.600000000000001" thickBot="1" x14ac:dyDescent="0.4">
      <c r="A234" s="83"/>
      <c r="B234" s="84" t="str">
        <f>B131</f>
        <v>PM27 INVESTOR REPORT QUARTER ENDING JUNE 2020</v>
      </c>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7"/>
      <c r="AD234" s="22"/>
    </row>
    <row r="235" spans="1:30" x14ac:dyDescent="0.3">
      <c r="A235" s="119"/>
      <c r="B235" s="120" t="s">
        <v>42</v>
      </c>
      <c r="C235" s="143"/>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v>44012</v>
      </c>
      <c r="AA235" s="121"/>
      <c r="AB235" s="121"/>
      <c r="AC235" s="123"/>
      <c r="AD235" s="5"/>
    </row>
    <row r="236" spans="1:30" x14ac:dyDescent="0.3">
      <c r="A236" s="145"/>
      <c r="B236" s="146"/>
      <c r="C236" s="147"/>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9"/>
      <c r="AB236" s="9"/>
      <c r="AC236" s="10"/>
      <c r="AD236" s="5"/>
    </row>
    <row r="237" spans="1:30" s="23" customFormat="1" x14ac:dyDescent="0.3">
      <c r="A237" s="47"/>
      <c r="B237" s="40" t="s">
        <v>43</v>
      </c>
      <c r="C237" s="149"/>
      <c r="D237" s="73"/>
      <c r="E237" s="73"/>
      <c r="F237" s="73"/>
      <c r="G237" s="73"/>
      <c r="H237" s="73"/>
      <c r="I237" s="73"/>
      <c r="J237" s="73"/>
      <c r="K237" s="73"/>
      <c r="L237" s="73"/>
      <c r="M237" s="73"/>
      <c r="N237" s="73"/>
      <c r="O237" s="73"/>
      <c r="P237" s="73"/>
      <c r="Q237" s="73"/>
      <c r="R237" s="73"/>
      <c r="S237" s="73"/>
      <c r="T237" s="73"/>
      <c r="U237" s="73"/>
      <c r="V237" s="73"/>
      <c r="W237" s="73"/>
      <c r="X237" s="73"/>
      <c r="Y237" s="73"/>
      <c r="Z237" s="67">
        <v>3.5749999999999997E-2</v>
      </c>
      <c r="AA237" s="40"/>
      <c r="AB237" s="40"/>
      <c r="AC237" s="43"/>
      <c r="AD237" s="22"/>
    </row>
    <row r="238" spans="1:30" s="23" customFormat="1" x14ac:dyDescent="0.3">
      <c r="A238" s="47"/>
      <c r="B238" s="40" t="s">
        <v>132</v>
      </c>
      <c r="C238" s="149"/>
      <c r="D238" s="73"/>
      <c r="E238" s="73"/>
      <c r="F238" s="73"/>
      <c r="G238" s="73"/>
      <c r="H238" s="73"/>
      <c r="I238" s="73"/>
      <c r="J238" s="73"/>
      <c r="K238" s="73"/>
      <c r="L238" s="73"/>
      <c r="M238" s="73"/>
      <c r="N238" s="73"/>
      <c r="O238" s="73"/>
      <c r="P238" s="73"/>
      <c r="Q238" s="73"/>
      <c r="R238" s="73"/>
      <c r="S238" s="73"/>
      <c r="T238" s="73"/>
      <c r="U238" s="73"/>
      <c r="V238" s="73"/>
      <c r="W238" s="73"/>
      <c r="X238" s="73"/>
      <c r="Y238" s="73"/>
      <c r="Z238" s="67">
        <f>+AB35</f>
        <v>1.3036129402559968E-2</v>
      </c>
      <c r="AA238" s="40"/>
      <c r="AB238" s="40"/>
      <c r="AC238" s="43"/>
      <c r="AD238" s="22"/>
    </row>
    <row r="239" spans="1:30" s="23" customFormat="1" x14ac:dyDescent="0.3">
      <c r="A239" s="47"/>
      <c r="B239" s="40" t="s">
        <v>44</v>
      </c>
      <c r="C239" s="149"/>
      <c r="D239" s="73"/>
      <c r="E239" s="73"/>
      <c r="F239" s="73"/>
      <c r="G239" s="73"/>
      <c r="H239" s="73"/>
      <c r="I239" s="73"/>
      <c r="J239" s="73"/>
      <c r="K239" s="73"/>
      <c r="L239" s="73"/>
      <c r="M239" s="73"/>
      <c r="N239" s="73"/>
      <c r="O239" s="73"/>
      <c r="P239" s="73"/>
      <c r="Q239" s="73"/>
      <c r="R239" s="73"/>
      <c r="S239" s="73"/>
      <c r="T239" s="73"/>
      <c r="U239" s="73"/>
      <c r="V239" s="73"/>
      <c r="W239" s="73"/>
      <c r="X239" s="73"/>
      <c r="Y239" s="73"/>
      <c r="Z239" s="67">
        <f>Z237-Z238</f>
        <v>2.2713870597440029E-2</v>
      </c>
      <c r="AA239" s="40"/>
      <c r="AB239" s="40"/>
      <c r="AC239" s="43"/>
      <c r="AD239" s="22"/>
    </row>
    <row r="240" spans="1:30" s="23" customFormat="1" x14ac:dyDescent="0.3">
      <c r="A240" s="47"/>
      <c r="B240" s="40" t="s">
        <v>45</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3.5749999999999997E-2</v>
      </c>
      <c r="AA240" s="40"/>
      <c r="AB240" s="40"/>
      <c r="AC240" s="43"/>
      <c r="AD240" s="22"/>
    </row>
    <row r="241" spans="1:30" s="23" customFormat="1" x14ac:dyDescent="0.3">
      <c r="A241" s="47"/>
      <c r="B241" s="40" t="s">
        <v>133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f>+AB35</f>
        <v>1.3036129402559968E-2</v>
      </c>
      <c r="AA241" s="40"/>
      <c r="AB241" s="40"/>
      <c r="AC241" s="43"/>
      <c r="AD241" s="22"/>
    </row>
    <row r="242" spans="1:30" s="23" customFormat="1" x14ac:dyDescent="0.3">
      <c r="A242" s="47"/>
      <c r="B242" s="40" t="s">
        <v>46</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2.2713870597440029E-2</v>
      </c>
      <c r="AA242" s="40"/>
      <c r="AB242" s="40"/>
      <c r="AC242" s="43"/>
      <c r="AD242" s="22"/>
    </row>
    <row r="243" spans="1:30" s="23" customFormat="1" x14ac:dyDescent="0.3">
      <c r="A243" s="47"/>
      <c r="B243" s="40" t="s">
        <v>119</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(+AB86+AB88)/R66</f>
        <v>5.095479422152909E-3</v>
      </c>
      <c r="AA243" s="40"/>
      <c r="AB243" s="40"/>
      <c r="AC243" s="43"/>
      <c r="AD243" s="22"/>
    </row>
    <row r="244" spans="1:30" s="23" customFormat="1" x14ac:dyDescent="0.3">
      <c r="A244" s="47"/>
      <c r="B244" s="40" t="s">
        <v>112</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150">
        <v>53797</v>
      </c>
      <c r="AA244" s="40"/>
      <c r="AB244" s="40"/>
      <c r="AC244" s="43"/>
      <c r="AD244" s="22"/>
    </row>
    <row r="245" spans="1:30" s="23" customFormat="1" x14ac:dyDescent="0.3">
      <c r="A245" s="47"/>
      <c r="B245" s="40" t="s">
        <v>148</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150">
        <v>53797</v>
      </c>
      <c r="AA245" s="40"/>
      <c r="AB245" s="40"/>
      <c r="AC245" s="43"/>
      <c r="AD245" s="22"/>
    </row>
    <row r="246" spans="1:30" s="23" customFormat="1" x14ac:dyDescent="0.3">
      <c r="A246" s="47"/>
      <c r="B246" s="40" t="s">
        <v>149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150">
        <v>53797</v>
      </c>
      <c r="AA246" s="40"/>
      <c r="AB246" s="40"/>
      <c r="AC246" s="43"/>
      <c r="AD246" s="22"/>
    </row>
    <row r="247" spans="1:30" s="23" customFormat="1" x14ac:dyDescent="0.3">
      <c r="A247" s="47"/>
      <c r="B247" s="40" t="s">
        <v>179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53797</v>
      </c>
      <c r="AA247" s="40"/>
      <c r="AB247" s="40"/>
      <c r="AC247" s="43"/>
      <c r="AD247" s="22"/>
    </row>
    <row r="248" spans="1:30" s="23" customFormat="1" x14ac:dyDescent="0.3">
      <c r="A248" s="47"/>
      <c r="B248" s="40" t="s">
        <v>166</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53797</v>
      </c>
      <c r="AA248" s="40"/>
      <c r="AB248" s="40"/>
      <c r="AC248" s="43"/>
      <c r="AD248" s="22"/>
    </row>
    <row r="249" spans="1:30" s="23" customFormat="1" x14ac:dyDescent="0.3">
      <c r="A249" s="47"/>
      <c r="B249" s="40" t="s">
        <v>194</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53797</v>
      </c>
      <c r="AA249" s="40"/>
      <c r="AB249" s="40"/>
      <c r="AC249" s="43"/>
      <c r="AD249" s="22"/>
    </row>
    <row r="250" spans="1:30" s="23" customFormat="1" x14ac:dyDescent="0.3">
      <c r="A250" s="47"/>
      <c r="B250" s="40" t="s">
        <v>195</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53797</v>
      </c>
      <c r="AA250" s="40"/>
      <c r="AB250" s="40"/>
      <c r="AC250" s="43"/>
      <c r="AD250" s="22"/>
    </row>
    <row r="251" spans="1:30" s="23" customFormat="1" x14ac:dyDescent="0.3">
      <c r="A251" s="47"/>
      <c r="B251" s="40" t="s">
        <v>47</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71">
        <v>21.18</v>
      </c>
      <c r="AA251" s="40" t="s">
        <v>76</v>
      </c>
      <c r="AB251" s="40"/>
      <c r="AC251" s="43"/>
      <c r="AD251" s="22"/>
    </row>
    <row r="252" spans="1:30" s="23" customFormat="1" x14ac:dyDescent="0.3">
      <c r="A252" s="47"/>
      <c r="B252" s="40" t="s">
        <v>48</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71">
        <v>21.02</v>
      </c>
      <c r="AA252" s="40" t="s">
        <v>76</v>
      </c>
      <c r="AB252" s="40"/>
      <c r="AC252" s="43"/>
      <c r="AD252" s="22"/>
    </row>
    <row r="253" spans="1:30" s="23" customFormat="1" x14ac:dyDescent="0.3">
      <c r="A253" s="47"/>
      <c r="B253" s="40" t="s">
        <v>49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67">
        <f>(+T57+V57+Z57)/(R57+R63+R64)</f>
        <v>1.6818369499183407E-3</v>
      </c>
      <c r="AA253" s="40"/>
      <c r="AB253" s="40"/>
      <c r="AC253" s="43"/>
      <c r="AD253" s="22"/>
    </row>
    <row r="254" spans="1:30" s="23" customFormat="1" x14ac:dyDescent="0.3">
      <c r="A254" s="47"/>
      <c r="B254" s="40" t="s">
        <v>50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67">
        <v>8.0999999999999996E-3</v>
      </c>
      <c r="AA254" s="40"/>
      <c r="AB254" s="40"/>
      <c r="AC254" s="43"/>
      <c r="AD254" s="22"/>
    </row>
    <row r="255" spans="1:30" x14ac:dyDescent="0.3">
      <c r="A255" s="145"/>
      <c r="B255" s="151"/>
      <c r="C255" s="151"/>
      <c r="D255" s="99"/>
      <c r="E255" s="99"/>
      <c r="F255" s="99"/>
      <c r="G255" s="99"/>
      <c r="H255" s="99"/>
      <c r="I255" s="99"/>
      <c r="J255" s="99"/>
      <c r="K255" s="99"/>
      <c r="L255" s="99"/>
      <c r="M255" s="99"/>
      <c r="N255" s="99"/>
      <c r="O255" s="99"/>
      <c r="P255" s="99"/>
      <c r="Q255" s="99"/>
      <c r="R255" s="99"/>
      <c r="S255" s="99"/>
      <c r="T255" s="99"/>
      <c r="U255" s="99"/>
      <c r="V255" s="99"/>
      <c r="W255" s="99"/>
      <c r="X255" s="99"/>
      <c r="Y255" s="99"/>
      <c r="Z255" s="126"/>
      <c r="AA255" s="99"/>
      <c r="AB255" s="152"/>
      <c r="AC255" s="10"/>
      <c r="AD255" s="5"/>
    </row>
    <row r="256" spans="1:30" x14ac:dyDescent="0.3">
      <c r="A256" s="153"/>
      <c r="B256" s="102" t="s">
        <v>51</v>
      </c>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t="s">
        <v>69</v>
      </c>
      <c r="Z256" s="154" t="s">
        <v>74</v>
      </c>
      <c r="AA256" s="34"/>
      <c r="AB256" s="34"/>
      <c r="AC256" s="36"/>
      <c r="AD256" s="5"/>
    </row>
    <row r="257" spans="1:30" s="23" customFormat="1" x14ac:dyDescent="0.3">
      <c r="A257" s="155"/>
      <c r="B257" s="37" t="s">
        <v>52</v>
      </c>
      <c r="C257" s="10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v>0</v>
      </c>
      <c r="Z257" s="157">
        <v>0</v>
      </c>
      <c r="AA257" s="37"/>
      <c r="AB257" s="158"/>
      <c r="AC257" s="159"/>
      <c r="AD257" s="22"/>
    </row>
    <row r="258" spans="1:30" s="23" customFormat="1" x14ac:dyDescent="0.3">
      <c r="A258" s="160"/>
      <c r="B258" s="40" t="s">
        <v>97</v>
      </c>
      <c r="C258" s="97"/>
      <c r="D258" s="48"/>
      <c r="E258" s="48"/>
      <c r="F258" s="48"/>
      <c r="G258" s="48"/>
      <c r="H258" s="48"/>
      <c r="I258" s="48"/>
      <c r="J258" s="48"/>
      <c r="K258" s="48"/>
      <c r="L258" s="48"/>
      <c r="M258" s="48"/>
      <c r="N258" s="48"/>
      <c r="O258" s="48"/>
      <c r="P258" s="48"/>
      <c r="Q258" s="48"/>
      <c r="R258" s="48"/>
      <c r="S258" s="48"/>
      <c r="T258" s="48"/>
      <c r="U258" s="48"/>
      <c r="V258" s="48"/>
      <c r="W258" s="48"/>
      <c r="X258" s="48"/>
      <c r="Y258" s="161">
        <f>+X310</f>
        <v>0</v>
      </c>
      <c r="Z258" s="162">
        <f>+Z310</f>
        <v>0</v>
      </c>
      <c r="AA258" s="40"/>
      <c r="AB258" s="163"/>
      <c r="AC258" s="164"/>
      <c r="AD258" s="22"/>
    </row>
    <row r="259" spans="1:30" s="23" customFormat="1" x14ac:dyDescent="0.3">
      <c r="A259" s="160"/>
      <c r="B259" s="40" t="s">
        <v>53</v>
      </c>
      <c r="C259" s="97"/>
      <c r="D259" s="48"/>
      <c r="E259" s="48"/>
      <c r="F259" s="48"/>
      <c r="G259" s="48"/>
      <c r="H259" s="48"/>
      <c r="I259" s="48"/>
      <c r="J259" s="48"/>
      <c r="K259" s="48"/>
      <c r="L259" s="48"/>
      <c r="M259" s="48"/>
      <c r="N259" s="48"/>
      <c r="O259" s="48"/>
      <c r="P259" s="48"/>
      <c r="Q259" s="48"/>
      <c r="R259" s="48"/>
      <c r="S259" s="48"/>
      <c r="T259" s="48"/>
      <c r="U259" s="48"/>
      <c r="V259" s="48"/>
      <c r="W259" s="48"/>
      <c r="X259" s="48"/>
      <c r="Y259" s="161">
        <f>+X332</f>
        <v>0</v>
      </c>
      <c r="Z259" s="162">
        <f>+Z332</f>
        <v>0</v>
      </c>
      <c r="AA259" s="40"/>
      <c r="AB259" s="163"/>
      <c r="AC259" s="164"/>
      <c r="AD259" s="22"/>
    </row>
    <row r="260" spans="1:30" x14ac:dyDescent="0.3">
      <c r="A260" s="165"/>
      <c r="B260" s="166" t="s">
        <v>167</v>
      </c>
      <c r="C260" s="167"/>
      <c r="D260" s="59"/>
      <c r="E260" s="59"/>
      <c r="F260" s="59"/>
      <c r="G260" s="59"/>
      <c r="H260" s="59"/>
      <c r="I260" s="59"/>
      <c r="J260" s="59"/>
      <c r="K260" s="59"/>
      <c r="L260" s="59"/>
      <c r="M260" s="59"/>
      <c r="N260" s="59"/>
      <c r="O260" s="59"/>
      <c r="P260" s="59"/>
      <c r="Q260" s="59"/>
      <c r="R260" s="59"/>
      <c r="S260" s="59"/>
      <c r="T260" s="59"/>
      <c r="U260" s="59"/>
      <c r="V260" s="59"/>
      <c r="W260" s="59"/>
      <c r="X260" s="59"/>
      <c r="Y260" s="112"/>
      <c r="Z260" s="162">
        <f>Z57</f>
        <v>0</v>
      </c>
      <c r="AA260" s="59"/>
      <c r="AB260" s="168"/>
      <c r="AC260" s="169"/>
      <c r="AD260" s="5"/>
    </row>
    <row r="261" spans="1:30" x14ac:dyDescent="0.3">
      <c r="A261" s="165"/>
      <c r="B261" s="166" t="s">
        <v>261</v>
      </c>
      <c r="C261" s="167"/>
      <c r="D261" s="59"/>
      <c r="E261" s="59"/>
      <c r="F261" s="59"/>
      <c r="G261" s="59"/>
      <c r="H261" s="59"/>
      <c r="I261" s="59"/>
      <c r="J261" s="59"/>
      <c r="K261" s="59"/>
      <c r="L261" s="59"/>
      <c r="M261" s="59"/>
      <c r="N261" s="59"/>
      <c r="O261" s="59"/>
      <c r="P261" s="59"/>
      <c r="Q261" s="59"/>
      <c r="R261" s="59"/>
      <c r="S261" s="59"/>
      <c r="T261" s="59"/>
      <c r="U261" s="59"/>
      <c r="V261" s="59"/>
      <c r="W261" s="59"/>
      <c r="X261" s="59"/>
      <c r="Y261" s="112"/>
      <c r="Z261" s="162">
        <f>-T63</f>
        <v>0</v>
      </c>
      <c r="AA261" s="59"/>
      <c r="AB261" s="168"/>
      <c r="AC261" s="169"/>
      <c r="AD261" s="5"/>
    </row>
    <row r="262" spans="1:30" x14ac:dyDescent="0.3">
      <c r="A262" s="170"/>
      <c r="B262" s="166" t="s">
        <v>54</v>
      </c>
      <c r="C262" s="171"/>
      <c r="D262" s="59"/>
      <c r="E262" s="59"/>
      <c r="F262" s="59"/>
      <c r="G262" s="59"/>
      <c r="H262" s="59"/>
      <c r="I262" s="59"/>
      <c r="J262" s="59"/>
      <c r="K262" s="59"/>
      <c r="L262" s="59"/>
      <c r="M262" s="59"/>
      <c r="N262" s="59"/>
      <c r="O262" s="59"/>
      <c r="P262" s="59"/>
      <c r="Q262" s="59"/>
      <c r="R262" s="59"/>
      <c r="S262" s="59"/>
      <c r="T262" s="59"/>
      <c r="U262" s="59"/>
      <c r="V262" s="59"/>
      <c r="W262" s="59"/>
      <c r="X262" s="59"/>
      <c r="Y262" s="112"/>
      <c r="Z262" s="172"/>
      <c r="AA262" s="59"/>
      <c r="AB262" s="168"/>
      <c r="AC262" s="173"/>
      <c r="AD262" s="5"/>
    </row>
    <row r="263" spans="1:30" s="23" customFormat="1" x14ac:dyDescent="0.3">
      <c r="A263" s="174"/>
      <c r="B263" s="40" t="s">
        <v>55</v>
      </c>
      <c r="C263" s="40"/>
      <c r="D263" s="40"/>
      <c r="E263" s="40"/>
      <c r="F263" s="40"/>
      <c r="G263" s="40"/>
      <c r="H263" s="40"/>
      <c r="I263" s="40"/>
      <c r="J263" s="40"/>
      <c r="K263" s="40"/>
      <c r="L263" s="40"/>
      <c r="M263" s="40"/>
      <c r="N263" s="40"/>
      <c r="O263" s="40"/>
      <c r="P263" s="40"/>
      <c r="Q263" s="40"/>
      <c r="R263" s="40"/>
      <c r="S263" s="40"/>
      <c r="T263" s="40"/>
      <c r="U263" s="40"/>
      <c r="V263" s="40"/>
      <c r="W263" s="40"/>
      <c r="X263" s="40"/>
      <c r="Y263" s="48"/>
      <c r="Z263" s="162">
        <f>AB166</f>
        <v>0</v>
      </c>
      <c r="AA263" s="40"/>
      <c r="AB263" s="163"/>
      <c r="AC263" s="175"/>
      <c r="AD263" s="22"/>
    </row>
    <row r="264" spans="1:30" s="23" customFormat="1" x14ac:dyDescent="0.3">
      <c r="A264" s="160"/>
      <c r="B264" s="40" t="s">
        <v>56</v>
      </c>
      <c r="C264" s="97"/>
      <c r="D264" s="40"/>
      <c r="E264" s="40"/>
      <c r="F264" s="40"/>
      <c r="G264" s="40"/>
      <c r="H264" s="40"/>
      <c r="I264" s="40"/>
      <c r="J264" s="40"/>
      <c r="K264" s="40"/>
      <c r="L264" s="40"/>
      <c r="M264" s="40"/>
      <c r="N264" s="40"/>
      <c r="O264" s="40"/>
      <c r="P264" s="40"/>
      <c r="Q264" s="40"/>
      <c r="R264" s="40"/>
      <c r="S264" s="40"/>
      <c r="T264" s="40"/>
      <c r="U264" s="40"/>
      <c r="V264" s="40"/>
      <c r="W264" s="40"/>
      <c r="X264" s="40"/>
      <c r="Y264" s="48"/>
      <c r="Z264" s="162">
        <f>Z263</f>
        <v>0</v>
      </c>
      <c r="AA264" s="40"/>
      <c r="AB264" s="163"/>
      <c r="AC264" s="175"/>
      <c r="AD264" s="22"/>
    </row>
    <row r="265" spans="1:30" x14ac:dyDescent="0.3">
      <c r="A265" s="170"/>
      <c r="B265" s="166" t="s">
        <v>125</v>
      </c>
      <c r="C265" s="171"/>
      <c r="D265" s="59"/>
      <c r="E265" s="59"/>
      <c r="F265" s="59"/>
      <c r="G265" s="59"/>
      <c r="H265" s="59"/>
      <c r="I265" s="59"/>
      <c r="J265" s="59"/>
      <c r="K265" s="59"/>
      <c r="L265" s="59"/>
      <c r="M265" s="59"/>
      <c r="N265" s="59"/>
      <c r="O265" s="59"/>
      <c r="P265" s="59"/>
      <c r="Q265" s="59"/>
      <c r="R265" s="59"/>
      <c r="S265" s="59"/>
      <c r="T265" s="59"/>
      <c r="U265" s="59"/>
      <c r="V265" s="59"/>
      <c r="W265" s="59"/>
      <c r="X265" s="59"/>
      <c r="Y265" s="176"/>
      <c r="Z265" s="172"/>
      <c r="AA265" s="59"/>
      <c r="AB265" s="168"/>
      <c r="AC265" s="173"/>
      <c r="AD265" s="5"/>
    </row>
    <row r="266" spans="1:30" s="23" customFormat="1" x14ac:dyDescent="0.3">
      <c r="A266" s="174"/>
      <c r="B266" s="40" t="s">
        <v>134</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v>0</v>
      </c>
      <c r="Z266" s="162">
        <v>0</v>
      </c>
      <c r="AA266" s="40"/>
      <c r="AB266" s="163"/>
      <c r="AC266" s="175"/>
      <c r="AD266" s="22"/>
    </row>
    <row r="267" spans="1:30" s="23" customFormat="1" x14ac:dyDescent="0.3">
      <c r="A267" s="160"/>
      <c r="B267" s="40" t="s">
        <v>57</v>
      </c>
      <c r="C267" s="70"/>
      <c r="D267" s="40"/>
      <c r="E267" s="40"/>
      <c r="F267" s="40"/>
      <c r="G267" s="40"/>
      <c r="H267" s="40"/>
      <c r="I267" s="40"/>
      <c r="J267" s="40"/>
      <c r="K267" s="40"/>
      <c r="L267" s="40"/>
      <c r="M267" s="40"/>
      <c r="N267" s="40"/>
      <c r="O267" s="40"/>
      <c r="P267" s="40"/>
      <c r="Q267" s="40"/>
      <c r="R267" s="40"/>
      <c r="S267" s="40"/>
      <c r="T267" s="40"/>
      <c r="U267" s="40"/>
      <c r="V267" s="40"/>
      <c r="W267" s="40"/>
      <c r="X267" s="40"/>
      <c r="Y267" s="40"/>
      <c r="Z267" s="177">
        <v>0</v>
      </c>
      <c r="AA267" s="40"/>
      <c r="AB267" s="163"/>
      <c r="AC267" s="175"/>
      <c r="AD267" s="22"/>
    </row>
    <row r="268" spans="1:30" s="23" customFormat="1" x14ac:dyDescent="0.3">
      <c r="A268" s="160"/>
      <c r="B268" s="40" t="s">
        <v>58</v>
      </c>
      <c r="C268" s="70"/>
      <c r="D268" s="40"/>
      <c r="E268" s="40"/>
      <c r="F268" s="40"/>
      <c r="G268" s="40"/>
      <c r="H268" s="40"/>
      <c r="I268" s="40"/>
      <c r="J268" s="40"/>
      <c r="K268" s="40"/>
      <c r="L268" s="40"/>
      <c r="M268" s="40"/>
      <c r="N268" s="40"/>
      <c r="O268" s="40"/>
      <c r="P268" s="40"/>
      <c r="Q268" s="40"/>
      <c r="R268" s="40"/>
      <c r="S268" s="40"/>
      <c r="T268" s="40"/>
      <c r="U268" s="40"/>
      <c r="V268" s="40"/>
      <c r="W268" s="40"/>
      <c r="X268" s="40"/>
      <c r="Y268" s="40"/>
      <c r="Z268" s="177">
        <v>0</v>
      </c>
      <c r="AA268" s="40"/>
      <c r="AB268" s="163"/>
      <c r="AC268" s="175"/>
      <c r="AD268" s="22"/>
    </row>
    <row r="269" spans="1:30" x14ac:dyDescent="0.3">
      <c r="A269" s="165"/>
      <c r="B269" s="166" t="s">
        <v>116</v>
      </c>
      <c r="C269" s="178"/>
      <c r="D269" s="59"/>
      <c r="E269" s="59"/>
      <c r="F269" s="59"/>
      <c r="G269" s="59"/>
      <c r="H269" s="59"/>
      <c r="I269" s="59"/>
      <c r="J269" s="59"/>
      <c r="K269" s="59"/>
      <c r="L269" s="59"/>
      <c r="M269" s="59"/>
      <c r="N269" s="59"/>
      <c r="O269" s="59"/>
      <c r="P269" s="59"/>
      <c r="Q269" s="59"/>
      <c r="R269" s="59"/>
      <c r="S269" s="59"/>
      <c r="T269" s="59"/>
      <c r="U269" s="59"/>
      <c r="V269" s="59"/>
      <c r="W269" s="59"/>
      <c r="X269" s="59"/>
      <c r="Y269" s="112"/>
      <c r="Z269" s="179"/>
      <c r="AA269" s="59"/>
      <c r="AB269" s="168"/>
      <c r="AC269" s="173"/>
      <c r="AD269" s="5"/>
    </row>
    <row r="270" spans="1:30" s="23" customFormat="1" x14ac:dyDescent="0.3">
      <c r="A270" s="160"/>
      <c r="B270" s="40" t="s">
        <v>134</v>
      </c>
      <c r="C270" s="7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0" s="23" customFormat="1" x14ac:dyDescent="0.3">
      <c r="A271" s="160"/>
      <c r="B271" s="40" t="s">
        <v>117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71"/>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x14ac:dyDescent="0.3">
      <c r="A273" s="165"/>
      <c r="B273" s="171"/>
      <c r="C273" s="178"/>
      <c r="D273" s="59"/>
      <c r="E273" s="59"/>
      <c r="F273" s="59"/>
      <c r="G273" s="59"/>
      <c r="H273" s="59"/>
      <c r="I273" s="59"/>
      <c r="J273" s="59"/>
      <c r="K273" s="59"/>
      <c r="L273" s="59"/>
      <c r="M273" s="59"/>
      <c r="N273" s="59"/>
      <c r="O273" s="59"/>
      <c r="P273" s="59"/>
      <c r="Q273" s="59"/>
      <c r="R273" s="59"/>
      <c r="S273" s="59"/>
      <c r="T273" s="59"/>
      <c r="U273" s="59"/>
      <c r="V273" s="59"/>
      <c r="W273" s="59"/>
      <c r="X273" s="59"/>
      <c r="Y273" s="59"/>
      <c r="Z273" s="180"/>
      <c r="AA273" s="59"/>
      <c r="AB273" s="168"/>
      <c r="AC273" s="173"/>
      <c r="AD273" s="5"/>
    </row>
    <row r="274" spans="1:30" ht="18" x14ac:dyDescent="0.35">
      <c r="A274" s="165"/>
      <c r="B274" s="181" t="s">
        <v>109</v>
      </c>
      <c r="C274" s="178"/>
      <c r="D274" s="59"/>
      <c r="E274" s="59"/>
      <c r="F274" s="59"/>
      <c r="G274" s="59"/>
      <c r="H274" s="59"/>
      <c r="I274" s="59"/>
      <c r="J274" s="59"/>
      <c r="K274" s="59"/>
      <c r="L274" s="182"/>
      <c r="M274" s="182"/>
      <c r="N274" s="182"/>
      <c r="O274" s="182"/>
      <c r="P274" s="261" t="s">
        <v>168</v>
      </c>
      <c r="Q274" s="182"/>
      <c r="R274" s="182"/>
      <c r="S274" s="182"/>
      <c r="T274" s="182"/>
      <c r="U274" s="182"/>
      <c r="V274" s="182"/>
      <c r="W274" s="59"/>
      <c r="X274" s="183"/>
      <c r="Y274" s="182"/>
      <c r="Z274" s="180"/>
      <c r="AA274" s="59"/>
      <c r="AB274" s="168"/>
      <c r="AC274" s="173"/>
      <c r="AD274" s="5"/>
    </row>
    <row r="275" spans="1:30" ht="18" x14ac:dyDescent="0.35">
      <c r="A275" s="184"/>
      <c r="B275" s="185"/>
      <c r="C275" s="186"/>
      <c r="D275" s="99"/>
      <c r="E275" s="99"/>
      <c r="F275" s="99"/>
      <c r="G275" s="99"/>
      <c r="H275" s="99"/>
      <c r="I275" s="99"/>
      <c r="J275" s="99"/>
      <c r="K275" s="99"/>
      <c r="L275" s="187"/>
      <c r="M275" s="187"/>
      <c r="N275" s="187"/>
      <c r="O275" s="187"/>
      <c r="P275" s="187"/>
      <c r="Q275" s="187"/>
      <c r="R275" s="187"/>
      <c r="S275" s="187"/>
      <c r="T275" s="187"/>
      <c r="U275" s="187"/>
      <c r="V275" s="187"/>
      <c r="W275" s="99"/>
      <c r="X275" s="99"/>
      <c r="Y275" s="99"/>
      <c r="Z275" s="188"/>
      <c r="AA275" s="99"/>
      <c r="AB275" s="152"/>
      <c r="AC275" s="189"/>
      <c r="AD275" s="5"/>
    </row>
    <row r="276" spans="1:30" x14ac:dyDescent="0.3">
      <c r="A276" s="33"/>
      <c r="B276" s="102" t="s">
        <v>126</v>
      </c>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54" t="s">
        <v>69</v>
      </c>
      <c r="Y276" s="103" t="s">
        <v>70</v>
      </c>
      <c r="Z276" s="154" t="s">
        <v>75</v>
      </c>
      <c r="AA276" s="103" t="s">
        <v>70</v>
      </c>
      <c r="AB276" s="34"/>
      <c r="AC276" s="190"/>
      <c r="AD276" s="5"/>
    </row>
    <row r="277" spans="1:30" s="23" customFormat="1" x14ac:dyDescent="0.3">
      <c r="A277" s="18"/>
      <c r="B277" s="106" t="s">
        <v>59</v>
      </c>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06">
        <f t="shared" ref="X277:X284" si="0">+X289+X301+X323</f>
        <v>4074</v>
      </c>
      <c r="Y277" s="192">
        <f>X277/$X$286</f>
        <v>1</v>
      </c>
      <c r="Z277" s="107">
        <f t="shared" ref="Z277:Z284" si="1">+Z289+Z301+Z323</f>
        <v>758460</v>
      </c>
      <c r="AA277" s="192">
        <f>Z277/$Z$286</f>
        <v>1</v>
      </c>
      <c r="AB277" s="158"/>
      <c r="AC277" s="193"/>
      <c r="AD277" s="22"/>
    </row>
    <row r="278" spans="1:30" s="23" customFormat="1" x14ac:dyDescent="0.3">
      <c r="A278" s="47"/>
      <c r="B278" s="97" t="s">
        <v>60</v>
      </c>
      <c r="C278" s="194"/>
      <c r="D278" s="194"/>
      <c r="E278" s="194"/>
      <c r="F278" s="194"/>
      <c r="G278" s="194"/>
      <c r="H278" s="194"/>
      <c r="I278" s="194"/>
      <c r="J278" s="194"/>
      <c r="K278" s="194"/>
      <c r="L278" s="194"/>
      <c r="M278" s="194"/>
      <c r="N278" s="194"/>
      <c r="O278" s="194"/>
      <c r="P278" s="194"/>
      <c r="Q278" s="194"/>
      <c r="R278" s="194"/>
      <c r="S278" s="194"/>
      <c r="T278" s="194"/>
      <c r="U278" s="194"/>
      <c r="V278" s="194"/>
      <c r="W278" s="194"/>
      <c r="X278" s="195">
        <f t="shared" si="0"/>
        <v>0</v>
      </c>
      <c r="Y278" s="196">
        <f t="shared" ref="Y278:Y284" si="2">X278/$X$286</f>
        <v>0</v>
      </c>
      <c r="Z278" s="197">
        <f t="shared" si="1"/>
        <v>0</v>
      </c>
      <c r="AA278" s="198">
        <f>Z278/$Z$286</f>
        <v>0</v>
      </c>
      <c r="AB278" s="163"/>
      <c r="AC278" s="175"/>
      <c r="AD278" s="22"/>
    </row>
    <row r="279" spans="1:30" s="23" customFormat="1" x14ac:dyDescent="0.3">
      <c r="A279" s="47"/>
      <c r="B279" s="97" t="s">
        <v>61</v>
      </c>
      <c r="C279" s="194"/>
      <c r="D279" s="194"/>
      <c r="E279" s="194"/>
      <c r="F279" s="194"/>
      <c r="G279" s="194"/>
      <c r="H279" s="194"/>
      <c r="I279" s="194"/>
      <c r="J279" s="194"/>
      <c r="K279" s="194"/>
      <c r="L279" s="194"/>
      <c r="M279" s="194"/>
      <c r="N279" s="194"/>
      <c r="O279" s="194"/>
      <c r="P279" s="194"/>
      <c r="Q279" s="194"/>
      <c r="R279" s="194"/>
      <c r="S279" s="194"/>
      <c r="T279" s="194"/>
      <c r="U279" s="194"/>
      <c r="V279" s="194"/>
      <c r="W279" s="194"/>
      <c r="X279" s="199">
        <f t="shared" si="0"/>
        <v>0</v>
      </c>
      <c r="Y279" s="200">
        <f t="shared" si="2"/>
        <v>0</v>
      </c>
      <c r="Z279" s="131">
        <f t="shared" si="1"/>
        <v>0</v>
      </c>
      <c r="AA279" s="198">
        <f t="shared" ref="AA279:AA284" si="3">Z279/$Z$286</f>
        <v>0</v>
      </c>
      <c r="AB279" s="163"/>
      <c r="AC279" s="175"/>
      <c r="AD279" s="22"/>
    </row>
    <row r="280" spans="1:30" s="23" customFormat="1" x14ac:dyDescent="0.3">
      <c r="A280" s="47"/>
      <c r="B280" s="97" t="s">
        <v>100</v>
      </c>
      <c r="C280" s="194"/>
      <c r="D280" s="194"/>
      <c r="E280" s="194"/>
      <c r="F280" s="194"/>
      <c r="G280" s="194"/>
      <c r="H280" s="194"/>
      <c r="I280" s="194"/>
      <c r="J280" s="194"/>
      <c r="K280" s="194"/>
      <c r="L280" s="194"/>
      <c r="M280" s="194"/>
      <c r="N280" s="194"/>
      <c r="O280" s="194"/>
      <c r="P280" s="194"/>
      <c r="Q280" s="194"/>
      <c r="R280" s="194"/>
      <c r="S280" s="194"/>
      <c r="T280" s="194"/>
      <c r="U280" s="194"/>
      <c r="V280" s="194"/>
      <c r="W280" s="194"/>
      <c r="X280" s="199">
        <f t="shared" si="0"/>
        <v>0</v>
      </c>
      <c r="Y280" s="200">
        <f t="shared" si="2"/>
        <v>0</v>
      </c>
      <c r="Z280" s="131">
        <f t="shared" si="1"/>
        <v>0</v>
      </c>
      <c r="AA280" s="198">
        <f t="shared" si="3"/>
        <v>0</v>
      </c>
      <c r="AB280" s="163"/>
      <c r="AC280" s="175"/>
      <c r="AD280" s="22"/>
    </row>
    <row r="281" spans="1:30" s="23" customFormat="1" x14ac:dyDescent="0.3">
      <c r="A281" s="47"/>
      <c r="B281" s="97" t="s">
        <v>101</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9">
        <f t="shared" si="0"/>
        <v>0</v>
      </c>
      <c r="Y281" s="200">
        <f t="shared" si="2"/>
        <v>0</v>
      </c>
      <c r="Z281" s="131">
        <f t="shared" si="1"/>
        <v>0</v>
      </c>
      <c r="AA281" s="198">
        <f t="shared" si="3"/>
        <v>0</v>
      </c>
      <c r="AB281" s="163"/>
      <c r="AC281" s="175"/>
      <c r="AD281" s="22"/>
    </row>
    <row r="282" spans="1:30" s="23" customFormat="1" x14ac:dyDescent="0.3">
      <c r="A282" s="47"/>
      <c r="B282" s="97" t="s">
        <v>102</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0"/>
        <v>0</v>
      </c>
      <c r="Y282" s="200">
        <f t="shared" si="2"/>
        <v>0</v>
      </c>
      <c r="Z282" s="131">
        <f t="shared" si="1"/>
        <v>0</v>
      </c>
      <c r="AA282" s="198">
        <f t="shared" si="3"/>
        <v>0</v>
      </c>
      <c r="AB282" s="163"/>
      <c r="AC282" s="175"/>
      <c r="AD282" s="22"/>
    </row>
    <row r="283" spans="1:30" s="23" customFormat="1" x14ac:dyDescent="0.3">
      <c r="A283" s="47"/>
      <c r="B283" s="97" t="s">
        <v>103</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201">
        <f t="shared" si="0"/>
        <v>0</v>
      </c>
      <c r="Y283" s="202">
        <f t="shared" si="2"/>
        <v>0</v>
      </c>
      <c r="Z283" s="203">
        <f t="shared" si="1"/>
        <v>0</v>
      </c>
      <c r="AA283" s="198">
        <f t="shared" si="3"/>
        <v>0</v>
      </c>
      <c r="AB283" s="163"/>
      <c r="AC283" s="175"/>
      <c r="AD283" s="22"/>
    </row>
    <row r="284" spans="1:30" s="23" customFormat="1" x14ac:dyDescent="0.3">
      <c r="A284" s="47"/>
      <c r="B284" s="97" t="s">
        <v>104</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06">
        <f t="shared" si="0"/>
        <v>0</v>
      </c>
      <c r="Y284" s="198">
        <f t="shared" si="2"/>
        <v>0</v>
      </c>
      <c r="Z284" s="107">
        <f t="shared" si="1"/>
        <v>0</v>
      </c>
      <c r="AA284" s="198">
        <f t="shared" si="3"/>
        <v>0</v>
      </c>
      <c r="AB284" s="163"/>
      <c r="AC284" s="175"/>
      <c r="AD284" s="22"/>
    </row>
    <row r="285" spans="1:30" s="23" customFormat="1" x14ac:dyDescent="0.3">
      <c r="A285" s="47"/>
      <c r="B285" s="97"/>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97"/>
      <c r="Y285" s="198"/>
      <c r="Z285" s="98"/>
      <c r="AA285" s="198"/>
      <c r="AB285" s="163"/>
      <c r="AC285" s="175"/>
      <c r="AD285" s="22"/>
    </row>
    <row r="286" spans="1:30" s="23" customFormat="1" x14ac:dyDescent="0.3">
      <c r="A286" s="47"/>
      <c r="B286" s="40" t="s">
        <v>80</v>
      </c>
      <c r="C286" s="40"/>
      <c r="D286" s="204"/>
      <c r="E286" s="204"/>
      <c r="F286" s="204"/>
      <c r="G286" s="204"/>
      <c r="H286" s="204"/>
      <c r="I286" s="204"/>
      <c r="J286" s="204"/>
      <c r="K286" s="204"/>
      <c r="L286" s="204"/>
      <c r="M286" s="204"/>
      <c r="N286" s="204"/>
      <c r="O286" s="204"/>
      <c r="P286" s="204"/>
      <c r="Q286" s="204"/>
      <c r="R286" s="204"/>
      <c r="S286" s="204"/>
      <c r="T286" s="204"/>
      <c r="U286" s="204"/>
      <c r="V286" s="204"/>
      <c r="W286" s="204"/>
      <c r="X286" s="97">
        <f>SUM(X277:X285)</f>
        <v>4074</v>
      </c>
      <c r="Y286" s="198">
        <f>SUM(Y277:Y285)</f>
        <v>1</v>
      </c>
      <c r="Z286" s="98">
        <f>SUM(Z277:Z285)</f>
        <v>758460</v>
      </c>
      <c r="AA286" s="198">
        <f>SUM(AA277:AA285)</f>
        <v>1</v>
      </c>
      <c r="AB286" s="40"/>
      <c r="AC286" s="43"/>
      <c r="AD286" s="22"/>
    </row>
    <row r="287" spans="1:30" x14ac:dyDescent="0.3">
      <c r="A287" s="7"/>
      <c r="B287" s="151"/>
      <c r="C287" s="186"/>
      <c r="D287" s="99"/>
      <c r="E287" s="99"/>
      <c r="F287" s="99"/>
      <c r="G287" s="99"/>
      <c r="H287" s="99"/>
      <c r="I287" s="99"/>
      <c r="J287" s="99"/>
      <c r="K287" s="99"/>
      <c r="L287" s="99"/>
      <c r="M287" s="99"/>
      <c r="N287" s="99"/>
      <c r="O287" s="99"/>
      <c r="P287" s="99"/>
      <c r="Q287" s="99"/>
      <c r="R287" s="99"/>
      <c r="S287" s="99"/>
      <c r="T287" s="99"/>
      <c r="U287" s="99"/>
      <c r="V287" s="99"/>
      <c r="W287" s="99"/>
      <c r="X287" s="99"/>
      <c r="Y287" s="99"/>
      <c r="Z287" s="188"/>
      <c r="AA287" s="99"/>
      <c r="AB287" s="99"/>
      <c r="AC287" s="10"/>
      <c r="AD287" s="5"/>
    </row>
    <row r="288" spans="1:30" x14ac:dyDescent="0.3">
      <c r="A288" s="33"/>
      <c r="B288" s="102" t="s">
        <v>105</v>
      </c>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54" t="s">
        <v>69</v>
      </c>
      <c r="Y288" s="103" t="s">
        <v>70</v>
      </c>
      <c r="Z288" s="154" t="s">
        <v>75</v>
      </c>
      <c r="AA288" s="103" t="s">
        <v>70</v>
      </c>
      <c r="AB288" s="34"/>
      <c r="AC288" s="190"/>
      <c r="AD288" s="5"/>
    </row>
    <row r="289" spans="1:31" s="23" customFormat="1" x14ac:dyDescent="0.3">
      <c r="A289" s="18"/>
      <c r="B289" s="106" t="s">
        <v>59</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06">
        <v>4074</v>
      </c>
      <c r="Y289" s="192">
        <f>X289/$X$298</f>
        <v>1</v>
      </c>
      <c r="Z289" s="107">
        <v>758460</v>
      </c>
      <c r="AA289" s="192">
        <f>Z289/$Z$298</f>
        <v>1</v>
      </c>
      <c r="AB289" s="158"/>
      <c r="AC289" s="193"/>
      <c r="AD289" s="22"/>
    </row>
    <row r="290" spans="1:31" s="23" customFormat="1" x14ac:dyDescent="0.3">
      <c r="A290" s="47"/>
      <c r="B290" s="97" t="s">
        <v>60</v>
      </c>
      <c r="C290" s="194"/>
      <c r="D290" s="194"/>
      <c r="E290" s="194"/>
      <c r="F290" s="194"/>
      <c r="G290" s="194"/>
      <c r="H290" s="194"/>
      <c r="I290" s="194"/>
      <c r="J290" s="194"/>
      <c r="K290" s="194"/>
      <c r="L290" s="194"/>
      <c r="M290" s="194"/>
      <c r="N290" s="194"/>
      <c r="O290" s="194"/>
      <c r="P290" s="194"/>
      <c r="Q290" s="194"/>
      <c r="R290" s="194"/>
      <c r="S290" s="194"/>
      <c r="T290" s="194"/>
      <c r="U290" s="194"/>
      <c r="V290" s="194"/>
      <c r="W290" s="194"/>
      <c r="X290" s="97">
        <v>0</v>
      </c>
      <c r="Y290" s="198">
        <f t="shared" ref="Y290:Y296" si="4">X290/$X$298</f>
        <v>0</v>
      </c>
      <c r="Z290" s="98">
        <v>0</v>
      </c>
      <c r="AA290" s="198">
        <f t="shared" ref="AA290:AA296" si="5">Z290/$Z$298</f>
        <v>0</v>
      </c>
      <c r="AB290" s="163"/>
      <c r="AC290" s="175"/>
      <c r="AD290" s="22"/>
      <c r="AE290" s="115"/>
    </row>
    <row r="291" spans="1:31" s="23" customFormat="1" x14ac:dyDescent="0.3">
      <c r="A291" s="47"/>
      <c r="B291" s="97" t="s">
        <v>61</v>
      </c>
      <c r="C291" s="194"/>
      <c r="D291" s="194"/>
      <c r="E291" s="194"/>
      <c r="F291" s="194"/>
      <c r="G291" s="194"/>
      <c r="H291" s="194"/>
      <c r="I291" s="194"/>
      <c r="J291" s="194"/>
      <c r="K291" s="194"/>
      <c r="L291" s="194"/>
      <c r="M291" s="194"/>
      <c r="N291" s="194"/>
      <c r="O291" s="194"/>
      <c r="P291" s="194"/>
      <c r="Q291" s="194"/>
      <c r="R291" s="194"/>
      <c r="S291" s="194"/>
      <c r="T291" s="194"/>
      <c r="U291" s="194"/>
      <c r="V291" s="194"/>
      <c r="W291" s="194"/>
      <c r="X291" s="97">
        <v>0</v>
      </c>
      <c r="Y291" s="198">
        <f t="shared" si="4"/>
        <v>0</v>
      </c>
      <c r="Z291" s="98">
        <v>0</v>
      </c>
      <c r="AA291" s="198">
        <f t="shared" si="5"/>
        <v>0</v>
      </c>
      <c r="AB291" s="163"/>
      <c r="AC291" s="175"/>
      <c r="AD291" s="22"/>
    </row>
    <row r="292" spans="1:31" s="23" customFormat="1" x14ac:dyDescent="0.3">
      <c r="A292" s="47"/>
      <c r="B292" s="97" t="s">
        <v>100</v>
      </c>
      <c r="C292" s="194"/>
      <c r="D292" s="194"/>
      <c r="E292" s="194"/>
      <c r="F292" s="194"/>
      <c r="G292" s="194"/>
      <c r="H292" s="194"/>
      <c r="I292" s="194"/>
      <c r="J292" s="194"/>
      <c r="K292" s="194"/>
      <c r="L292" s="194"/>
      <c r="M292" s="194"/>
      <c r="N292" s="194"/>
      <c r="O292" s="194"/>
      <c r="P292" s="194"/>
      <c r="Q292" s="194"/>
      <c r="R292" s="194"/>
      <c r="S292" s="194"/>
      <c r="T292" s="194"/>
      <c r="U292" s="194"/>
      <c r="V292" s="194"/>
      <c r="W292" s="194"/>
      <c r="X292" s="97">
        <v>0</v>
      </c>
      <c r="Y292" s="198">
        <f t="shared" si="4"/>
        <v>0</v>
      </c>
      <c r="Z292" s="98">
        <v>0</v>
      </c>
      <c r="AA292" s="198">
        <f t="shared" si="5"/>
        <v>0</v>
      </c>
      <c r="AB292" s="163"/>
      <c r="AC292" s="175"/>
      <c r="AD292" s="22"/>
      <c r="AE292" s="115"/>
    </row>
    <row r="293" spans="1:31" s="23" customFormat="1" x14ac:dyDescent="0.3">
      <c r="A293" s="47"/>
      <c r="B293" s="97" t="s">
        <v>101</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0</v>
      </c>
      <c r="Y293" s="198">
        <f t="shared" si="4"/>
        <v>0</v>
      </c>
      <c r="Z293" s="98">
        <v>0</v>
      </c>
      <c r="AA293" s="198">
        <f t="shared" si="5"/>
        <v>0</v>
      </c>
      <c r="AB293" s="163"/>
      <c r="AC293" s="175"/>
      <c r="AD293" s="22"/>
    </row>
    <row r="294" spans="1:31" s="23" customFormat="1" x14ac:dyDescent="0.3">
      <c r="A294" s="47"/>
      <c r="B294" s="97" t="s">
        <v>102</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4"/>
        <v>0</v>
      </c>
      <c r="Z294" s="98">
        <v>0</v>
      </c>
      <c r="AA294" s="198">
        <f t="shared" si="5"/>
        <v>0</v>
      </c>
      <c r="AB294" s="163"/>
      <c r="AC294" s="175"/>
      <c r="AD294" s="22"/>
      <c r="AE294" s="115"/>
    </row>
    <row r="295" spans="1:31" s="23" customFormat="1" x14ac:dyDescent="0.3">
      <c r="A295" s="47"/>
      <c r="B295" s="97" t="s">
        <v>103</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0</v>
      </c>
      <c r="Y295" s="198">
        <f>X295/$X$298</f>
        <v>0</v>
      </c>
      <c r="Z295" s="98">
        <v>0</v>
      </c>
      <c r="AA295" s="198">
        <f t="shared" si="5"/>
        <v>0</v>
      </c>
      <c r="AB295" s="163"/>
      <c r="AC295" s="175"/>
      <c r="AD295" s="22"/>
    </row>
    <row r="296" spans="1:31" s="23" customFormat="1" x14ac:dyDescent="0.3">
      <c r="A296" s="47"/>
      <c r="B296" s="97" t="s">
        <v>104</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4"/>
        <v>0</v>
      </c>
      <c r="Z296" s="98">
        <v>0</v>
      </c>
      <c r="AA296" s="198">
        <f t="shared" si="5"/>
        <v>0</v>
      </c>
      <c r="AB296" s="163"/>
      <c r="AC296" s="175"/>
      <c r="AD296" s="22"/>
      <c r="AE296" s="115"/>
    </row>
    <row r="297" spans="1:31" s="23" customFormat="1" x14ac:dyDescent="0.3">
      <c r="A297" s="47"/>
      <c r="B297" s="97"/>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c r="Y297" s="198"/>
      <c r="Z297" s="98"/>
      <c r="AA297" s="198"/>
      <c r="AB297" s="163"/>
      <c r="AC297" s="175"/>
      <c r="AD297" s="22"/>
    </row>
    <row r="298" spans="1:31" s="23" customFormat="1" x14ac:dyDescent="0.3">
      <c r="A298" s="47"/>
      <c r="B298" s="40" t="s">
        <v>80</v>
      </c>
      <c r="C298" s="40"/>
      <c r="D298" s="204"/>
      <c r="E298" s="204"/>
      <c r="F298" s="204"/>
      <c r="G298" s="204"/>
      <c r="H298" s="204"/>
      <c r="I298" s="204"/>
      <c r="J298" s="204"/>
      <c r="K298" s="204"/>
      <c r="L298" s="204"/>
      <c r="M298" s="204"/>
      <c r="N298" s="204"/>
      <c r="O298" s="204"/>
      <c r="P298" s="204"/>
      <c r="Q298" s="204"/>
      <c r="R298" s="204"/>
      <c r="S298" s="204"/>
      <c r="T298" s="204"/>
      <c r="U298" s="204"/>
      <c r="V298" s="204"/>
      <c r="W298" s="204"/>
      <c r="X298" s="97">
        <f>SUM(X289:X297)</f>
        <v>4074</v>
      </c>
      <c r="Y298" s="198">
        <f>SUM(Y289:Y297)</f>
        <v>1</v>
      </c>
      <c r="Z298" s="98">
        <f>SUM(Z289:Z297)</f>
        <v>758460</v>
      </c>
      <c r="AA298" s="198">
        <f>SUM(AA289:AA297)</f>
        <v>1</v>
      </c>
      <c r="AB298" s="40"/>
      <c r="AC298" s="43"/>
      <c r="AD298" s="22"/>
    </row>
    <row r="299" spans="1:31" x14ac:dyDescent="0.3">
      <c r="A299" s="7"/>
      <c r="B299" s="99"/>
      <c r="C299" s="99"/>
      <c r="D299" s="205"/>
      <c r="E299" s="205"/>
      <c r="F299" s="205"/>
      <c r="G299" s="205"/>
      <c r="H299" s="205"/>
      <c r="I299" s="205"/>
      <c r="J299" s="205"/>
      <c r="K299" s="205"/>
      <c r="L299" s="205"/>
      <c r="M299" s="205"/>
      <c r="N299" s="205"/>
      <c r="O299" s="205"/>
      <c r="P299" s="205"/>
      <c r="Q299" s="205"/>
      <c r="R299" s="205"/>
      <c r="S299" s="205"/>
      <c r="T299" s="205"/>
      <c r="U299" s="205"/>
      <c r="V299" s="205"/>
      <c r="W299" s="205"/>
      <c r="X299" s="100"/>
      <c r="Y299" s="206"/>
      <c r="Z299" s="207"/>
      <c r="AA299" s="206"/>
      <c r="AB299" s="99"/>
      <c r="AC299" s="10"/>
      <c r="AD299" s="5"/>
    </row>
    <row r="300" spans="1:31" x14ac:dyDescent="0.3">
      <c r="A300" s="33"/>
      <c r="B300" s="102" t="s">
        <v>121</v>
      </c>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54" t="s">
        <v>69</v>
      </c>
      <c r="Y300" s="103" t="s">
        <v>70</v>
      </c>
      <c r="Z300" s="154" t="s">
        <v>75</v>
      </c>
      <c r="AA300" s="103" t="s">
        <v>70</v>
      </c>
      <c r="AB300" s="34"/>
      <c r="AC300" s="36"/>
      <c r="AD300" s="5"/>
    </row>
    <row r="301" spans="1:31" s="23" customFormat="1" x14ac:dyDescent="0.3">
      <c r="A301" s="18"/>
      <c r="B301" s="106" t="s">
        <v>59</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06">
        <v>0</v>
      </c>
      <c r="Y301" s="192">
        <v>0</v>
      </c>
      <c r="Z301" s="107">
        <v>0</v>
      </c>
      <c r="AA301" s="192">
        <v>0</v>
      </c>
      <c r="AB301" s="37"/>
      <c r="AC301" s="21"/>
      <c r="AD301" s="22"/>
    </row>
    <row r="302" spans="1:31" s="23" customFormat="1" x14ac:dyDescent="0.3">
      <c r="A302" s="47"/>
      <c r="B302" s="97" t="s">
        <v>60</v>
      </c>
      <c r="C302" s="194"/>
      <c r="D302" s="194"/>
      <c r="E302" s="194"/>
      <c r="F302" s="194"/>
      <c r="G302" s="194"/>
      <c r="H302" s="194"/>
      <c r="I302" s="194"/>
      <c r="J302" s="194"/>
      <c r="K302" s="194"/>
      <c r="L302" s="194"/>
      <c r="M302" s="194"/>
      <c r="N302" s="194"/>
      <c r="O302" s="194"/>
      <c r="P302" s="194"/>
      <c r="Q302" s="194"/>
      <c r="R302" s="194"/>
      <c r="S302" s="194"/>
      <c r="T302" s="194"/>
      <c r="U302" s="194"/>
      <c r="V302" s="194"/>
      <c r="W302" s="194"/>
      <c r="X302" s="97">
        <v>0</v>
      </c>
      <c r="Y302" s="198">
        <v>0</v>
      </c>
      <c r="Z302" s="98">
        <v>0</v>
      </c>
      <c r="AA302" s="198">
        <v>0</v>
      </c>
      <c r="AB302" s="40"/>
      <c r="AC302" s="43"/>
      <c r="AD302" s="22"/>
    </row>
    <row r="303" spans="1:31" s="23" customFormat="1" x14ac:dyDescent="0.3">
      <c r="A303" s="47"/>
      <c r="B303" s="97" t="s">
        <v>61</v>
      </c>
      <c r="C303" s="194"/>
      <c r="D303" s="194"/>
      <c r="E303" s="194"/>
      <c r="F303" s="194"/>
      <c r="G303" s="194"/>
      <c r="H303" s="194"/>
      <c r="I303" s="194"/>
      <c r="J303" s="194"/>
      <c r="K303" s="194"/>
      <c r="L303" s="194"/>
      <c r="M303" s="194"/>
      <c r="N303" s="194"/>
      <c r="O303" s="194"/>
      <c r="P303" s="194"/>
      <c r="Q303" s="194"/>
      <c r="R303" s="194"/>
      <c r="S303" s="194"/>
      <c r="T303" s="194"/>
      <c r="U303" s="194"/>
      <c r="V303" s="194"/>
      <c r="W303" s="194"/>
      <c r="X303" s="97">
        <v>0</v>
      </c>
      <c r="Y303" s="198">
        <v>0</v>
      </c>
      <c r="Z303" s="98">
        <v>0</v>
      </c>
      <c r="AA303" s="198">
        <v>0</v>
      </c>
      <c r="AB303" s="40"/>
      <c r="AC303" s="43"/>
      <c r="AD303" s="22"/>
    </row>
    <row r="304" spans="1:31" s="23" customFormat="1" x14ac:dyDescent="0.3">
      <c r="A304" s="47"/>
      <c r="B304" s="97" t="s">
        <v>100</v>
      </c>
      <c r="C304" s="194"/>
      <c r="D304" s="194"/>
      <c r="E304" s="194"/>
      <c r="F304" s="194"/>
      <c r="G304" s="194"/>
      <c r="H304" s="194"/>
      <c r="I304" s="194"/>
      <c r="J304" s="194"/>
      <c r="K304" s="194"/>
      <c r="L304" s="194"/>
      <c r="M304" s="194"/>
      <c r="N304" s="194"/>
      <c r="O304" s="194"/>
      <c r="P304" s="194"/>
      <c r="Q304" s="194"/>
      <c r="R304" s="194"/>
      <c r="S304" s="194"/>
      <c r="T304" s="194"/>
      <c r="U304" s="194"/>
      <c r="V304" s="194"/>
      <c r="W304" s="194"/>
      <c r="X304" s="97">
        <v>0</v>
      </c>
      <c r="Y304" s="198">
        <v>0</v>
      </c>
      <c r="Z304" s="98">
        <v>0</v>
      </c>
      <c r="AA304" s="198">
        <v>0</v>
      </c>
      <c r="AB304" s="40"/>
      <c r="AC304" s="43"/>
      <c r="AD304" s="22"/>
    </row>
    <row r="305" spans="1:30" s="23" customFormat="1" x14ac:dyDescent="0.3">
      <c r="A305" s="47"/>
      <c r="B305" s="97" t="s">
        <v>101</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102</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103</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104</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c r="Y309" s="198"/>
      <c r="Z309" s="98"/>
      <c r="AA309" s="198"/>
      <c r="AB309" s="40"/>
      <c r="AC309" s="43"/>
      <c r="AD309" s="22"/>
    </row>
    <row r="310" spans="1:30" s="23" customFormat="1" x14ac:dyDescent="0.3">
      <c r="A310" s="47"/>
      <c r="B310" s="40" t="s">
        <v>80</v>
      </c>
      <c r="C310" s="40"/>
      <c r="D310" s="204"/>
      <c r="E310" s="204"/>
      <c r="F310" s="204"/>
      <c r="G310" s="204"/>
      <c r="H310" s="204"/>
      <c r="I310" s="204"/>
      <c r="J310" s="204"/>
      <c r="K310" s="204"/>
      <c r="L310" s="204"/>
      <c r="M310" s="204"/>
      <c r="N310" s="204"/>
      <c r="O310" s="204"/>
      <c r="P310" s="204"/>
      <c r="Q310" s="204"/>
      <c r="R310" s="204"/>
      <c r="S310" s="204"/>
      <c r="T310" s="204"/>
      <c r="U310" s="204"/>
      <c r="V310" s="204"/>
      <c r="W310" s="204"/>
      <c r="X310" s="97">
        <f>SUM(X301:X309)</f>
        <v>0</v>
      </c>
      <c r="Y310" s="198">
        <f>SUM(Y301:Y309)</f>
        <v>0</v>
      </c>
      <c r="Z310" s="98">
        <f>SUM(Z301:Z309)</f>
        <v>0</v>
      </c>
      <c r="AA310" s="198">
        <f>SUM(AA301:AA309)</f>
        <v>0</v>
      </c>
      <c r="AB310" s="40"/>
      <c r="AC310" s="43"/>
      <c r="AD310" s="22"/>
    </row>
    <row r="311" spans="1:30" s="23" customFormat="1" x14ac:dyDescent="0.3">
      <c r="A311" s="47"/>
      <c r="B311" s="40"/>
      <c r="C311" s="40"/>
      <c r="D311" s="204"/>
      <c r="E311" s="204"/>
      <c r="F311" s="204"/>
      <c r="G311" s="204"/>
      <c r="H311" s="204"/>
      <c r="I311" s="204"/>
      <c r="J311" s="204"/>
      <c r="K311" s="204"/>
      <c r="L311" s="204"/>
      <c r="M311" s="204"/>
      <c r="N311" s="204"/>
      <c r="O311" s="204"/>
      <c r="P311" s="204"/>
      <c r="Q311" s="204"/>
      <c r="R311" s="204"/>
      <c r="S311" s="204"/>
      <c r="T311" s="204"/>
      <c r="U311" s="204"/>
      <c r="V311" s="204"/>
      <c r="W311" s="204"/>
      <c r="X311" s="97"/>
      <c r="Y311" s="198"/>
      <c r="Z311" s="98"/>
      <c r="AA311" s="198"/>
      <c r="AB311" s="40"/>
      <c r="AC311" s="43"/>
      <c r="AD311" s="22"/>
    </row>
    <row r="312" spans="1:30" s="23" customFormat="1" x14ac:dyDescent="0.3">
      <c r="A312" s="242"/>
      <c r="B312" s="243" t="s">
        <v>299</v>
      </c>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62" t="s">
        <v>69</v>
      </c>
      <c r="Y312" s="263" t="s">
        <v>70</v>
      </c>
      <c r="Z312" s="262" t="s">
        <v>75</v>
      </c>
      <c r="AA312" s="263" t="s">
        <v>70</v>
      </c>
      <c r="AB312" s="243"/>
      <c r="AC312" s="243"/>
      <c r="AD312" s="22"/>
    </row>
    <row r="313" spans="1:30" s="23" customFormat="1" x14ac:dyDescent="0.3">
      <c r="A313" s="272"/>
      <c r="B313" s="273" t="s">
        <v>295</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275">
        <v>0</v>
      </c>
      <c r="Y313" s="276">
        <v>0</v>
      </c>
      <c r="Z313" s="277">
        <v>0</v>
      </c>
      <c r="AA313" s="276">
        <v>0</v>
      </c>
      <c r="AB313" s="40"/>
      <c r="AC313" s="43"/>
      <c r="AD313" s="22"/>
    </row>
    <row r="314" spans="1:30" s="23" customFormat="1" x14ac:dyDescent="0.3">
      <c r="A314" s="272"/>
      <c r="B314" s="273" t="s">
        <v>296</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275">
        <v>0</v>
      </c>
      <c r="Y314" s="276">
        <v>0</v>
      </c>
      <c r="Z314" s="277">
        <v>0</v>
      </c>
      <c r="AA314" s="276">
        <v>0</v>
      </c>
      <c r="AB314" s="40"/>
      <c r="AC314" s="43"/>
      <c r="AD314" s="22"/>
    </row>
    <row r="315" spans="1:30" s="23" customFormat="1" x14ac:dyDescent="0.3">
      <c r="A315" s="272"/>
      <c r="B315" s="273" t="s">
        <v>297</v>
      </c>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275">
        <v>0</v>
      </c>
      <c r="Y315" s="276">
        <v>0</v>
      </c>
      <c r="Z315" s="277">
        <v>0</v>
      </c>
      <c r="AA315" s="276">
        <v>0</v>
      </c>
      <c r="AB315" s="40"/>
      <c r="AC315" s="43"/>
      <c r="AD315" s="22"/>
    </row>
    <row r="316" spans="1:30" s="23" customFormat="1" x14ac:dyDescent="0.3">
      <c r="A316" s="272"/>
      <c r="B316" s="273" t="s">
        <v>298</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5">
        <v>0</v>
      </c>
      <c r="Y316" s="276">
        <v>0</v>
      </c>
      <c r="Z316" s="277">
        <v>0</v>
      </c>
      <c r="AA316" s="276">
        <v>0</v>
      </c>
      <c r="AB316" s="40"/>
      <c r="AC316" s="43"/>
      <c r="AD316" s="22"/>
    </row>
    <row r="317" spans="1:30" s="23" customFormat="1" x14ac:dyDescent="0.3">
      <c r="A317" s="272"/>
      <c r="B317" s="273" t="s">
        <v>368</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5">
        <v>0</v>
      </c>
      <c r="Y317" s="276">
        <v>0</v>
      </c>
      <c r="Z317" s="277">
        <v>0</v>
      </c>
      <c r="AA317" s="276">
        <v>0</v>
      </c>
      <c r="AB317" s="40"/>
      <c r="AC317" s="43"/>
      <c r="AD317" s="22"/>
    </row>
    <row r="318" spans="1:30" s="23" customFormat="1" x14ac:dyDescent="0.3">
      <c r="A318" s="272"/>
      <c r="B318" s="274" t="s">
        <v>300</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5">
        <v>0</v>
      </c>
      <c r="Y318" s="276">
        <v>0</v>
      </c>
      <c r="Z318" s="277">
        <v>0</v>
      </c>
      <c r="AA318" s="276">
        <v>0</v>
      </c>
      <c r="AB318" s="40"/>
      <c r="AC318" s="43"/>
      <c r="AD318" s="22"/>
    </row>
    <row r="319" spans="1:30" s="23" customFormat="1" x14ac:dyDescent="0.3">
      <c r="A319" s="272"/>
      <c r="B319" s="273"/>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5"/>
      <c r="Y319" s="276"/>
      <c r="Z319" s="277"/>
      <c r="AA319" s="276"/>
      <c r="AB319" s="40"/>
      <c r="AC319" s="43"/>
      <c r="AD319" s="22"/>
    </row>
    <row r="320" spans="1:30" s="23" customFormat="1" x14ac:dyDescent="0.3">
      <c r="A320" s="272"/>
      <c r="B320" s="273" t="s">
        <v>80</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5">
        <f>SUM(X313:X319)</f>
        <v>0</v>
      </c>
      <c r="Y320" s="276">
        <f>SUM(Y313:Y318)</f>
        <v>0</v>
      </c>
      <c r="Z320" s="277">
        <f>SUM(Z313:Z318)</f>
        <v>0</v>
      </c>
      <c r="AA320" s="276">
        <f>SUM(AA313:AA319)</f>
        <v>0</v>
      </c>
      <c r="AB320" s="40"/>
      <c r="AC320" s="43"/>
      <c r="AD320" s="22"/>
    </row>
    <row r="321" spans="1:30" x14ac:dyDescent="0.3">
      <c r="A321" s="7"/>
      <c r="B321" s="99"/>
      <c r="C321" s="99"/>
      <c r="D321" s="205"/>
      <c r="E321" s="205"/>
      <c r="F321" s="205"/>
      <c r="G321" s="205"/>
      <c r="H321" s="205"/>
      <c r="I321" s="205"/>
      <c r="J321" s="205"/>
      <c r="K321" s="205"/>
      <c r="L321" s="205"/>
      <c r="M321" s="205"/>
      <c r="N321" s="205"/>
      <c r="O321" s="205"/>
      <c r="P321" s="205"/>
      <c r="Q321" s="205"/>
      <c r="R321" s="205"/>
      <c r="S321" s="205"/>
      <c r="T321" s="205"/>
      <c r="U321" s="205"/>
      <c r="V321" s="205"/>
      <c r="W321" s="205"/>
      <c r="X321" s="100"/>
      <c r="Y321" s="206"/>
      <c r="Z321" s="207"/>
      <c r="AA321" s="206"/>
      <c r="AB321" s="99"/>
      <c r="AC321" s="10"/>
      <c r="AD321" s="5"/>
    </row>
    <row r="322" spans="1:30" x14ac:dyDescent="0.3">
      <c r="A322" s="33"/>
      <c r="B322" s="102" t="s">
        <v>106</v>
      </c>
      <c r="C322" s="34"/>
      <c r="D322" s="208"/>
      <c r="E322" s="208"/>
      <c r="F322" s="208"/>
      <c r="G322" s="208"/>
      <c r="H322" s="208"/>
      <c r="I322" s="208"/>
      <c r="J322" s="208"/>
      <c r="K322" s="208"/>
      <c r="L322" s="208"/>
      <c r="M322" s="208"/>
      <c r="N322" s="208"/>
      <c r="O322" s="208"/>
      <c r="P322" s="208"/>
      <c r="Q322" s="208"/>
      <c r="R322" s="208"/>
      <c r="S322" s="208"/>
      <c r="T322" s="208"/>
      <c r="U322" s="208"/>
      <c r="V322" s="208"/>
      <c r="W322" s="208"/>
      <c r="X322" s="154" t="s">
        <v>69</v>
      </c>
      <c r="Y322" s="103" t="s">
        <v>70</v>
      </c>
      <c r="Z322" s="154" t="s">
        <v>75</v>
      </c>
      <c r="AA322" s="103" t="s">
        <v>70</v>
      </c>
      <c r="AB322" s="34"/>
      <c r="AC322" s="36"/>
      <c r="AD322" s="5"/>
    </row>
    <row r="323" spans="1:30" s="23" customFormat="1" x14ac:dyDescent="0.3">
      <c r="A323" s="18"/>
      <c r="B323" s="106" t="s">
        <v>59</v>
      </c>
      <c r="C323" s="37"/>
      <c r="D323" s="209"/>
      <c r="E323" s="209"/>
      <c r="F323" s="209"/>
      <c r="G323" s="209"/>
      <c r="H323" s="209"/>
      <c r="I323" s="209"/>
      <c r="J323" s="209"/>
      <c r="K323" s="209"/>
      <c r="L323" s="209"/>
      <c r="M323" s="209"/>
      <c r="N323" s="209"/>
      <c r="O323" s="209"/>
      <c r="P323" s="209"/>
      <c r="Q323" s="209"/>
      <c r="R323" s="209"/>
      <c r="S323" s="209"/>
      <c r="T323" s="209"/>
      <c r="U323" s="209"/>
      <c r="V323" s="209"/>
      <c r="W323" s="209"/>
      <c r="X323" s="106">
        <v>0</v>
      </c>
      <c r="Y323" s="192">
        <v>0</v>
      </c>
      <c r="Z323" s="107">
        <v>0</v>
      </c>
      <c r="AA323" s="192">
        <v>0</v>
      </c>
      <c r="AB323" s="37"/>
      <c r="AC323" s="21"/>
      <c r="AD323" s="22"/>
    </row>
    <row r="324" spans="1:30" s="23" customFormat="1" x14ac:dyDescent="0.3">
      <c r="A324" s="47"/>
      <c r="B324" s="97" t="s">
        <v>60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97">
        <v>0</v>
      </c>
      <c r="Y324" s="198">
        <v>0</v>
      </c>
      <c r="Z324" s="98">
        <v>0</v>
      </c>
      <c r="AA324" s="198">
        <v>0</v>
      </c>
      <c r="AB324" s="40"/>
      <c r="AC324" s="43"/>
      <c r="AD324" s="22"/>
    </row>
    <row r="325" spans="1:30" s="23" customFormat="1" x14ac:dyDescent="0.3">
      <c r="A325" s="47"/>
      <c r="B325" s="97" t="s">
        <v>61</v>
      </c>
      <c r="C325" s="40"/>
      <c r="D325" s="204"/>
      <c r="E325" s="204"/>
      <c r="F325" s="204"/>
      <c r="G325" s="204"/>
      <c r="H325" s="204"/>
      <c r="I325" s="204"/>
      <c r="J325" s="204"/>
      <c r="K325" s="204"/>
      <c r="L325" s="204"/>
      <c r="M325" s="204"/>
      <c r="N325" s="204"/>
      <c r="O325" s="204"/>
      <c r="P325" s="204"/>
      <c r="Q325" s="204"/>
      <c r="R325" s="204"/>
      <c r="S325" s="204"/>
      <c r="T325" s="204"/>
      <c r="U325" s="204"/>
      <c r="V325" s="204"/>
      <c r="W325" s="204"/>
      <c r="X325" s="97">
        <v>0</v>
      </c>
      <c r="Y325" s="198">
        <v>0</v>
      </c>
      <c r="Z325" s="98">
        <v>0</v>
      </c>
      <c r="AA325" s="198">
        <v>0</v>
      </c>
      <c r="AB325" s="40"/>
      <c r="AC325" s="43"/>
      <c r="AD325" s="22"/>
    </row>
    <row r="326" spans="1:30" s="23" customFormat="1" x14ac:dyDescent="0.3">
      <c r="A326" s="47"/>
      <c r="B326" s="97" t="s">
        <v>100</v>
      </c>
      <c r="C326" s="40"/>
      <c r="D326" s="204"/>
      <c r="E326" s="204"/>
      <c r="F326" s="204"/>
      <c r="G326" s="204"/>
      <c r="H326" s="204"/>
      <c r="I326" s="204"/>
      <c r="J326" s="204"/>
      <c r="K326" s="204"/>
      <c r="L326" s="204"/>
      <c r="M326" s="204"/>
      <c r="N326" s="204"/>
      <c r="O326" s="204"/>
      <c r="P326" s="204"/>
      <c r="Q326" s="204"/>
      <c r="R326" s="204"/>
      <c r="S326" s="204"/>
      <c r="T326" s="204"/>
      <c r="U326" s="204"/>
      <c r="V326" s="204"/>
      <c r="W326" s="204"/>
      <c r="X326" s="97">
        <v>0</v>
      </c>
      <c r="Y326" s="198">
        <v>0</v>
      </c>
      <c r="Z326" s="98">
        <v>0</v>
      </c>
      <c r="AA326" s="198">
        <v>0</v>
      </c>
      <c r="AB326" s="40"/>
      <c r="AC326" s="43"/>
      <c r="AD326" s="22"/>
    </row>
    <row r="327" spans="1:30" s="23" customFormat="1" x14ac:dyDescent="0.3">
      <c r="A327" s="47"/>
      <c r="B327" s="97" t="s">
        <v>101</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102</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103</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104</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c r="Y331" s="198"/>
      <c r="Z331" s="98"/>
      <c r="AA331" s="198"/>
      <c r="AB331" s="40"/>
      <c r="AC331" s="43"/>
      <c r="AD331" s="22"/>
    </row>
    <row r="332" spans="1:30" s="23" customFormat="1" x14ac:dyDescent="0.3">
      <c r="A332" s="47"/>
      <c r="B332" s="40" t="s">
        <v>80</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f>SUM(X323:X330)</f>
        <v>0</v>
      </c>
      <c r="Y332" s="198">
        <f>SUM(Y323:Y330)</f>
        <v>0</v>
      </c>
      <c r="Z332" s="98">
        <f>SUM(Z323:Z330)</f>
        <v>0</v>
      </c>
      <c r="AA332" s="198">
        <f>SUM(AA323:AA330)</f>
        <v>0</v>
      </c>
      <c r="AB332" s="40"/>
      <c r="AC332" s="43"/>
      <c r="AD332" s="22"/>
    </row>
    <row r="333" spans="1:30" s="23" customFormat="1" x14ac:dyDescent="0.3">
      <c r="A333" s="47"/>
      <c r="B333" s="40"/>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c r="Y333" s="198"/>
      <c r="Z333" s="98"/>
      <c r="AA333" s="198"/>
      <c r="AB333" s="40"/>
      <c r="AC333" s="43"/>
      <c r="AD333" s="22"/>
    </row>
    <row r="334" spans="1:30" s="23" customFormat="1" x14ac:dyDescent="0.3">
      <c r="A334" s="242" t="s">
        <v>282</v>
      </c>
      <c r="B334" s="243" t="s">
        <v>283</v>
      </c>
      <c r="C334" s="244"/>
      <c r="D334" s="244"/>
      <c r="E334" s="244"/>
      <c r="F334" s="244"/>
      <c r="G334" s="244"/>
      <c r="H334" s="245"/>
      <c r="I334" s="245"/>
      <c r="J334" s="245"/>
      <c r="K334" s="245"/>
      <c r="L334" s="245"/>
      <c r="M334" s="245"/>
      <c r="N334" s="245"/>
      <c r="O334" s="245"/>
      <c r="P334" s="246"/>
      <c r="Q334" s="246"/>
      <c r="R334" s="246"/>
      <c r="S334" s="246"/>
      <c r="T334" s="246"/>
      <c r="U334" s="246"/>
      <c r="V334" s="246"/>
      <c r="W334" s="246"/>
      <c r="X334" s="262" t="s">
        <v>69</v>
      </c>
      <c r="Y334" s="263" t="s">
        <v>70</v>
      </c>
      <c r="Z334" s="262" t="s">
        <v>75</v>
      </c>
      <c r="AA334" s="263" t="s">
        <v>70</v>
      </c>
      <c r="AB334" s="282" t="s">
        <v>335</v>
      </c>
      <c r="AC334" s="284"/>
      <c r="AD334" s="22"/>
    </row>
    <row r="335" spans="1:30" s="23" customFormat="1" x14ac:dyDescent="0.3">
      <c r="A335" s="247"/>
      <c r="B335" s="248" t="s">
        <v>59</v>
      </c>
      <c r="C335" s="249"/>
      <c r="D335" s="249"/>
      <c r="E335" s="249"/>
      <c r="F335" s="249"/>
      <c r="G335" s="249"/>
      <c r="H335" s="250"/>
      <c r="I335" s="250"/>
      <c r="J335" s="250"/>
      <c r="K335" s="250"/>
      <c r="L335" s="250"/>
      <c r="M335" s="250"/>
      <c r="N335" s="250"/>
      <c r="O335" s="250"/>
      <c r="P335" s="251"/>
      <c r="Q335" s="269"/>
      <c r="R335" s="269"/>
      <c r="S335" s="269"/>
      <c r="T335" s="269"/>
      <c r="U335" s="269"/>
      <c r="V335" s="269"/>
      <c r="W335" s="269"/>
      <c r="X335" s="264">
        <v>540</v>
      </c>
      <c r="Y335" s="265">
        <f>+X335/X344</f>
        <v>1</v>
      </c>
      <c r="Z335" s="215">
        <v>118176</v>
      </c>
      <c r="AA335" s="265">
        <f>+Z335/Z344</f>
        <v>1</v>
      </c>
      <c r="AB335" s="281"/>
      <c r="AC335" s="283"/>
      <c r="AD335" s="22"/>
    </row>
    <row r="336" spans="1:30" s="23" customFormat="1" x14ac:dyDescent="0.3">
      <c r="A336" s="252"/>
      <c r="B336" s="253" t="s">
        <v>60</v>
      </c>
      <c r="C336" s="254"/>
      <c r="D336" s="254"/>
      <c r="E336" s="254"/>
      <c r="F336" s="254"/>
      <c r="G336" s="254"/>
      <c r="H336" s="255"/>
      <c r="I336" s="255"/>
      <c r="J336" s="255"/>
      <c r="K336" s="255"/>
      <c r="L336" s="255"/>
      <c r="M336" s="255"/>
      <c r="N336" s="255"/>
      <c r="O336" s="255"/>
      <c r="P336" s="256"/>
      <c r="Q336" s="204"/>
      <c r="R336" s="204"/>
      <c r="S336" s="204"/>
      <c r="T336" s="204"/>
      <c r="U336" s="204"/>
      <c r="V336" s="204"/>
      <c r="W336" s="204"/>
      <c r="X336" s="266">
        <v>0</v>
      </c>
      <c r="Y336" s="267">
        <f>+X336/X344</f>
        <v>0</v>
      </c>
      <c r="Z336" s="98">
        <v>0</v>
      </c>
      <c r="AA336" s="268">
        <f>+Z336/Z344</f>
        <v>0</v>
      </c>
      <c r="AB336" s="40"/>
      <c r="AC336" s="43"/>
      <c r="AD336" s="22"/>
    </row>
    <row r="337" spans="1:30" s="23" customFormat="1" x14ac:dyDescent="0.3">
      <c r="A337" s="252"/>
      <c r="B337" s="253" t="s">
        <v>61</v>
      </c>
      <c r="C337" s="254"/>
      <c r="D337" s="254"/>
      <c r="E337" s="254"/>
      <c r="F337" s="254"/>
      <c r="G337" s="254"/>
      <c r="H337" s="255"/>
      <c r="I337" s="255"/>
      <c r="J337" s="255"/>
      <c r="K337" s="255"/>
      <c r="L337" s="255"/>
      <c r="M337" s="255"/>
      <c r="N337" s="255"/>
      <c r="O337" s="255"/>
      <c r="P337" s="256"/>
      <c r="Q337" s="204"/>
      <c r="R337" s="204"/>
      <c r="S337" s="204"/>
      <c r="T337" s="204"/>
      <c r="U337" s="204"/>
      <c r="V337" s="204"/>
      <c r="W337" s="204"/>
      <c r="X337" s="266">
        <v>0</v>
      </c>
      <c r="Y337" s="267">
        <f>+X337/X344</f>
        <v>0</v>
      </c>
      <c r="Z337" s="98">
        <v>0</v>
      </c>
      <c r="AA337" s="268">
        <f>+Z337/Z344</f>
        <v>0</v>
      </c>
      <c r="AB337" s="40"/>
      <c r="AC337" s="43"/>
      <c r="AD337" s="22"/>
    </row>
    <row r="338" spans="1:30" s="23" customFormat="1" x14ac:dyDescent="0.3">
      <c r="A338" s="252"/>
      <c r="B338" s="253" t="s">
        <v>100</v>
      </c>
      <c r="C338" s="254"/>
      <c r="D338" s="254"/>
      <c r="E338" s="254"/>
      <c r="F338" s="254"/>
      <c r="G338" s="254"/>
      <c r="H338" s="255"/>
      <c r="I338" s="255"/>
      <c r="J338" s="255"/>
      <c r="K338" s="255"/>
      <c r="L338" s="255"/>
      <c r="M338" s="255"/>
      <c r="N338" s="255"/>
      <c r="O338" s="255"/>
      <c r="P338" s="256"/>
      <c r="Q338" s="204"/>
      <c r="R338" s="204"/>
      <c r="S338" s="204"/>
      <c r="T338" s="204"/>
      <c r="U338" s="204"/>
      <c r="V338" s="204"/>
      <c r="W338" s="204"/>
      <c r="X338" s="266">
        <v>0</v>
      </c>
      <c r="Y338" s="267">
        <f>+X338/X344</f>
        <v>0</v>
      </c>
      <c r="Z338" s="98">
        <v>0</v>
      </c>
      <c r="AA338" s="268">
        <f>+Z338/Z344</f>
        <v>0</v>
      </c>
      <c r="AB338" s="40"/>
      <c r="AC338" s="43"/>
      <c r="AD338" s="22"/>
    </row>
    <row r="339" spans="1:30" s="23" customFormat="1" x14ac:dyDescent="0.3">
      <c r="A339" s="252"/>
      <c r="B339" s="253" t="s">
        <v>101</v>
      </c>
      <c r="C339" s="254"/>
      <c r="D339" s="254"/>
      <c r="E339" s="254"/>
      <c r="F339" s="254"/>
      <c r="G339" s="254"/>
      <c r="H339" s="255"/>
      <c r="I339" s="255"/>
      <c r="J339" s="255"/>
      <c r="K339" s="255"/>
      <c r="L339" s="255"/>
      <c r="M339" s="255"/>
      <c r="N339" s="255"/>
      <c r="O339" s="255"/>
      <c r="P339" s="256"/>
      <c r="Q339" s="204"/>
      <c r="R339" s="204"/>
      <c r="S339" s="204"/>
      <c r="T339" s="204"/>
      <c r="U339" s="204"/>
      <c r="V339" s="204"/>
      <c r="W339" s="204"/>
      <c r="X339" s="266">
        <v>0</v>
      </c>
      <c r="Y339" s="267">
        <f>+X339/X344</f>
        <v>0</v>
      </c>
      <c r="Z339" s="98">
        <v>0</v>
      </c>
      <c r="AA339" s="268">
        <f>+Z339/Z344</f>
        <v>0</v>
      </c>
      <c r="AB339" s="40"/>
      <c r="AC339" s="43"/>
      <c r="AD339" s="22"/>
    </row>
    <row r="340" spans="1:30" s="23" customFormat="1" x14ac:dyDescent="0.3">
      <c r="A340" s="252"/>
      <c r="B340" s="253" t="s">
        <v>102</v>
      </c>
      <c r="C340" s="254"/>
      <c r="D340" s="254"/>
      <c r="E340" s="254"/>
      <c r="F340" s="254"/>
      <c r="G340" s="254"/>
      <c r="H340" s="255"/>
      <c r="I340" s="255"/>
      <c r="J340" s="255"/>
      <c r="K340" s="255"/>
      <c r="L340" s="255"/>
      <c r="M340" s="255"/>
      <c r="N340" s="255"/>
      <c r="O340" s="255"/>
      <c r="P340" s="256"/>
      <c r="Q340" s="204"/>
      <c r="R340" s="204"/>
      <c r="S340" s="204"/>
      <c r="T340" s="204"/>
      <c r="U340" s="204"/>
      <c r="V340" s="204"/>
      <c r="W340" s="204"/>
      <c r="X340" s="266">
        <v>0</v>
      </c>
      <c r="Y340" s="267">
        <f>+X340/X344</f>
        <v>0</v>
      </c>
      <c r="Z340" s="98">
        <v>0</v>
      </c>
      <c r="AA340" s="268">
        <f>+Z340/Z344</f>
        <v>0</v>
      </c>
      <c r="AB340" s="40"/>
      <c r="AC340" s="43"/>
      <c r="AD340" s="22"/>
    </row>
    <row r="341" spans="1:30" s="23" customFormat="1" x14ac:dyDescent="0.3">
      <c r="A341" s="252"/>
      <c r="B341" s="253" t="s">
        <v>103</v>
      </c>
      <c r="C341" s="254"/>
      <c r="D341" s="254"/>
      <c r="E341" s="254"/>
      <c r="F341" s="254"/>
      <c r="G341" s="254"/>
      <c r="H341" s="255"/>
      <c r="I341" s="255"/>
      <c r="J341" s="255"/>
      <c r="K341" s="255"/>
      <c r="L341" s="255"/>
      <c r="M341" s="255"/>
      <c r="N341" s="255"/>
      <c r="O341" s="255"/>
      <c r="P341" s="256"/>
      <c r="Q341" s="204"/>
      <c r="R341" s="204"/>
      <c r="S341" s="204"/>
      <c r="T341" s="204"/>
      <c r="U341" s="204"/>
      <c r="V341" s="204"/>
      <c r="W341" s="204"/>
      <c r="X341" s="266">
        <v>0</v>
      </c>
      <c r="Y341" s="267">
        <f>+X341/X344</f>
        <v>0</v>
      </c>
      <c r="Z341" s="98">
        <v>0</v>
      </c>
      <c r="AA341" s="268">
        <f>+Z341/Z344</f>
        <v>0</v>
      </c>
      <c r="AB341" s="40"/>
      <c r="AC341" s="43"/>
      <c r="AD341" s="22"/>
    </row>
    <row r="342" spans="1:30" s="23" customFormat="1" x14ac:dyDescent="0.3">
      <c r="A342" s="252"/>
      <c r="B342" s="253" t="s">
        <v>104</v>
      </c>
      <c r="C342" s="254"/>
      <c r="D342" s="254"/>
      <c r="E342" s="254"/>
      <c r="F342" s="254"/>
      <c r="G342" s="254"/>
      <c r="H342" s="255"/>
      <c r="I342" s="255"/>
      <c r="J342" s="255"/>
      <c r="K342" s="255"/>
      <c r="L342" s="255"/>
      <c r="M342" s="255"/>
      <c r="N342" s="255"/>
      <c r="O342" s="255"/>
      <c r="P342" s="256"/>
      <c r="Q342" s="204"/>
      <c r="R342" s="204"/>
      <c r="S342" s="204"/>
      <c r="T342" s="204"/>
      <c r="U342" s="204"/>
      <c r="V342" s="204"/>
      <c r="W342" s="204"/>
      <c r="X342" s="266">
        <v>0</v>
      </c>
      <c r="Y342" s="265">
        <f>+X342/X344</f>
        <v>0</v>
      </c>
      <c r="Z342" s="98">
        <v>0</v>
      </c>
      <c r="AA342" s="268">
        <f>+Z342/Z344</f>
        <v>0</v>
      </c>
      <c r="AB342" s="40"/>
      <c r="AC342" s="43"/>
      <c r="AD342" s="22"/>
    </row>
    <row r="343" spans="1:30" s="23" customFormat="1" x14ac:dyDescent="0.3">
      <c r="A343" s="252"/>
      <c r="B343" s="253"/>
      <c r="C343" s="254"/>
      <c r="D343" s="254"/>
      <c r="E343" s="254"/>
      <c r="F343" s="254"/>
      <c r="G343" s="254"/>
      <c r="H343" s="255"/>
      <c r="I343" s="255"/>
      <c r="J343" s="255"/>
      <c r="K343" s="255"/>
      <c r="L343" s="255"/>
      <c r="M343" s="255"/>
      <c r="N343" s="255"/>
      <c r="O343" s="255"/>
      <c r="P343" s="256"/>
      <c r="Q343" s="204"/>
      <c r="R343" s="204"/>
      <c r="S343" s="204"/>
      <c r="T343" s="204"/>
      <c r="U343" s="204"/>
      <c r="V343" s="204"/>
      <c r="W343" s="204"/>
      <c r="X343" s="266"/>
      <c r="Y343" s="268"/>
      <c r="Z343" s="98"/>
      <c r="AA343" s="268"/>
      <c r="AB343" s="40"/>
      <c r="AC343" s="43"/>
      <c r="AD343" s="22"/>
    </row>
    <row r="344" spans="1:30" s="23" customFormat="1" x14ac:dyDescent="0.3">
      <c r="A344" s="252"/>
      <c r="B344" s="254" t="s">
        <v>80</v>
      </c>
      <c r="C344" s="254"/>
      <c r="D344" s="254"/>
      <c r="E344" s="254"/>
      <c r="F344" s="254"/>
      <c r="G344" s="254"/>
      <c r="H344" s="255"/>
      <c r="I344" s="255"/>
      <c r="J344" s="255"/>
      <c r="K344" s="255"/>
      <c r="L344" s="255"/>
      <c r="M344" s="255"/>
      <c r="N344" s="255"/>
      <c r="O344" s="255"/>
      <c r="P344" s="256"/>
      <c r="Q344" s="204"/>
      <c r="R344" s="204"/>
      <c r="S344" s="204"/>
      <c r="T344" s="204"/>
      <c r="U344" s="204"/>
      <c r="V344" s="204"/>
      <c r="W344" s="204"/>
      <c r="X344" s="266">
        <f>SUM(X335:X342)</f>
        <v>540</v>
      </c>
      <c r="Y344" s="268">
        <f>SUM(Y335:Y342)</f>
        <v>1</v>
      </c>
      <c r="Z344" s="98">
        <f>SUM(Z335:Z342)</f>
        <v>118176</v>
      </c>
      <c r="AA344" s="268">
        <f>SUM(AA335:AA342)</f>
        <v>1</v>
      </c>
      <c r="AB344" s="40"/>
      <c r="AC344" s="43"/>
      <c r="AD344" s="22"/>
    </row>
    <row r="345" spans="1:30" s="23" customFormat="1" ht="16.2" thickBot="1" x14ac:dyDescent="0.35">
      <c r="A345" s="252"/>
      <c r="B345" s="254" t="s">
        <v>294</v>
      </c>
      <c r="C345" s="254"/>
      <c r="D345" s="254"/>
      <c r="E345" s="254"/>
      <c r="F345" s="254"/>
      <c r="G345" s="254"/>
      <c r="H345" s="255"/>
      <c r="I345" s="255"/>
      <c r="J345" s="255"/>
      <c r="K345" s="255"/>
      <c r="L345" s="255"/>
      <c r="M345" s="255"/>
      <c r="N345" s="255"/>
      <c r="O345" s="255"/>
      <c r="P345" s="256"/>
      <c r="Q345" s="204"/>
      <c r="R345" s="204"/>
      <c r="S345" s="204"/>
      <c r="T345" s="204"/>
      <c r="U345" s="204"/>
      <c r="V345" s="204"/>
      <c r="W345" s="204"/>
      <c r="X345" s="285"/>
      <c r="Y345" s="285">
        <f>+X344/X349</f>
        <v>0.13254786450662739</v>
      </c>
      <c r="Z345" s="286"/>
      <c r="AA345" s="285">
        <f>+Z344/Z349</f>
        <v>0.15581045803338345</v>
      </c>
      <c r="AB345" s="287"/>
      <c r="AC345" s="43"/>
      <c r="AD345" s="22"/>
    </row>
    <row r="346" spans="1:30" s="23" customFormat="1" ht="16.2" thickTop="1" x14ac:dyDescent="0.3">
      <c r="A346" s="252"/>
      <c r="B346" s="254" t="s">
        <v>336</v>
      </c>
      <c r="C346" s="254"/>
      <c r="D346" s="254"/>
      <c r="E346" s="254"/>
      <c r="F346" s="254"/>
      <c r="G346" s="254"/>
      <c r="H346" s="255"/>
      <c r="I346" s="255"/>
      <c r="J346" s="255"/>
      <c r="K346" s="255"/>
      <c r="L346" s="255"/>
      <c r="M346" s="255"/>
      <c r="N346" s="255"/>
      <c r="O346" s="255"/>
      <c r="P346" s="256"/>
      <c r="Q346" s="204"/>
      <c r="R346" s="204"/>
      <c r="S346" s="204"/>
      <c r="T346" s="204"/>
      <c r="U346" s="204"/>
      <c r="V346" s="204"/>
      <c r="W346" s="204"/>
      <c r="X346" s="290">
        <v>486</v>
      </c>
      <c r="Y346" s="291">
        <f>X346/X344</f>
        <v>0.9</v>
      </c>
      <c r="Z346" s="292">
        <v>103905</v>
      </c>
      <c r="AA346" s="291">
        <f>Z346/Z344</f>
        <v>0.87923943948009753</v>
      </c>
      <c r="AB346" s="293">
        <v>0.99588477366255146</v>
      </c>
      <c r="AC346" s="43"/>
      <c r="AD346" s="22"/>
    </row>
    <row r="347" spans="1:30" s="23" customFormat="1" ht="16.2" thickBot="1" x14ac:dyDescent="0.35">
      <c r="A347" s="252"/>
      <c r="B347" s="254" t="s">
        <v>337</v>
      </c>
      <c r="C347" s="254"/>
      <c r="D347" s="254"/>
      <c r="E347" s="254"/>
      <c r="F347" s="254"/>
      <c r="G347" s="254"/>
      <c r="H347" s="255"/>
      <c r="I347" s="255"/>
      <c r="J347" s="255"/>
      <c r="K347" s="255"/>
      <c r="L347" s="255"/>
      <c r="M347" s="255"/>
      <c r="N347" s="255"/>
      <c r="O347" s="255"/>
      <c r="P347" s="256"/>
      <c r="Q347" s="204"/>
      <c r="R347" s="204"/>
      <c r="S347" s="204"/>
      <c r="T347" s="204"/>
      <c r="U347" s="204"/>
      <c r="V347" s="204"/>
      <c r="W347" s="204"/>
      <c r="X347" s="294">
        <v>54</v>
      </c>
      <c r="Y347" s="295">
        <f>X347/X344</f>
        <v>0.1</v>
      </c>
      <c r="Z347" s="296">
        <v>14271</v>
      </c>
      <c r="AA347" s="295">
        <f>Z347/Z344</f>
        <v>0.12076056051990251</v>
      </c>
      <c r="AB347" s="297">
        <v>2.5734767025089602</v>
      </c>
      <c r="AC347" s="43"/>
      <c r="AD347" s="22"/>
    </row>
    <row r="348" spans="1:30" s="23" customFormat="1" ht="16.2" thickTop="1" x14ac:dyDescent="0.3">
      <c r="A348" s="252"/>
      <c r="B348" s="254"/>
      <c r="C348" s="254"/>
      <c r="D348" s="254"/>
      <c r="E348" s="254"/>
      <c r="F348" s="254"/>
      <c r="G348" s="254"/>
      <c r="H348" s="255"/>
      <c r="I348" s="255"/>
      <c r="J348" s="255"/>
      <c r="K348" s="255"/>
      <c r="L348" s="255"/>
      <c r="M348" s="255"/>
      <c r="N348" s="255"/>
      <c r="O348" s="255"/>
      <c r="P348" s="256"/>
      <c r="Q348" s="204"/>
      <c r="R348" s="204"/>
      <c r="S348" s="204"/>
      <c r="T348" s="204"/>
      <c r="U348" s="204"/>
      <c r="V348" s="204"/>
      <c r="W348" s="204"/>
      <c r="X348" s="288"/>
      <c r="Y348" s="202"/>
      <c r="Z348" s="289"/>
      <c r="AA348" s="202"/>
      <c r="AB348" s="281"/>
      <c r="AC348" s="43"/>
      <c r="AD348" s="22"/>
    </row>
    <row r="349" spans="1:30" s="23" customFormat="1" x14ac:dyDescent="0.3">
      <c r="A349" s="47"/>
      <c r="B349" s="44" t="s">
        <v>139</v>
      </c>
      <c r="C349" s="40"/>
      <c r="D349" s="204"/>
      <c r="E349" s="204"/>
      <c r="F349" s="204"/>
      <c r="G349" s="204"/>
      <c r="H349" s="204"/>
      <c r="I349" s="204"/>
      <c r="J349" s="204"/>
      <c r="K349" s="204"/>
      <c r="L349" s="204"/>
      <c r="M349" s="204"/>
      <c r="N349" s="204"/>
      <c r="O349" s="204"/>
      <c r="P349" s="204"/>
      <c r="Q349" s="204"/>
      <c r="R349" s="204"/>
      <c r="S349" s="204"/>
      <c r="T349" s="204"/>
      <c r="U349" s="204"/>
      <c r="V349" s="204"/>
      <c r="W349" s="204"/>
      <c r="X349" s="210">
        <f>X332+X310+X298</f>
        <v>4074</v>
      </c>
      <c r="Y349" s="198"/>
      <c r="Z349" s="211">
        <f>+Z332+Z310+Z298</f>
        <v>758460</v>
      </c>
      <c r="AA349" s="198"/>
      <c r="AB349" s="40"/>
      <c r="AC349" s="43"/>
      <c r="AD349" s="22"/>
    </row>
    <row r="350" spans="1:30" s="23" customFormat="1" x14ac:dyDescent="0.3">
      <c r="A350" s="47"/>
      <c r="B350" s="44" t="s">
        <v>280</v>
      </c>
      <c r="C350" s="44"/>
      <c r="D350" s="212"/>
      <c r="E350" s="212"/>
      <c r="F350" s="212"/>
      <c r="G350" s="212"/>
      <c r="H350" s="212"/>
      <c r="I350" s="212"/>
      <c r="J350" s="212"/>
      <c r="K350" s="212"/>
      <c r="L350" s="212"/>
      <c r="M350" s="212"/>
      <c r="N350" s="212"/>
      <c r="O350" s="212"/>
      <c r="P350" s="212"/>
      <c r="Q350" s="212"/>
      <c r="R350" s="212"/>
      <c r="S350" s="212"/>
      <c r="T350" s="212"/>
      <c r="U350" s="212"/>
      <c r="V350" s="212"/>
      <c r="W350" s="212"/>
      <c r="X350" s="210"/>
      <c r="Y350" s="213"/>
      <c r="Z350" s="211">
        <f>+AB64+AB63</f>
        <v>741</v>
      </c>
      <c r="AA350" s="198"/>
      <c r="AB350" s="40"/>
      <c r="AC350" s="43"/>
      <c r="AD350" s="22"/>
    </row>
    <row r="351" spans="1:30" s="23" customFormat="1" x14ac:dyDescent="0.3">
      <c r="A351" s="47"/>
      <c r="B351" s="44" t="s">
        <v>107</v>
      </c>
      <c r="C351" s="44"/>
      <c r="D351" s="212"/>
      <c r="E351" s="212"/>
      <c r="F351" s="212"/>
      <c r="G351" s="212"/>
      <c r="H351" s="212"/>
      <c r="I351" s="212"/>
      <c r="J351" s="212"/>
      <c r="K351" s="212"/>
      <c r="L351" s="212"/>
      <c r="M351" s="212"/>
      <c r="N351" s="212"/>
      <c r="O351" s="212"/>
      <c r="P351" s="212"/>
      <c r="Q351" s="212"/>
      <c r="R351" s="212"/>
      <c r="S351" s="212"/>
      <c r="T351" s="212"/>
      <c r="U351" s="212"/>
      <c r="V351" s="212"/>
      <c r="W351" s="212"/>
      <c r="X351" s="210"/>
      <c r="Y351" s="213"/>
      <c r="Z351" s="211">
        <f>+Z349+Z350</f>
        <v>759201</v>
      </c>
      <c r="AA351" s="198"/>
      <c r="AB351" s="40"/>
      <c r="AC351" s="43"/>
      <c r="AD351" s="22"/>
    </row>
    <row r="352" spans="1:30" s="23" customFormat="1" x14ac:dyDescent="0.3">
      <c r="A352" s="47"/>
      <c r="B352" s="44" t="s">
        <v>245</v>
      </c>
      <c r="C352" s="40"/>
      <c r="D352" s="204"/>
      <c r="E352" s="204"/>
      <c r="F352" s="204"/>
      <c r="G352" s="204"/>
      <c r="H352" s="204"/>
      <c r="I352" s="204"/>
      <c r="J352" s="204"/>
      <c r="K352" s="204"/>
      <c r="L352" s="204"/>
      <c r="M352" s="204"/>
      <c r="N352" s="204"/>
      <c r="O352" s="204"/>
      <c r="P352" s="204"/>
      <c r="Q352" s="204"/>
      <c r="R352" s="204"/>
      <c r="S352" s="204"/>
      <c r="T352" s="204"/>
      <c r="U352" s="204"/>
      <c r="V352" s="204"/>
      <c r="W352" s="204"/>
      <c r="X352" s="210"/>
      <c r="Y352" s="198"/>
      <c r="Z352" s="211">
        <f>+AB66</f>
        <v>759201</v>
      </c>
      <c r="AA352" s="198"/>
      <c r="AB352" s="40"/>
      <c r="AC352" s="43"/>
      <c r="AD352" s="22"/>
    </row>
    <row r="353" spans="1:30" s="23" customFormat="1" x14ac:dyDescent="0.3">
      <c r="A353" s="47"/>
      <c r="B353" s="44"/>
      <c r="C353" s="40"/>
      <c r="D353" s="204"/>
      <c r="E353" s="204"/>
      <c r="F353" s="204"/>
      <c r="G353" s="204"/>
      <c r="H353" s="204"/>
      <c r="I353" s="204"/>
      <c r="J353" s="204"/>
      <c r="K353" s="204"/>
      <c r="L353" s="204"/>
      <c r="M353" s="204"/>
      <c r="N353" s="204"/>
      <c r="O353" s="204"/>
      <c r="P353" s="204"/>
      <c r="Q353" s="204"/>
      <c r="R353" s="204"/>
      <c r="S353" s="204"/>
      <c r="T353" s="204"/>
      <c r="U353" s="204"/>
      <c r="V353" s="204"/>
      <c r="W353" s="204"/>
      <c r="X353" s="210"/>
      <c r="Y353" s="198"/>
      <c r="Z353" s="211"/>
      <c r="AA353" s="198"/>
      <c r="AB353" s="40"/>
      <c r="AC353" s="43"/>
      <c r="AD353" s="22"/>
    </row>
    <row r="354" spans="1:30" s="23" customFormat="1" x14ac:dyDescent="0.3">
      <c r="A354" s="47"/>
      <c r="B354" s="44" t="s">
        <v>327</v>
      </c>
      <c r="C354" s="40"/>
      <c r="D354" s="204"/>
      <c r="E354" s="204"/>
      <c r="F354" s="204"/>
      <c r="G354" s="204"/>
      <c r="H354" s="204"/>
      <c r="I354" s="204"/>
      <c r="J354" s="204"/>
      <c r="K354" s="204"/>
      <c r="L354" s="204"/>
      <c r="M354" s="204"/>
      <c r="N354" s="204"/>
      <c r="O354" s="204"/>
      <c r="P354" s="204"/>
      <c r="Q354" s="204"/>
      <c r="R354" s="204"/>
      <c r="S354" s="204"/>
      <c r="T354" s="204"/>
      <c r="U354" s="204"/>
      <c r="V354" s="204"/>
      <c r="W354" s="204"/>
      <c r="X354" s="210"/>
      <c r="Y354" s="198"/>
      <c r="Z354" s="236">
        <f>(F31+H31+J31+L31+N31)/AB31</f>
        <v>1</v>
      </c>
      <c r="AA354" s="198"/>
      <c r="AB354" s="40"/>
      <c r="AC354" s="43"/>
      <c r="AD354" s="22"/>
    </row>
    <row r="355" spans="1:30" s="23" customFormat="1" x14ac:dyDescent="0.3">
      <c r="A355" s="18"/>
      <c r="B355" s="20"/>
      <c r="C355" s="20"/>
      <c r="D355" s="214"/>
      <c r="E355" s="214"/>
      <c r="F355" s="214"/>
      <c r="G355" s="214"/>
      <c r="H355" s="214"/>
      <c r="I355" s="214"/>
      <c r="J355" s="214"/>
      <c r="K355" s="214"/>
      <c r="L355" s="214"/>
      <c r="M355" s="214"/>
      <c r="N355" s="214"/>
      <c r="O355" s="214"/>
      <c r="P355" s="214"/>
      <c r="Q355" s="214"/>
      <c r="R355" s="214"/>
      <c r="S355" s="214"/>
      <c r="T355" s="214"/>
      <c r="U355" s="214"/>
      <c r="V355" s="214"/>
      <c r="W355" s="214"/>
      <c r="X355" s="214"/>
      <c r="Y355" s="214"/>
      <c r="Z355" s="215"/>
      <c r="AA355" s="214"/>
      <c r="AB355" s="20"/>
      <c r="AC355" s="21"/>
      <c r="AD355" s="22"/>
    </row>
    <row r="356" spans="1:30" s="23" customFormat="1" x14ac:dyDescent="0.3">
      <c r="A356" s="18"/>
      <c r="B356" s="19" t="s">
        <v>62</v>
      </c>
      <c r="C356" s="20"/>
      <c r="D356" s="216" t="s">
        <v>66</v>
      </c>
      <c r="E356" s="19"/>
      <c r="F356" s="19" t="s">
        <v>67</v>
      </c>
      <c r="G356" s="20"/>
      <c r="H356" s="19"/>
      <c r="I356" s="20"/>
      <c r="J356" s="20"/>
      <c r="K356" s="20"/>
      <c r="L356" s="20"/>
      <c r="M356" s="20"/>
      <c r="N356" s="20"/>
      <c r="O356" s="20"/>
      <c r="P356" s="20"/>
      <c r="Q356" s="20"/>
      <c r="R356" s="20"/>
      <c r="S356" s="20"/>
      <c r="T356" s="20"/>
      <c r="U356" s="20"/>
      <c r="V356" s="20"/>
      <c r="W356" s="20"/>
      <c r="X356" s="20"/>
      <c r="Y356" s="20"/>
      <c r="Z356" s="20"/>
      <c r="AA356" s="20"/>
      <c r="AB356" s="20"/>
      <c r="AC356" s="21"/>
      <c r="AD356" s="22"/>
    </row>
    <row r="357" spans="1:30" s="23" customFormat="1" x14ac:dyDescent="0.3">
      <c r="A357" s="18"/>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1"/>
      <c r="AD357" s="22"/>
    </row>
    <row r="358" spans="1:30" s="23" customFormat="1" x14ac:dyDescent="0.3">
      <c r="A358" s="18"/>
      <c r="B358" s="19" t="s">
        <v>152</v>
      </c>
      <c r="C358" s="19"/>
      <c r="D358" s="217" t="s">
        <v>122</v>
      </c>
      <c r="E358" s="19"/>
      <c r="F358" s="19" t="s">
        <v>169</v>
      </c>
      <c r="G358" s="19"/>
      <c r="H358" s="19"/>
      <c r="I358" s="20"/>
      <c r="J358" s="20"/>
      <c r="K358" s="20"/>
      <c r="L358" s="20"/>
      <c r="M358" s="20"/>
      <c r="N358" s="20"/>
      <c r="O358" s="20"/>
      <c r="P358" s="20"/>
      <c r="Q358" s="20"/>
      <c r="R358" s="20"/>
      <c r="S358" s="20"/>
      <c r="T358" s="20"/>
      <c r="U358" s="20"/>
      <c r="V358" s="20"/>
      <c r="W358" s="20"/>
      <c r="X358" s="20"/>
      <c r="Y358" s="20"/>
      <c r="Z358" s="20"/>
      <c r="AA358" s="20"/>
      <c r="AB358" s="20"/>
      <c r="AC358" s="21"/>
      <c r="AD358" s="22"/>
    </row>
    <row r="359" spans="1:30" s="23" customFormat="1" x14ac:dyDescent="0.3">
      <c r="A359" s="18"/>
      <c r="B359" s="19" t="s">
        <v>153</v>
      </c>
      <c r="C359" s="19"/>
      <c r="D359" s="217" t="s">
        <v>98</v>
      </c>
      <c r="E359" s="19"/>
      <c r="F359" s="19" t="s">
        <v>170</v>
      </c>
      <c r="G359" s="19"/>
      <c r="H359" s="19"/>
      <c r="I359" s="20"/>
      <c r="J359" s="20"/>
      <c r="K359" s="20"/>
      <c r="L359" s="20"/>
      <c r="M359" s="20"/>
      <c r="N359" s="20"/>
      <c r="O359" s="20"/>
      <c r="P359" s="20"/>
      <c r="Q359" s="20"/>
      <c r="R359" s="20"/>
      <c r="S359" s="20"/>
      <c r="T359" s="20"/>
      <c r="U359" s="20"/>
      <c r="V359" s="20"/>
      <c r="W359" s="20"/>
      <c r="X359" s="20"/>
      <c r="Y359" s="20"/>
      <c r="Z359" s="20"/>
      <c r="AA359" s="20"/>
      <c r="AB359" s="20"/>
      <c r="AC359" s="21"/>
      <c r="AD359" s="22"/>
    </row>
    <row r="360" spans="1:30" s="23" customFormat="1" x14ac:dyDescent="0.3">
      <c r="A360" s="18"/>
      <c r="B360" s="19"/>
      <c r="C360" s="19"/>
      <c r="D360" s="217"/>
      <c r="E360" s="19"/>
      <c r="F360" s="19"/>
      <c r="G360" s="19"/>
      <c r="H360" s="19"/>
      <c r="I360" s="20"/>
      <c r="J360" s="20"/>
      <c r="K360" s="20"/>
      <c r="L360" s="20"/>
      <c r="M360" s="20"/>
      <c r="N360" s="20"/>
      <c r="O360" s="20"/>
      <c r="P360" s="20"/>
      <c r="Q360" s="20"/>
      <c r="R360" s="20"/>
      <c r="S360" s="20"/>
      <c r="T360" s="20"/>
      <c r="U360" s="20"/>
      <c r="V360" s="20"/>
      <c r="W360" s="20"/>
      <c r="X360" s="20"/>
      <c r="Y360" s="20"/>
      <c r="Z360" s="20"/>
      <c r="AA360" s="20"/>
      <c r="AB360" s="20"/>
      <c r="AC360" s="21"/>
      <c r="AD360" s="22"/>
    </row>
    <row r="361" spans="1:30" s="23" customFormat="1" x14ac:dyDescent="0.3">
      <c r="A361" s="18"/>
      <c r="B361" s="257" t="s">
        <v>326</v>
      </c>
      <c r="C361" s="19"/>
      <c r="D361" s="217"/>
      <c r="E361" s="19"/>
      <c r="F361" s="19"/>
      <c r="G361" s="19"/>
      <c r="H361" s="19"/>
      <c r="I361" s="20"/>
      <c r="J361" s="20"/>
      <c r="K361" s="20"/>
      <c r="L361" s="20"/>
      <c r="M361" s="20"/>
      <c r="N361" s="20"/>
      <c r="O361" s="20"/>
      <c r="P361" s="20"/>
      <c r="Q361" s="20"/>
      <c r="R361" s="20"/>
      <c r="S361" s="20"/>
      <c r="T361" s="20"/>
      <c r="U361" s="20"/>
      <c r="V361" s="20"/>
      <c r="W361" s="20"/>
      <c r="X361" s="20"/>
      <c r="Y361" s="20"/>
      <c r="Z361" s="20"/>
      <c r="AA361" s="20"/>
      <c r="AB361" s="20"/>
      <c r="AC361" s="21"/>
      <c r="AD361" s="22"/>
    </row>
    <row r="362" spans="1:30" x14ac:dyDescent="0.3">
      <c r="A362" s="218"/>
      <c r="B362" s="258"/>
      <c r="C362" s="219"/>
      <c r="D362" s="220"/>
      <c r="E362" s="220"/>
      <c r="F362" s="220"/>
      <c r="G362" s="220"/>
      <c r="H362" s="220"/>
      <c r="I362" s="220"/>
      <c r="J362" s="220"/>
      <c r="K362" s="220"/>
      <c r="L362" s="220"/>
      <c r="M362" s="220"/>
      <c r="N362" s="220"/>
      <c r="O362" s="220"/>
      <c r="P362" s="220"/>
      <c r="Q362" s="220"/>
      <c r="R362" s="220"/>
      <c r="S362" s="220"/>
      <c r="T362" s="220"/>
      <c r="U362" s="220"/>
      <c r="V362" s="220"/>
      <c r="W362" s="220"/>
      <c r="X362" s="220"/>
      <c r="Y362" s="220"/>
      <c r="Z362" s="220"/>
      <c r="AA362" s="220"/>
      <c r="AB362" s="220"/>
      <c r="AC362" s="221"/>
      <c r="AD362" s="5"/>
    </row>
    <row r="363" spans="1:30" ht="18" x14ac:dyDescent="0.35">
      <c r="A363" s="218"/>
      <c r="B363" s="259" t="s">
        <v>109</v>
      </c>
      <c r="C363" s="219"/>
      <c r="D363" s="220"/>
      <c r="E363" s="220"/>
      <c r="F363" s="220"/>
      <c r="G363" s="220"/>
      <c r="H363" s="220"/>
      <c r="I363" s="220"/>
      <c r="J363" s="220"/>
      <c r="K363" s="220"/>
      <c r="L363" s="220"/>
      <c r="M363" s="220"/>
      <c r="N363" s="220"/>
      <c r="O363" s="220"/>
      <c r="P363" s="260" t="s">
        <v>168</v>
      </c>
      <c r="Q363" s="220"/>
      <c r="R363" s="220"/>
      <c r="S363" s="220"/>
      <c r="T363" s="220"/>
      <c r="U363" s="220"/>
      <c r="V363" s="220"/>
      <c r="W363" s="220"/>
      <c r="X363" s="220"/>
      <c r="Y363" s="220"/>
      <c r="Z363" s="220"/>
      <c r="AA363" s="220"/>
      <c r="AB363" s="220"/>
      <c r="AC363" s="221"/>
      <c r="AD363" s="5"/>
    </row>
    <row r="364" spans="1:30" ht="18" x14ac:dyDescent="0.35">
      <c r="A364" s="218"/>
      <c r="B364" s="259"/>
      <c r="C364" s="219"/>
      <c r="D364" s="220"/>
      <c r="E364" s="220"/>
      <c r="F364" s="220"/>
      <c r="G364" s="220"/>
      <c r="H364" s="220"/>
      <c r="I364" s="220"/>
      <c r="J364" s="220"/>
      <c r="K364" s="220"/>
      <c r="L364" s="220"/>
      <c r="M364" s="220"/>
      <c r="N364" s="220"/>
      <c r="O364" s="220"/>
      <c r="P364" s="260"/>
      <c r="Q364" s="220"/>
      <c r="R364" s="220"/>
      <c r="S364" s="220"/>
      <c r="T364" s="220"/>
      <c r="U364" s="220"/>
      <c r="V364" s="220"/>
      <c r="W364" s="220"/>
      <c r="X364" s="220"/>
      <c r="Y364" s="220"/>
      <c r="Z364" s="220"/>
      <c r="AA364" s="220"/>
      <c r="AB364" s="220"/>
      <c r="AC364" s="221"/>
      <c r="AD364" s="5"/>
    </row>
    <row r="365" spans="1:30" ht="18.600000000000001" thickBot="1" x14ac:dyDescent="0.4">
      <c r="A365" s="218"/>
      <c r="B365" s="222" t="str">
        <f>B234</f>
        <v>PM27 INVESTOR REPORT QUARTER ENDING JUNE 2020</v>
      </c>
      <c r="C365" s="219"/>
      <c r="D365" s="220"/>
      <c r="E365" s="220"/>
      <c r="F365" s="220"/>
      <c r="G365" s="220"/>
      <c r="H365" s="220"/>
      <c r="I365" s="220"/>
      <c r="J365" s="220"/>
      <c r="K365" s="220"/>
      <c r="L365" s="220"/>
      <c r="M365" s="220"/>
      <c r="N365" s="220"/>
      <c r="O365" s="220"/>
      <c r="P365" s="220"/>
      <c r="Q365" s="220"/>
      <c r="R365" s="220"/>
      <c r="S365" s="220"/>
      <c r="T365" s="220"/>
      <c r="U365" s="220"/>
      <c r="V365" s="220"/>
      <c r="W365" s="220"/>
      <c r="X365" s="220"/>
      <c r="Y365" s="220"/>
      <c r="Z365" s="220"/>
      <c r="AA365" s="220"/>
      <c r="AB365" s="220"/>
      <c r="AC365" s="223"/>
      <c r="AD365" s="5"/>
    </row>
    <row r="366" spans="1:30" x14ac:dyDescent="0.3">
      <c r="A366" s="224"/>
      <c r="B366" s="224"/>
      <c r="C366" s="224"/>
      <c r="D366" s="224"/>
      <c r="E366" s="224"/>
      <c r="F366" s="224"/>
      <c r="G366" s="224"/>
      <c r="H366" s="224"/>
      <c r="I366" s="224"/>
      <c r="J366" s="224"/>
      <c r="K366" s="224"/>
      <c r="L366" s="224"/>
      <c r="M366" s="224"/>
      <c r="N366" s="224"/>
      <c r="O366" s="224"/>
      <c r="P366" s="224"/>
      <c r="Q366" s="224"/>
      <c r="R366" s="224"/>
      <c r="S366" s="224"/>
      <c r="T366" s="224"/>
      <c r="U366" s="224"/>
      <c r="V366" s="224"/>
      <c r="W366" s="224"/>
      <c r="X366" s="224"/>
      <c r="Y366" s="224"/>
      <c r="Z366" s="224"/>
      <c r="AA366" s="224"/>
      <c r="AB366" s="224"/>
      <c r="AC366" s="224"/>
    </row>
    <row r="368" spans="1:30" x14ac:dyDescent="0.3">
      <c r="B368" s="278" t="s">
        <v>284</v>
      </c>
    </row>
    <row r="369" spans="2:19" x14ac:dyDescent="0.3">
      <c r="B369" s="270" t="s">
        <v>285</v>
      </c>
    </row>
    <row r="370" spans="2:19" x14ac:dyDescent="0.3">
      <c r="B370" s="270" t="s">
        <v>286</v>
      </c>
    </row>
    <row r="371" spans="2:19" x14ac:dyDescent="0.3">
      <c r="B371" s="270" t="s">
        <v>287</v>
      </c>
    </row>
    <row r="372" spans="2:19" x14ac:dyDescent="0.3">
      <c r="B372" s="270" t="s">
        <v>288</v>
      </c>
    </row>
    <row r="373" spans="2:19" x14ac:dyDescent="0.3">
      <c r="B373" s="270" t="s">
        <v>289</v>
      </c>
    </row>
    <row r="374" spans="2:19" x14ac:dyDescent="0.3">
      <c r="B374" s="270" t="s">
        <v>290</v>
      </c>
    </row>
    <row r="375" spans="2:19" x14ac:dyDescent="0.3">
      <c r="B375" s="270" t="s">
        <v>291</v>
      </c>
    </row>
    <row r="376" spans="2:19" x14ac:dyDescent="0.3">
      <c r="B376" s="270"/>
    </row>
    <row r="377" spans="2:19" x14ac:dyDescent="0.3">
      <c r="B377" s="278" t="s">
        <v>328</v>
      </c>
    </row>
    <row r="378" spans="2:19" x14ac:dyDescent="0.3">
      <c r="B378" s="270" t="s">
        <v>329</v>
      </c>
    </row>
    <row r="379" spans="2:19" x14ac:dyDescent="0.3">
      <c r="B379" s="270" t="s">
        <v>330</v>
      </c>
    </row>
    <row r="380" spans="2:19" x14ac:dyDescent="0.3">
      <c r="B380" s="270" t="s">
        <v>331</v>
      </c>
    </row>
    <row r="381" spans="2:19" x14ac:dyDescent="0.3">
      <c r="B381" s="270"/>
    </row>
    <row r="382" spans="2:19" x14ac:dyDescent="0.3">
      <c r="B382" s="278" t="s">
        <v>292</v>
      </c>
    </row>
    <row r="383" spans="2:19" x14ac:dyDescent="0.3">
      <c r="B383" s="270" t="s">
        <v>293</v>
      </c>
    </row>
    <row r="384" spans="2:19" x14ac:dyDescent="0.3">
      <c r="B384" s="270" t="s">
        <v>339</v>
      </c>
      <c r="C384" s="271"/>
      <c r="D384" s="271"/>
      <c r="E384" s="271"/>
      <c r="F384" s="271"/>
      <c r="G384" s="271"/>
      <c r="H384" s="271"/>
      <c r="I384" s="271"/>
      <c r="J384" s="271"/>
      <c r="K384" s="271"/>
      <c r="L384" s="271"/>
      <c r="M384" s="271"/>
      <c r="N384" s="271"/>
      <c r="O384" s="271"/>
      <c r="P384" s="271"/>
      <c r="Q384" s="271"/>
      <c r="R384" s="271"/>
      <c r="S384" s="271"/>
    </row>
    <row r="385" spans="2:19" x14ac:dyDescent="0.3">
      <c r="B385" s="6" t="s">
        <v>338</v>
      </c>
      <c r="C385" s="271"/>
      <c r="D385" s="271"/>
      <c r="E385" s="271"/>
      <c r="F385" s="271"/>
      <c r="G385" s="271"/>
      <c r="H385" s="271"/>
      <c r="I385" s="271"/>
      <c r="J385" s="271"/>
      <c r="K385" s="271"/>
      <c r="L385" s="271"/>
      <c r="M385" s="271"/>
      <c r="N385" s="271"/>
      <c r="O385" s="271"/>
      <c r="P385" s="271"/>
      <c r="Q385" s="271"/>
      <c r="R385" s="271"/>
      <c r="S385" s="271"/>
    </row>
  </sheetData>
  <hyperlinks>
    <hyperlink ref="K9" r:id="rId1" display="http://www.paragon-group.co.uk" xr:uid="{9653096F-AE09-4E5E-99FA-10377205F0EA}"/>
    <hyperlink ref="P363" r:id="rId2" xr:uid="{DB066EFA-9420-4F0B-8D41-3E40C5E82DDE}"/>
    <hyperlink ref="P274" r:id="rId3" xr:uid="{2F4B0982-4266-4DD6-9FF0-5BA0D734053E}"/>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3" max="18" man="1"/>
    <brk id="131" max="18" man="1"/>
    <brk id="234" max="18" man="1"/>
  </rowBreaks>
  <colBreaks count="1" manualBreakCount="1">
    <brk id="29" max="299" man="1"/>
  </colBreak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C5E2E-5025-48A7-83E7-0EE079F7CF4D}">
  <sheetPr>
    <tabColor rgb="FF2D2926"/>
  </sheetPr>
  <dimension ref="A1:JB352"/>
  <sheetViews>
    <sheetView showGridLines="0" showOutlineSymbols="0" zoomScale="70" zoomScaleNormal="70" workbookViewId="0"/>
  </sheetViews>
  <sheetFormatPr defaultColWidth="9.81640625" defaultRowHeight="15.6" x14ac:dyDescent="0.3"/>
  <cols>
    <col min="1" max="1" width="4" style="6" customWidth="1"/>
    <col min="2" max="2" width="71.08984375" style="6" customWidth="1"/>
    <col min="3" max="3" width="2.08984375" style="6" customWidth="1"/>
    <col min="4" max="4" width="16.08984375" style="6" customWidth="1"/>
    <col min="5" max="5" width="2.81640625" style="6" customWidth="1"/>
    <col min="6" max="6" width="16.08984375" style="6" customWidth="1"/>
    <col min="7" max="7" width="2.08984375" style="6" customWidth="1"/>
    <col min="8" max="8" width="17.81640625" style="6" customWidth="1"/>
    <col min="9" max="9" width="2.08984375" style="6" customWidth="1"/>
    <col min="10" max="10" width="14.8164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302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168</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301</v>
      </c>
      <c r="AC14" s="21"/>
      <c r="AD14" s="22"/>
    </row>
    <row r="15" spans="1:30" s="23" customFormat="1" x14ac:dyDescent="0.3">
      <c r="A15" s="18"/>
      <c r="B15" s="19" t="s">
        <v>278</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323</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3.6400000000000002E-2</v>
      </c>
      <c r="Z16" s="29" t="s">
        <v>264</v>
      </c>
      <c r="AA16" s="29">
        <v>0.96360000000000001</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3.0117609119022205E-2</v>
      </c>
      <c r="Z17" s="29" t="s">
        <v>264</v>
      </c>
      <c r="AA17" s="29">
        <v>0.96988239088097772</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6">
        <v>43951</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44855</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304</v>
      </c>
      <c r="G23" s="35"/>
      <c r="H23" s="35" t="s">
        <v>140</v>
      </c>
      <c r="I23" s="35"/>
      <c r="J23" s="35" t="s">
        <v>141</v>
      </c>
      <c r="K23" s="35"/>
      <c r="L23" s="35" t="s">
        <v>171</v>
      </c>
      <c r="M23" s="35"/>
      <c r="N23" s="35" t="s">
        <v>161</v>
      </c>
      <c r="O23" s="35"/>
      <c r="P23" s="35" t="s">
        <v>181</v>
      </c>
      <c r="Q23" s="35"/>
      <c r="R23" s="35" t="s">
        <v>182</v>
      </c>
      <c r="S23" s="35"/>
      <c r="T23" s="35" t="s">
        <v>183</v>
      </c>
      <c r="U23" s="35"/>
      <c r="V23" s="35" t="s">
        <v>184</v>
      </c>
      <c r="W23" s="35"/>
      <c r="X23" s="35" t="s">
        <v>185</v>
      </c>
      <c r="Y23" s="35" t="s">
        <v>186</v>
      </c>
      <c r="Z23" s="35"/>
      <c r="AA23" s="34"/>
      <c r="AB23" s="34"/>
      <c r="AC23" s="36"/>
      <c r="AD23" s="5"/>
    </row>
    <row r="24" spans="1:33" s="23" customFormat="1" x14ac:dyDescent="0.3">
      <c r="A24" s="18"/>
      <c r="B24" s="37" t="s">
        <v>158</v>
      </c>
      <c r="C24" s="38"/>
      <c r="D24" s="228"/>
      <c r="E24" s="228"/>
      <c r="F24" s="228" t="s">
        <v>220</v>
      </c>
      <c r="G24" s="228"/>
      <c r="H24" s="228" t="s">
        <v>221</v>
      </c>
      <c r="I24" s="228"/>
      <c r="J24" s="228" t="s">
        <v>269</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c r="E25" s="227"/>
      <c r="F25" s="227" t="s">
        <v>222</v>
      </c>
      <c r="G25" s="227"/>
      <c r="H25" s="227" t="s">
        <v>223</v>
      </c>
      <c r="I25" s="227"/>
      <c r="J25" s="227" t="s">
        <v>270</v>
      </c>
      <c r="K25" s="227"/>
      <c r="L25" s="227" t="s">
        <v>324</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159</v>
      </c>
      <c r="C26" s="41"/>
      <c r="D26" s="229"/>
      <c r="E26" s="229"/>
      <c r="F26" s="229" t="s">
        <v>220</v>
      </c>
      <c r="G26" s="229"/>
      <c r="H26" s="229" t="s">
        <v>220</v>
      </c>
      <c r="I26" s="229"/>
      <c r="J26" s="229" t="s">
        <v>355</v>
      </c>
      <c r="K26" s="229"/>
      <c r="L26" s="229" t="s">
        <v>356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c r="E27" s="229"/>
      <c r="F27" s="229" t="s">
        <v>222</v>
      </c>
      <c r="G27" s="229"/>
      <c r="H27" s="229" t="s">
        <v>223</v>
      </c>
      <c r="I27" s="229"/>
      <c r="J27" s="229" t="s">
        <v>270</v>
      </c>
      <c r="K27" s="229"/>
      <c r="L27" s="229" t="s">
        <v>324</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c r="E28" s="227"/>
      <c r="F28" s="227" t="s">
        <v>313</v>
      </c>
      <c r="G28" s="227"/>
      <c r="H28" s="227" t="s">
        <v>314</v>
      </c>
      <c r="I28" s="227"/>
      <c r="J28" s="227" t="s">
        <v>315</v>
      </c>
      <c r="K28" s="227"/>
      <c r="L28" s="227" t="s">
        <v>316</v>
      </c>
      <c r="M28" s="227"/>
      <c r="N28" s="227" t="s">
        <v>317</v>
      </c>
      <c r="O28" s="227"/>
      <c r="P28" s="227" t="s">
        <v>318</v>
      </c>
      <c r="Q28" s="227"/>
      <c r="R28" s="227" t="s">
        <v>83</v>
      </c>
      <c r="S28" s="227"/>
      <c r="T28" s="227" t="s">
        <v>319</v>
      </c>
      <c r="U28" s="227"/>
      <c r="V28" s="227" t="s">
        <v>320</v>
      </c>
      <c r="W28" s="227"/>
      <c r="X28" s="227" t="s">
        <v>321</v>
      </c>
      <c r="Y28" s="227" t="s">
        <v>322</v>
      </c>
      <c r="Z28" s="227"/>
      <c r="AA28" s="49"/>
      <c r="AB28" s="50"/>
      <c r="AC28" s="51"/>
      <c r="AD28" s="22"/>
      <c r="AE28" s="45"/>
      <c r="AG28" s="46"/>
    </row>
    <row r="29" spans="1:33" s="23" customFormat="1" x14ac:dyDescent="0.3">
      <c r="A29" s="39"/>
      <c r="B29" s="40" t="s">
        <v>91</v>
      </c>
      <c r="C29" s="52"/>
      <c r="D29" s="54"/>
      <c r="E29" s="53"/>
      <c r="F29" s="54">
        <v>648307</v>
      </c>
      <c r="G29" s="55"/>
      <c r="H29" s="54">
        <v>41826</v>
      </c>
      <c r="I29" s="55"/>
      <c r="J29" s="54">
        <v>22814</v>
      </c>
      <c r="K29" s="55"/>
      <c r="L29" s="54">
        <v>22814</v>
      </c>
      <c r="M29" s="50"/>
      <c r="N29" s="54">
        <v>24717</v>
      </c>
      <c r="O29" s="54"/>
      <c r="P29" s="231">
        <v>11637</v>
      </c>
      <c r="Q29" s="231"/>
      <c r="R29" s="231">
        <v>4175</v>
      </c>
      <c r="S29" s="54"/>
      <c r="T29" s="54" t="s">
        <v>83</v>
      </c>
      <c r="U29" s="54"/>
      <c r="V29" s="54" t="s">
        <v>83</v>
      </c>
      <c r="W29" s="54"/>
      <c r="X29" s="54" t="s">
        <v>83</v>
      </c>
      <c r="Y29" s="54" t="s">
        <v>83</v>
      </c>
      <c r="Z29" s="54"/>
      <c r="AA29" s="52"/>
      <c r="AB29" s="50">
        <f>SUM(F29:N29)</f>
        <v>760478</v>
      </c>
      <c r="AC29" s="51"/>
      <c r="AD29" s="22"/>
    </row>
    <row r="30" spans="1:33" s="23" customFormat="1" x14ac:dyDescent="0.3">
      <c r="A30" s="47"/>
      <c r="B30" s="40" t="s">
        <v>90</v>
      </c>
      <c r="C30" s="49"/>
      <c r="D30" s="54"/>
      <c r="E30" s="54"/>
      <c r="F30" s="54">
        <f>F29*F33</f>
        <v>560305.80781999999</v>
      </c>
      <c r="G30" s="54"/>
      <c r="H30" s="54">
        <f>H29</f>
        <v>41826</v>
      </c>
      <c r="I30" s="54"/>
      <c r="J30" s="54">
        <f>J29</f>
        <v>22814</v>
      </c>
      <c r="K30" s="54"/>
      <c r="L30" s="54">
        <f>L29</f>
        <v>22814</v>
      </c>
      <c r="M30" s="54"/>
      <c r="N30" s="54">
        <f>N29</f>
        <v>24717</v>
      </c>
      <c r="O30" s="54"/>
      <c r="P30" s="54">
        <f>P29*P33</f>
        <v>9904.1343300000008</v>
      </c>
      <c r="Q30" s="54"/>
      <c r="R30" s="54">
        <f>'December 2020'!R31</f>
        <v>0</v>
      </c>
      <c r="S30" s="54"/>
      <c r="T30" s="54" t="s">
        <v>83</v>
      </c>
      <c r="U30" s="54"/>
      <c r="V30" s="54" t="s">
        <v>83</v>
      </c>
      <c r="W30" s="54"/>
      <c r="X30" s="54" t="s">
        <v>83</v>
      </c>
      <c r="Y30" s="54" t="s">
        <v>83</v>
      </c>
      <c r="Z30" s="54"/>
      <c r="AA30" s="49"/>
      <c r="AB30" s="50">
        <f>SUM(F30:N30)</f>
        <v>672476.80781999999</v>
      </c>
      <c r="AC30" s="51"/>
      <c r="AD30" s="22"/>
    </row>
    <row r="31" spans="1:33" s="23" customFormat="1" x14ac:dyDescent="0.3">
      <c r="A31" s="47"/>
      <c r="B31" s="44" t="s">
        <v>92</v>
      </c>
      <c r="C31" s="49"/>
      <c r="D31" s="57"/>
      <c r="E31" s="57"/>
      <c r="F31" s="57">
        <f>F29*F32</f>
        <v>551417.51884999999</v>
      </c>
      <c r="G31" s="57"/>
      <c r="H31" s="57">
        <f>H29</f>
        <v>41826</v>
      </c>
      <c r="I31" s="57"/>
      <c r="J31" s="57">
        <f>J29</f>
        <v>22814</v>
      </c>
      <c r="K31" s="57"/>
      <c r="L31" s="57">
        <f>L29</f>
        <v>22814</v>
      </c>
      <c r="M31" s="57"/>
      <c r="N31" s="57">
        <f>N29</f>
        <v>24717</v>
      </c>
      <c r="O31" s="57"/>
      <c r="P31" s="57">
        <f>P29*P32</f>
        <v>9715.9640400000008</v>
      </c>
      <c r="Q31" s="57"/>
      <c r="R31" s="57">
        <v>0</v>
      </c>
      <c r="S31" s="57"/>
      <c r="T31" s="57" t="s">
        <v>83</v>
      </c>
      <c r="U31" s="57"/>
      <c r="V31" s="57" t="s">
        <v>83</v>
      </c>
      <c r="W31" s="57"/>
      <c r="X31" s="57" t="s">
        <v>83</v>
      </c>
      <c r="Y31" s="57" t="s">
        <v>83</v>
      </c>
      <c r="Z31" s="57"/>
      <c r="AA31" s="49"/>
      <c r="AB31" s="56">
        <f>SUM(F31:N31)</f>
        <v>663588.51884999999</v>
      </c>
      <c r="AC31" s="51"/>
      <c r="AD31" s="22"/>
      <c r="AE31" s="235"/>
    </row>
    <row r="32" spans="1:33" s="65" customFormat="1" x14ac:dyDescent="0.3">
      <c r="A32" s="58"/>
      <c r="B32" s="166" t="s">
        <v>88</v>
      </c>
      <c r="C32" s="61"/>
      <c r="D32" s="60"/>
      <c r="E32" s="60"/>
      <c r="F32" s="60">
        <v>0.85055000000000003</v>
      </c>
      <c r="G32" s="60"/>
      <c r="H32" s="60">
        <v>1</v>
      </c>
      <c r="I32" s="60"/>
      <c r="J32" s="60">
        <v>1</v>
      </c>
      <c r="K32" s="60"/>
      <c r="L32" s="60">
        <v>1</v>
      </c>
      <c r="M32" s="60"/>
      <c r="N32" s="60">
        <v>1</v>
      </c>
      <c r="O32" s="60"/>
      <c r="P32" s="60">
        <v>0.83492</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c r="E33" s="225"/>
      <c r="F33" s="60">
        <v>0.86426000000000003</v>
      </c>
      <c r="G33" s="60"/>
      <c r="H33" s="60">
        <v>1</v>
      </c>
      <c r="I33" s="60"/>
      <c r="J33" s="60">
        <v>1</v>
      </c>
      <c r="K33" s="60"/>
      <c r="L33" s="60">
        <v>1</v>
      </c>
      <c r="M33" s="60"/>
      <c r="N33" s="60">
        <v>1</v>
      </c>
      <c r="O33" s="60"/>
      <c r="P33" s="60">
        <v>0.85109000000000001</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c r="E34" s="48"/>
      <c r="F34" s="48" t="s">
        <v>305</v>
      </c>
      <c r="G34" s="48"/>
      <c r="H34" s="48" t="s">
        <v>306</v>
      </c>
      <c r="I34" s="48"/>
      <c r="J34" s="48" t="s">
        <v>273</v>
      </c>
      <c r="K34" s="48"/>
      <c r="L34" s="48" t="s">
        <v>307</v>
      </c>
      <c r="M34" s="48"/>
      <c r="N34" s="48" t="s">
        <v>308</v>
      </c>
      <c r="O34" s="48"/>
      <c r="P34" s="48" t="s">
        <v>254</v>
      </c>
      <c r="Q34" s="48"/>
      <c r="R34" s="48" t="s">
        <v>254</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c r="E35" s="241"/>
      <c r="F35" s="241">
        <v>2.7456999999999999E-2</v>
      </c>
      <c r="G35" s="241"/>
      <c r="H35" s="241">
        <v>3.1456999999999999E-2</v>
      </c>
      <c r="I35" s="241"/>
      <c r="J35" s="241">
        <v>3.4457000000000002E-2</v>
      </c>
      <c r="K35" s="241"/>
      <c r="L35" s="241">
        <v>3.7456999999999997E-2</v>
      </c>
      <c r="M35" s="241"/>
      <c r="N35" s="241">
        <v>4.7456999999999999E-2</v>
      </c>
      <c r="O35" s="241"/>
      <c r="P35" s="241">
        <v>5.6457E-2</v>
      </c>
      <c r="Q35" s="241"/>
      <c r="R35" s="241">
        <v>5.6457E-2</v>
      </c>
      <c r="S35" s="68"/>
      <c r="T35" s="68" t="s">
        <v>83</v>
      </c>
      <c r="U35" s="68"/>
      <c r="V35" s="68" t="s">
        <v>83</v>
      </c>
      <c r="W35" s="68"/>
      <c r="X35" s="68" t="s">
        <v>83</v>
      </c>
      <c r="Y35" s="68" t="s">
        <v>83</v>
      </c>
      <c r="Z35" s="68"/>
      <c r="AA35" s="40"/>
      <c r="AB35" s="67">
        <f>SUMPRODUCT(D35:N35,D30:N30)/AB30</f>
        <v>2.9017621850145513E-2</v>
      </c>
      <c r="AC35" s="43"/>
      <c r="AD35" s="22"/>
    </row>
    <row r="36" spans="1:30" s="23" customFormat="1" x14ac:dyDescent="0.3">
      <c r="A36" s="47"/>
      <c r="B36" s="40" t="s">
        <v>10</v>
      </c>
      <c r="C36" s="69"/>
      <c r="D36" s="241"/>
      <c r="E36" s="241"/>
      <c r="F36" s="241">
        <v>2.0378400000000001E-2</v>
      </c>
      <c r="G36" s="241"/>
      <c r="H36" s="241">
        <v>2.4378400000000001E-2</v>
      </c>
      <c r="I36" s="241"/>
      <c r="J36" s="241">
        <v>2.7378400000000001E-2</v>
      </c>
      <c r="K36" s="241"/>
      <c r="L36" s="241">
        <v>3.03784E-2</v>
      </c>
      <c r="M36" s="241"/>
      <c r="N36" s="241">
        <v>4.0378400000000002E-2</v>
      </c>
      <c r="O36" s="241"/>
      <c r="P36" s="241">
        <v>4.9378400000000003E-2</v>
      </c>
      <c r="Q36" s="241"/>
      <c r="R36" s="241">
        <v>4.9378400000000003E-2</v>
      </c>
      <c r="S36" s="68"/>
      <c r="T36" s="68" t="s">
        <v>83</v>
      </c>
      <c r="U36" s="68"/>
      <c r="V36" s="68" t="s">
        <v>83</v>
      </c>
      <c r="W36" s="68"/>
      <c r="X36" s="68" t="s">
        <v>83</v>
      </c>
      <c r="Y36" s="68" t="s">
        <v>83</v>
      </c>
      <c r="Z36" s="68"/>
      <c r="AA36" s="40"/>
      <c r="AB36" s="40"/>
      <c r="AC36" s="43"/>
      <c r="AD36" s="22"/>
    </row>
    <row r="37" spans="1:30" s="23" customFormat="1" x14ac:dyDescent="0.3">
      <c r="A37" s="47"/>
      <c r="B37" s="40" t="s">
        <v>160</v>
      </c>
      <c r="C37" s="40"/>
      <c r="D37" s="69"/>
      <c r="E37" s="69"/>
      <c r="F37" s="69">
        <v>45945</v>
      </c>
      <c r="G37" s="69"/>
      <c r="H37" s="69">
        <v>45945</v>
      </c>
      <c r="I37" s="69"/>
      <c r="J37" s="69">
        <v>45945</v>
      </c>
      <c r="K37" s="69"/>
      <c r="L37" s="69">
        <v>45945</v>
      </c>
      <c r="M37" s="69"/>
      <c r="N37" s="69">
        <v>45945</v>
      </c>
      <c r="O37" s="69"/>
      <c r="P37" s="69">
        <v>45945</v>
      </c>
      <c r="Q37" s="69"/>
      <c r="R37" s="69">
        <v>45945</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c r="E38" s="69"/>
      <c r="F38" s="69">
        <v>45945</v>
      </c>
      <c r="G38" s="48"/>
      <c r="H38" s="69">
        <v>45945</v>
      </c>
      <c r="I38" s="48"/>
      <c r="J38" s="69">
        <v>45945</v>
      </c>
      <c r="K38" s="48"/>
      <c r="L38" s="69">
        <v>45945</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c r="E39" s="48"/>
      <c r="F39" s="48" t="s">
        <v>309</v>
      </c>
      <c r="G39" s="48"/>
      <c r="H39" s="48" t="s">
        <v>272</v>
      </c>
      <c r="I39" s="48"/>
      <c r="J39" s="48" t="s">
        <v>310</v>
      </c>
      <c r="K39" s="48"/>
      <c r="L39" s="48" t="s">
        <v>308</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7" t="s">
        <v>110</v>
      </c>
      <c r="AC40" s="43"/>
      <c r="AD40" s="22"/>
    </row>
    <row r="41" spans="1:30" s="23" customFormat="1" x14ac:dyDescent="0.3">
      <c r="A41" s="47"/>
      <c r="B41" s="40" t="s">
        <v>253</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32">
        <f>SUM(G29:N29)/F29</f>
        <v>0.17302142349226524</v>
      </c>
      <c r="AC41" s="43"/>
      <c r="AD41" s="22"/>
    </row>
    <row r="42" spans="1:30" s="23" customFormat="1" x14ac:dyDescent="0.3">
      <c r="A42" s="47"/>
      <c r="B42" s="40" t="s">
        <v>252</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32">
        <f>SUM(G31:N31)/F31</f>
        <v>0.20342298923316118</v>
      </c>
      <c r="AC42" s="43"/>
      <c r="AD42" s="22"/>
    </row>
    <row r="43" spans="1:30" s="23" customFormat="1" x14ac:dyDescent="0.3">
      <c r="A43" s="47"/>
      <c r="B43" s="40" t="s">
        <v>197</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1"/>
      <c r="AC44" s="43"/>
      <c r="AD44" s="22"/>
    </row>
    <row r="45" spans="1:30" s="23" customFormat="1" x14ac:dyDescent="0.3">
      <c r="A45" s="47"/>
      <c r="B45" s="40" t="s">
        <v>196</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2"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3"/>
      <c r="AA46" s="73"/>
      <c r="AB46" s="74">
        <v>44851</v>
      </c>
      <c r="AC46" s="43"/>
      <c r="AD46" s="22"/>
    </row>
    <row r="47" spans="1:30" s="23" customFormat="1" x14ac:dyDescent="0.3">
      <c r="A47" s="47"/>
      <c r="B47" s="40" t="s">
        <v>85</v>
      </c>
      <c r="C47" s="40"/>
      <c r="D47" s="75"/>
      <c r="E47" s="75"/>
      <c r="F47" s="75"/>
      <c r="G47" s="75"/>
      <c r="H47" s="75"/>
      <c r="I47" s="75"/>
      <c r="J47" s="75"/>
      <c r="K47" s="75"/>
      <c r="L47" s="75"/>
      <c r="M47" s="75"/>
      <c r="N47" s="75"/>
      <c r="O47" s="75"/>
      <c r="P47" s="75"/>
      <c r="Q47" s="75"/>
      <c r="R47" s="75"/>
      <c r="S47" s="75"/>
      <c r="T47" s="75"/>
      <c r="U47" s="75"/>
      <c r="V47" s="75"/>
      <c r="W47" s="75"/>
      <c r="X47" s="280">
        <f>+AB47-Z47+1</f>
        <v>87</v>
      </c>
      <c r="Y47" s="40"/>
      <c r="Z47" s="76">
        <v>44670</v>
      </c>
      <c r="AA47" s="77"/>
      <c r="AB47" s="76">
        <v>44756</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80">
        <f>+AB48-Z48+1</f>
        <v>94</v>
      </c>
      <c r="Y48" s="40"/>
      <c r="Z48" s="76">
        <v>44757</v>
      </c>
      <c r="AA48" s="77"/>
      <c r="AB48" s="76">
        <v>44850</v>
      </c>
      <c r="AC48" s="43"/>
      <c r="AD48" s="22"/>
    </row>
    <row r="49" spans="1:31" s="23" customFormat="1" x14ac:dyDescent="0.3">
      <c r="A49" s="47"/>
      <c r="B49" s="40" t="s">
        <v>187</v>
      </c>
      <c r="C49" s="40"/>
      <c r="D49" s="40"/>
      <c r="E49" s="40"/>
      <c r="F49" s="40"/>
      <c r="G49" s="40"/>
      <c r="H49" s="40"/>
      <c r="I49" s="40"/>
      <c r="J49" s="40"/>
      <c r="K49" s="40"/>
      <c r="L49" s="40"/>
      <c r="M49" s="40"/>
      <c r="N49" s="40"/>
      <c r="O49" s="40"/>
      <c r="P49" s="40"/>
      <c r="Q49" s="40"/>
      <c r="R49" s="40"/>
      <c r="S49" s="40"/>
      <c r="T49" s="40"/>
      <c r="U49" s="40"/>
      <c r="V49" s="40"/>
      <c r="W49" s="40"/>
      <c r="X49" s="40"/>
      <c r="Y49" s="40"/>
      <c r="Z49" s="76"/>
      <c r="AA49" s="77"/>
      <c r="AB49" s="76" t="s">
        <v>99</v>
      </c>
      <c r="AC49" s="43"/>
      <c r="AD49" s="22"/>
      <c r="AE49" s="78"/>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v>44850</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9"/>
      <c r="AA51" s="80"/>
      <c r="AB51" s="79"/>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1"/>
      <c r="AA52" s="82"/>
      <c r="AB52" s="81"/>
      <c r="AC52" s="21"/>
      <c r="AD52" s="22"/>
    </row>
    <row r="53" spans="1:31" s="23" customFormat="1" ht="18.600000000000001" thickBot="1" x14ac:dyDescent="0.4">
      <c r="A53" s="83"/>
      <c r="B53" s="84" t="s">
        <v>360</v>
      </c>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6"/>
      <c r="AC53" s="87"/>
      <c r="AD53" s="22"/>
    </row>
    <row r="54" spans="1:31" x14ac:dyDescent="0.3">
      <c r="A54" s="33"/>
      <c r="B54" s="88" t="s">
        <v>13</v>
      </c>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90"/>
      <c r="AC54" s="89"/>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1"/>
      <c r="AC55" s="10"/>
      <c r="AD55" s="5"/>
    </row>
    <row r="56" spans="1:31" s="65" customFormat="1" ht="46.8" x14ac:dyDescent="0.3">
      <c r="A56" s="92"/>
      <c r="B56" s="93" t="s">
        <v>14</v>
      </c>
      <c r="C56" s="94"/>
      <c r="D56" s="94"/>
      <c r="E56" s="94"/>
      <c r="F56" s="94"/>
      <c r="G56" s="94"/>
      <c r="H56" s="94"/>
      <c r="I56" s="94"/>
      <c r="J56" s="94"/>
      <c r="K56" s="94"/>
      <c r="L56" s="94"/>
      <c r="M56" s="94"/>
      <c r="N56" s="94"/>
      <c r="O56" s="94"/>
      <c r="P56" s="94" t="s">
        <v>63</v>
      </c>
      <c r="Q56" s="94"/>
      <c r="R56" s="94" t="s">
        <v>65</v>
      </c>
      <c r="S56" s="94"/>
      <c r="T56" s="94" t="s">
        <v>135</v>
      </c>
      <c r="U56" s="94"/>
      <c r="V56" s="94" t="s">
        <v>136</v>
      </c>
      <c r="W56" s="94"/>
      <c r="X56" s="94" t="s">
        <v>68</v>
      </c>
      <c r="Y56" s="94"/>
      <c r="Z56" s="94" t="s">
        <v>72</v>
      </c>
      <c r="AA56" s="94"/>
      <c r="AB56" s="95" t="s">
        <v>78</v>
      </c>
      <c r="AC56" s="96"/>
      <c r="AD56" s="64"/>
    </row>
    <row r="57" spans="1:31" s="23" customFormat="1" x14ac:dyDescent="0.3">
      <c r="A57" s="47"/>
      <c r="B57" s="40" t="s">
        <v>15</v>
      </c>
      <c r="C57" s="97"/>
      <c r="D57" s="97"/>
      <c r="E57" s="97"/>
      <c r="F57" s="97"/>
      <c r="G57" s="97"/>
      <c r="H57" s="98"/>
      <c r="I57" s="97"/>
      <c r="J57" s="98"/>
      <c r="K57" s="97"/>
      <c r="L57" s="97"/>
      <c r="M57" s="97"/>
      <c r="N57" s="97"/>
      <c r="O57" s="97"/>
      <c r="P57" s="238">
        <v>759666</v>
      </c>
      <c r="Q57" s="238"/>
      <c r="R57" s="237">
        <v>672475</v>
      </c>
      <c r="S57" s="238"/>
      <c r="T57" s="237">
        <f>326+19</f>
        <v>345</v>
      </c>
      <c r="U57" s="238"/>
      <c r="V57" s="238">
        <v>8544</v>
      </c>
      <c r="W57" s="238"/>
      <c r="X57" s="238">
        <v>0</v>
      </c>
      <c r="Y57" s="238"/>
      <c r="Z57" s="238">
        <v>0</v>
      </c>
      <c r="AA57" s="238"/>
      <c r="AB57" s="237">
        <f>R57-T57-V57+X57-Z57</f>
        <v>663586</v>
      </c>
      <c r="AC57" s="43"/>
      <c r="AD57" s="22"/>
      <c r="AE57" s="271"/>
    </row>
    <row r="58" spans="1:31" s="23" customFormat="1" x14ac:dyDescent="0.3">
      <c r="A58" s="47"/>
      <c r="B58" s="40" t="s">
        <v>16</v>
      </c>
      <c r="C58" s="97"/>
      <c r="D58" s="97"/>
      <c r="E58" s="97"/>
      <c r="F58" s="97"/>
      <c r="G58" s="97"/>
      <c r="H58" s="98"/>
      <c r="I58" s="97"/>
      <c r="J58" s="98"/>
      <c r="K58" s="97"/>
      <c r="L58" s="97"/>
      <c r="M58" s="97"/>
      <c r="N58" s="97"/>
      <c r="O58" s="97"/>
      <c r="P58" s="238">
        <v>0</v>
      </c>
      <c r="Q58" s="238"/>
      <c r="R58" s="237">
        <v>0</v>
      </c>
      <c r="S58" s="238"/>
      <c r="T58" s="237">
        <v>0</v>
      </c>
      <c r="U58" s="238"/>
      <c r="V58" s="238">
        <v>0</v>
      </c>
      <c r="W58" s="238"/>
      <c r="X58" s="238">
        <v>0</v>
      </c>
      <c r="Y58" s="238"/>
      <c r="Z58" s="238">
        <v>0</v>
      </c>
      <c r="AA58" s="238"/>
      <c r="AB58" s="237">
        <f>F58-J58-L58</f>
        <v>0</v>
      </c>
      <c r="AC58" s="43"/>
      <c r="AD58" s="22"/>
    </row>
    <row r="59" spans="1:31" s="23" customFormat="1" x14ac:dyDescent="0.3">
      <c r="A59" s="47"/>
      <c r="B59" s="40"/>
      <c r="C59" s="97"/>
      <c r="D59" s="97"/>
      <c r="E59" s="97"/>
      <c r="F59" s="97"/>
      <c r="G59" s="97"/>
      <c r="H59" s="98"/>
      <c r="I59" s="97"/>
      <c r="J59" s="98"/>
      <c r="K59" s="97"/>
      <c r="L59" s="97"/>
      <c r="M59" s="97"/>
      <c r="N59" s="97"/>
      <c r="O59" s="97"/>
      <c r="P59" s="238"/>
      <c r="Q59" s="238"/>
      <c r="R59" s="237"/>
      <c r="S59" s="238"/>
      <c r="T59" s="237"/>
      <c r="U59" s="238"/>
      <c r="V59" s="238"/>
      <c r="W59" s="238"/>
      <c r="X59" s="238"/>
      <c r="Y59" s="238"/>
      <c r="Z59" s="238"/>
      <c r="AA59" s="238"/>
      <c r="AB59" s="237"/>
      <c r="AC59" s="43"/>
      <c r="AD59" s="22"/>
    </row>
    <row r="60" spans="1:31" s="23" customFormat="1" x14ac:dyDescent="0.3">
      <c r="A60" s="47"/>
      <c r="B60" s="40" t="s">
        <v>17</v>
      </c>
      <c r="C60" s="97"/>
      <c r="D60" s="97"/>
      <c r="E60" s="97"/>
      <c r="F60" s="97"/>
      <c r="G60" s="97"/>
      <c r="H60" s="97"/>
      <c r="I60" s="97"/>
      <c r="J60" s="97"/>
      <c r="K60" s="97"/>
      <c r="L60" s="97"/>
      <c r="M60" s="97"/>
      <c r="N60" s="97"/>
      <c r="O60" s="97"/>
      <c r="P60" s="238">
        <f>SUM(P57:P59)</f>
        <v>759666</v>
      </c>
      <c r="Q60" s="238"/>
      <c r="R60" s="238">
        <f>R57+R58</f>
        <v>672475</v>
      </c>
      <c r="S60" s="238"/>
      <c r="T60" s="238">
        <f>T57+T58</f>
        <v>345</v>
      </c>
      <c r="U60" s="238"/>
      <c r="V60" s="238">
        <f>SUM(V57:V59)</f>
        <v>8544</v>
      </c>
      <c r="W60" s="238"/>
      <c r="X60" s="238">
        <f>SUM(X57:X59)</f>
        <v>0</v>
      </c>
      <c r="Y60" s="238"/>
      <c r="Z60" s="238">
        <f>SUM(Z57:Z59)</f>
        <v>0</v>
      </c>
      <c r="AA60" s="238"/>
      <c r="AB60" s="238">
        <f>SUM(AB57:AB59)</f>
        <v>663586</v>
      </c>
      <c r="AC60" s="43"/>
      <c r="AD60" s="22"/>
    </row>
    <row r="61" spans="1:31" s="23" customFormat="1" ht="32.1" customHeight="1" x14ac:dyDescent="0.3">
      <c r="A61" s="47"/>
      <c r="B61" s="40"/>
      <c r="C61" s="97"/>
      <c r="D61" s="97"/>
      <c r="E61" s="97"/>
      <c r="F61" s="97"/>
      <c r="G61" s="97"/>
      <c r="H61" s="97"/>
      <c r="I61" s="97"/>
      <c r="J61" s="97"/>
      <c r="K61" s="97"/>
      <c r="L61" s="97"/>
      <c r="M61" s="97"/>
      <c r="N61" s="97"/>
      <c r="O61" s="97"/>
      <c r="P61" s="238"/>
      <c r="Q61" s="238"/>
      <c r="R61" s="238"/>
      <c r="S61" s="238"/>
      <c r="T61" s="238"/>
      <c r="U61" s="238"/>
      <c r="V61" s="238"/>
      <c r="W61" s="238"/>
      <c r="X61" s="238"/>
      <c r="Y61" s="238"/>
      <c r="Z61" s="238"/>
      <c r="AA61" s="238"/>
      <c r="AB61" s="238"/>
      <c r="AC61" s="43"/>
      <c r="AD61" s="22"/>
    </row>
    <row r="62" spans="1:31" s="23" customFormat="1" x14ac:dyDescent="0.3">
      <c r="A62" s="47"/>
      <c r="B62" s="40" t="s">
        <v>18</v>
      </c>
      <c r="C62" s="97"/>
      <c r="D62" s="97"/>
      <c r="E62" s="97"/>
      <c r="F62" s="97"/>
      <c r="G62" s="97"/>
      <c r="H62" s="97"/>
      <c r="I62" s="97"/>
      <c r="J62" s="97"/>
      <c r="K62" s="97"/>
      <c r="L62" s="97"/>
      <c r="M62" s="97"/>
      <c r="N62" s="97"/>
      <c r="O62" s="97"/>
      <c r="P62" s="238">
        <v>0</v>
      </c>
      <c r="Q62" s="238"/>
      <c r="R62" s="238">
        <v>0</v>
      </c>
      <c r="S62" s="238"/>
      <c r="T62" s="238"/>
      <c r="U62" s="238"/>
      <c r="V62" s="238"/>
      <c r="W62" s="238"/>
      <c r="X62" s="238"/>
      <c r="Y62" s="238"/>
      <c r="Z62" s="238"/>
      <c r="AA62" s="238"/>
      <c r="AB62" s="237">
        <v>0</v>
      </c>
      <c r="AC62" s="43"/>
      <c r="AD62" s="22"/>
    </row>
    <row r="63" spans="1:31" s="23" customFormat="1" x14ac:dyDescent="0.3">
      <c r="A63" s="47"/>
      <c r="B63" s="40" t="s">
        <v>274</v>
      </c>
      <c r="C63" s="97"/>
      <c r="D63" s="97"/>
      <c r="E63" s="97"/>
      <c r="F63" s="97"/>
      <c r="G63" s="97"/>
      <c r="H63" s="97"/>
      <c r="I63" s="97"/>
      <c r="J63" s="97"/>
      <c r="K63" s="97"/>
      <c r="L63" s="97"/>
      <c r="M63" s="97"/>
      <c r="N63" s="97"/>
      <c r="O63" s="97"/>
      <c r="P63" s="238">
        <v>0</v>
      </c>
      <c r="Q63" s="238"/>
      <c r="R63" s="238">
        <v>2</v>
      </c>
      <c r="S63" s="238"/>
      <c r="T63" s="238">
        <v>0</v>
      </c>
      <c r="U63" s="238"/>
      <c r="V63" s="238">
        <v>1</v>
      </c>
      <c r="W63" s="238"/>
      <c r="X63" s="238"/>
      <c r="Y63" s="238"/>
      <c r="Z63" s="238"/>
      <c r="AA63" s="238"/>
      <c r="AB63" s="238">
        <f>R63+V63</f>
        <v>3</v>
      </c>
      <c r="AC63" s="43"/>
      <c r="AD63" s="22"/>
    </row>
    <row r="64" spans="1:31" s="23" customFormat="1" x14ac:dyDescent="0.3">
      <c r="A64" s="47"/>
      <c r="B64" s="40" t="s">
        <v>172</v>
      </c>
      <c r="C64" s="97"/>
      <c r="D64" s="97"/>
      <c r="E64" s="97"/>
      <c r="F64" s="97"/>
      <c r="G64" s="97"/>
      <c r="H64" s="97"/>
      <c r="I64" s="97"/>
      <c r="J64" s="97"/>
      <c r="K64" s="97"/>
      <c r="L64" s="97"/>
      <c r="M64" s="97"/>
      <c r="N64" s="97"/>
      <c r="O64" s="97"/>
      <c r="P64" s="238">
        <v>812</v>
      </c>
      <c r="Q64" s="238"/>
      <c r="R64" s="238">
        <v>0</v>
      </c>
      <c r="S64" s="238"/>
      <c r="T64" s="238"/>
      <c r="U64" s="238"/>
      <c r="V64" s="238"/>
      <c r="W64" s="238"/>
      <c r="X64" s="238">
        <v>0</v>
      </c>
      <c r="Y64" s="238"/>
      <c r="Z64" s="238"/>
      <c r="AA64" s="238"/>
      <c r="AB64" s="238">
        <f>+R64+X64</f>
        <v>0</v>
      </c>
      <c r="AC64" s="43"/>
      <c r="AD64" s="22"/>
    </row>
    <row r="65" spans="1:30" s="23" customFormat="1" x14ac:dyDescent="0.3">
      <c r="A65" s="47"/>
      <c r="B65" s="40" t="s">
        <v>19</v>
      </c>
      <c r="C65" s="97"/>
      <c r="D65" s="97"/>
      <c r="E65" s="97"/>
      <c r="F65" s="97"/>
      <c r="G65" s="97"/>
      <c r="H65" s="97"/>
      <c r="I65" s="97"/>
      <c r="J65" s="97"/>
      <c r="K65" s="97"/>
      <c r="L65" s="97"/>
      <c r="M65" s="97"/>
      <c r="N65" s="97"/>
      <c r="O65" s="97"/>
      <c r="P65" s="238">
        <v>0</v>
      </c>
      <c r="Q65" s="238"/>
      <c r="R65" s="238">
        <v>0</v>
      </c>
      <c r="S65" s="238"/>
      <c r="T65" s="238"/>
      <c r="U65" s="238"/>
      <c r="V65" s="238"/>
      <c r="W65" s="238"/>
      <c r="X65" s="238"/>
      <c r="Y65" s="238"/>
      <c r="Z65" s="238"/>
      <c r="AA65" s="238"/>
      <c r="AB65" s="238">
        <v>0</v>
      </c>
      <c r="AC65" s="43"/>
      <c r="AD65" s="22"/>
    </row>
    <row r="66" spans="1:30" s="23" customFormat="1" x14ac:dyDescent="0.3">
      <c r="A66" s="47"/>
      <c r="B66" s="40" t="s">
        <v>20</v>
      </c>
      <c r="C66" s="97"/>
      <c r="D66" s="97"/>
      <c r="E66" s="97"/>
      <c r="F66" s="97"/>
      <c r="G66" s="97"/>
      <c r="H66" s="97"/>
      <c r="I66" s="97"/>
      <c r="J66" s="97"/>
      <c r="K66" s="97"/>
      <c r="L66" s="97"/>
      <c r="M66" s="97"/>
      <c r="N66" s="97"/>
      <c r="O66" s="97"/>
      <c r="P66" s="238">
        <f>SUM(P60:P65)</f>
        <v>760478</v>
      </c>
      <c r="Q66" s="238"/>
      <c r="R66" s="238">
        <f>SUM(R60:R65)</f>
        <v>672477</v>
      </c>
      <c r="S66" s="238"/>
      <c r="T66" s="238"/>
      <c r="U66" s="238"/>
      <c r="V66" s="238"/>
      <c r="W66" s="238"/>
      <c r="X66" s="238"/>
      <c r="Y66" s="238"/>
      <c r="Z66" s="238"/>
      <c r="AA66" s="238"/>
      <c r="AB66" s="238">
        <f>SUM(AB60:AB65)</f>
        <v>663589</v>
      </c>
      <c r="AC66" s="43"/>
      <c r="AD66" s="22"/>
    </row>
    <row r="67" spans="1:30" x14ac:dyDescent="0.3">
      <c r="A67" s="7"/>
      <c r="B67" s="99"/>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1"/>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2" t="s">
        <v>21</v>
      </c>
      <c r="C69" s="102"/>
      <c r="D69" s="103"/>
      <c r="E69" s="103"/>
      <c r="F69" s="103"/>
      <c r="G69" s="103"/>
      <c r="H69" s="104"/>
      <c r="I69" s="103"/>
      <c r="J69" s="105"/>
      <c r="K69" s="103"/>
      <c r="L69" s="103"/>
      <c r="M69" s="103"/>
      <c r="N69" s="103"/>
      <c r="O69" s="103"/>
      <c r="P69" s="103"/>
      <c r="Q69" s="103"/>
      <c r="R69" s="104" t="s">
        <v>64</v>
      </c>
      <c r="S69" s="103"/>
      <c r="T69" s="105">
        <f>+Z235</f>
        <v>44834</v>
      </c>
      <c r="U69" s="103"/>
      <c r="V69" s="103"/>
      <c r="W69" s="103"/>
      <c r="X69" s="103"/>
      <c r="Y69" s="103"/>
      <c r="Z69" s="103" t="s">
        <v>73</v>
      </c>
      <c r="AA69" s="103"/>
      <c r="AB69" s="103"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100">
        <f>+R63</f>
        <v>2</v>
      </c>
      <c r="AA70" s="37"/>
      <c r="AB70" s="107">
        <v>0</v>
      </c>
      <c r="AC70" s="21"/>
      <c r="AD70" s="22"/>
    </row>
    <row r="71" spans="1:30" s="23" customFormat="1" x14ac:dyDescent="0.3">
      <c r="A71" s="47"/>
      <c r="B71" s="40" t="s">
        <v>218</v>
      </c>
      <c r="C71" s="40"/>
      <c r="D71" s="70"/>
      <c r="E71" s="70"/>
      <c r="F71" s="70"/>
      <c r="G71" s="108"/>
      <c r="H71" s="70"/>
      <c r="I71" s="40"/>
      <c r="J71" s="109"/>
      <c r="K71" s="40"/>
      <c r="L71" s="40"/>
      <c r="M71" s="40"/>
      <c r="N71" s="40"/>
      <c r="O71" s="40"/>
      <c r="P71" s="40"/>
      <c r="Q71" s="40"/>
      <c r="R71" s="40"/>
      <c r="S71" s="40"/>
      <c r="T71" s="40"/>
      <c r="U71" s="40"/>
      <c r="V71" s="40"/>
      <c r="W71" s="40"/>
      <c r="X71" s="40"/>
      <c r="Y71" s="40"/>
      <c r="Z71" s="238">
        <f>-X64</f>
        <v>0</v>
      </c>
      <c r="AA71" s="40"/>
      <c r="AB71" s="98"/>
      <c r="AC71" s="43"/>
      <c r="AD71" s="22"/>
    </row>
    <row r="72" spans="1:30" s="23" customFormat="1" x14ac:dyDescent="0.3">
      <c r="A72" s="47"/>
      <c r="B72" s="40" t="s">
        <v>217</v>
      </c>
      <c r="C72" s="40"/>
      <c r="D72" s="70"/>
      <c r="E72" s="70"/>
      <c r="F72" s="70"/>
      <c r="G72" s="108"/>
      <c r="H72" s="70"/>
      <c r="I72" s="40"/>
      <c r="J72" s="109"/>
      <c r="K72" s="40"/>
      <c r="L72" s="40"/>
      <c r="M72" s="40"/>
      <c r="N72" s="40"/>
      <c r="O72" s="40"/>
      <c r="P72" s="40"/>
      <c r="Q72" s="40"/>
      <c r="R72" s="40"/>
      <c r="S72" s="40"/>
      <c r="T72" s="40"/>
      <c r="U72" s="40"/>
      <c r="V72" s="40"/>
      <c r="W72" s="40"/>
      <c r="X72" s="40"/>
      <c r="Y72" s="40"/>
      <c r="Z72" s="238">
        <f>-Z209</f>
        <v>0</v>
      </c>
      <c r="AA72" s="40"/>
      <c r="AB72" s="98"/>
      <c r="AC72" s="43"/>
      <c r="AD72" s="22"/>
    </row>
    <row r="73" spans="1:30" s="23" customFormat="1" x14ac:dyDescent="0.3">
      <c r="A73" s="47"/>
      <c r="B73" s="40" t="s">
        <v>23</v>
      </c>
      <c r="C73" s="40"/>
      <c r="D73" s="70"/>
      <c r="E73" s="70"/>
      <c r="F73" s="70"/>
      <c r="G73" s="108"/>
      <c r="H73" s="70"/>
      <c r="I73" s="40"/>
      <c r="J73" s="109"/>
      <c r="K73" s="40"/>
      <c r="L73" s="40"/>
      <c r="M73" s="40"/>
      <c r="N73" s="40"/>
      <c r="O73" s="40"/>
      <c r="P73" s="40"/>
      <c r="Q73" s="40"/>
      <c r="R73" s="40"/>
      <c r="S73" s="40"/>
      <c r="T73" s="40"/>
      <c r="U73" s="40"/>
      <c r="V73" s="40"/>
      <c r="W73" s="40"/>
      <c r="X73" s="40"/>
      <c r="Y73" s="40"/>
      <c r="Z73" s="238">
        <f>+T57+V57+Z57+3</f>
        <v>8892</v>
      </c>
      <c r="AA73" s="40"/>
      <c r="AB73" s="98"/>
      <c r="AC73" s="43"/>
      <c r="AD73" s="22"/>
    </row>
    <row r="74" spans="1:30" s="23" customFormat="1" x14ac:dyDescent="0.3">
      <c r="A74" s="47"/>
      <c r="B74" s="40" t="s">
        <v>115</v>
      </c>
      <c r="C74" s="40"/>
      <c r="D74" s="70"/>
      <c r="E74" s="70"/>
      <c r="F74" s="70"/>
      <c r="G74" s="108"/>
      <c r="H74" s="70"/>
      <c r="I74" s="40"/>
      <c r="J74" s="109"/>
      <c r="K74" s="40"/>
      <c r="L74" s="40"/>
      <c r="M74" s="40"/>
      <c r="N74" s="40"/>
      <c r="O74" s="40"/>
      <c r="P74" s="40"/>
      <c r="Q74" s="40"/>
      <c r="R74" s="40"/>
      <c r="S74" s="40"/>
      <c r="T74" s="40"/>
      <c r="U74" s="40"/>
      <c r="V74" s="40"/>
      <c r="W74" s="40"/>
      <c r="X74" s="40"/>
      <c r="Y74" s="40"/>
      <c r="Z74" s="238"/>
      <c r="AA74" s="40"/>
      <c r="AB74" s="98">
        <f>6651+213-647-19</f>
        <v>6198</v>
      </c>
      <c r="AC74" s="43"/>
      <c r="AD74" s="22"/>
    </row>
    <row r="75" spans="1:30" s="23" customFormat="1" x14ac:dyDescent="0.3">
      <c r="A75" s="47"/>
      <c r="B75" s="40" t="s">
        <v>113</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166+3</f>
        <v>169</v>
      </c>
      <c r="AC75" s="43"/>
      <c r="AD75" s="22"/>
    </row>
    <row r="76" spans="1:30" s="23" customFormat="1" x14ac:dyDescent="0.3">
      <c r="A76" s="47"/>
      <c r="B76" s="40" t="s">
        <v>114</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v>66</v>
      </c>
      <c r="AC76" s="43"/>
      <c r="AD76" s="22"/>
    </row>
    <row r="77" spans="1:30" s="23" customFormat="1" x14ac:dyDescent="0.3">
      <c r="A77" s="47"/>
      <c r="B77" s="40" t="s">
        <v>120</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59" t="s">
        <v>224</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189</v>
      </c>
      <c r="AC78" s="43"/>
      <c r="AD78" s="22"/>
    </row>
    <row r="79" spans="1:30" s="23" customFormat="1" x14ac:dyDescent="0.3">
      <c r="A79" s="47"/>
      <c r="B79" s="59" t="s">
        <v>225</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0</v>
      </c>
      <c r="AC79" s="43"/>
      <c r="AD79" s="22"/>
    </row>
    <row r="80" spans="1:30" s="23" customFormat="1" x14ac:dyDescent="0.3">
      <c r="A80" s="47"/>
      <c r="B80" s="40" t="s">
        <v>232</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f>+AB167</f>
        <v>0</v>
      </c>
      <c r="AC80" s="43"/>
      <c r="AD80" s="22"/>
    </row>
    <row r="81" spans="1:30" s="23" customFormat="1" x14ac:dyDescent="0.3">
      <c r="A81" s="47"/>
      <c r="B81" s="40" t="s">
        <v>246</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v>0</v>
      </c>
      <c r="AC81" s="43"/>
      <c r="AD81" s="22"/>
    </row>
    <row r="82" spans="1:30" s="23" customFormat="1" x14ac:dyDescent="0.3">
      <c r="A82" s="47"/>
      <c r="B82" s="59" t="s">
        <v>233</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2625</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8">
        <f>SUM(Z70:Z82)</f>
        <v>8894</v>
      </c>
      <c r="AA83" s="40"/>
      <c r="AB83" s="97">
        <f>SUM(AB70:AB82)</f>
        <v>9247</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8">
        <f>-AB84</f>
        <v>0</v>
      </c>
      <c r="AA84" s="40"/>
      <c r="AB84" s="98">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8"/>
      <c r="AA85" s="40"/>
      <c r="AB85" s="98">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8">
        <f>Z83+Z84</f>
        <v>8894</v>
      </c>
      <c r="AA86" s="40"/>
      <c r="AB86" s="97">
        <f>AB83+AB84+AB85</f>
        <v>9247</v>
      </c>
      <c r="AC86" s="43"/>
      <c r="AD86" s="22"/>
    </row>
    <row r="87" spans="1:30" x14ac:dyDescent="0.3">
      <c r="A87" s="110"/>
      <c r="B87" s="111" t="s">
        <v>27</v>
      </c>
      <c r="C87" s="59"/>
      <c r="D87" s="59"/>
      <c r="E87" s="59"/>
      <c r="F87" s="59"/>
      <c r="G87" s="59"/>
      <c r="H87" s="59"/>
      <c r="I87" s="59"/>
      <c r="J87" s="59"/>
      <c r="K87" s="59"/>
      <c r="L87" s="59"/>
      <c r="M87" s="59"/>
      <c r="N87" s="59"/>
      <c r="O87" s="59"/>
      <c r="P87" s="59"/>
      <c r="Q87" s="59"/>
      <c r="R87" s="59"/>
      <c r="S87" s="59"/>
      <c r="T87" s="59"/>
      <c r="U87" s="59"/>
      <c r="V87" s="59"/>
      <c r="W87" s="59"/>
      <c r="X87" s="59"/>
      <c r="Y87" s="59"/>
      <c r="Z87" s="238"/>
      <c r="AA87" s="112"/>
      <c r="AB87" s="113"/>
      <c r="AC87" s="114"/>
      <c r="AD87" s="5"/>
    </row>
    <row r="88" spans="1:30" x14ac:dyDescent="0.3">
      <c r="A88" s="110">
        <v>1</v>
      </c>
      <c r="B88" s="59" t="s">
        <v>138</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98">
        <v>0</v>
      </c>
      <c r="AC88" s="114"/>
      <c r="AD88" s="5"/>
    </row>
    <row r="89" spans="1:30" x14ac:dyDescent="0.3">
      <c r="A89" s="110">
        <v>2</v>
      </c>
      <c r="B89" s="59" t="s">
        <v>275</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-2</v>
      </c>
      <c r="AC89" s="114"/>
      <c r="AD89" s="5"/>
    </row>
    <row r="90" spans="1:30" x14ac:dyDescent="0.3">
      <c r="A90" s="110">
        <v>3</v>
      </c>
      <c r="B90" s="59" t="s">
        <v>247</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f>-340-8-10</f>
        <v>-358</v>
      </c>
      <c r="AC90" s="114"/>
      <c r="AD90" s="5"/>
    </row>
    <row r="91" spans="1:30" x14ac:dyDescent="0.3">
      <c r="A91" s="110">
        <v>4</v>
      </c>
      <c r="B91" s="59" t="s">
        <v>82</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v>1782</v>
      </c>
      <c r="AC91" s="114"/>
      <c r="AD91" s="5"/>
    </row>
    <row r="92" spans="1:30" x14ac:dyDescent="0.3">
      <c r="A92" s="110">
        <v>5</v>
      </c>
      <c r="B92" s="59" t="s">
        <v>129</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-3961</v>
      </c>
      <c r="AC92" s="114"/>
      <c r="AD92" s="5"/>
    </row>
    <row r="93" spans="1:30" x14ac:dyDescent="0.3">
      <c r="A93" s="110">
        <v>6</v>
      </c>
      <c r="B93" s="59" t="s">
        <v>150</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-339</v>
      </c>
      <c r="AC93" s="114"/>
      <c r="AD93" s="5"/>
    </row>
    <row r="94" spans="1:30" x14ac:dyDescent="0.3">
      <c r="A94" s="110">
        <v>7</v>
      </c>
      <c r="B94" s="59" t="s">
        <v>201</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0</v>
      </c>
      <c r="AC94" s="114"/>
      <c r="AD94" s="5"/>
    </row>
    <row r="95" spans="1:30" x14ac:dyDescent="0.3">
      <c r="A95" s="110">
        <v>8</v>
      </c>
      <c r="B95" s="59" t="s">
        <v>151</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-202</v>
      </c>
      <c r="AC95" s="114"/>
      <c r="AD95" s="5"/>
    </row>
    <row r="96" spans="1:30" x14ac:dyDescent="0.3">
      <c r="A96" s="110">
        <v>9</v>
      </c>
      <c r="B96" s="59" t="s">
        <v>180</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-220</v>
      </c>
      <c r="AC96" s="114"/>
      <c r="AD96" s="5"/>
    </row>
    <row r="97" spans="1:30" x14ac:dyDescent="0.3">
      <c r="A97" s="110">
        <v>10</v>
      </c>
      <c r="B97" s="59" t="s">
        <v>130</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0</v>
      </c>
      <c r="AC97" s="114"/>
      <c r="AD97" s="5"/>
    </row>
    <row r="98" spans="1:30" x14ac:dyDescent="0.3">
      <c r="A98" s="110">
        <v>11</v>
      </c>
      <c r="B98" s="59" t="s">
        <v>200</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0</v>
      </c>
      <c r="AC98" s="114"/>
      <c r="AD98" s="5"/>
    </row>
    <row r="99" spans="1:30" x14ac:dyDescent="0.3">
      <c r="A99" s="110">
        <v>12</v>
      </c>
      <c r="B99" s="59" t="s">
        <v>33</v>
      </c>
      <c r="C99" s="59"/>
      <c r="D99" s="59"/>
      <c r="E99" s="59"/>
      <c r="F99" s="59"/>
      <c r="G99" s="59"/>
      <c r="H99" s="59"/>
      <c r="I99" s="59"/>
      <c r="J99" s="59"/>
      <c r="K99" s="59"/>
      <c r="L99" s="59"/>
      <c r="M99" s="59"/>
      <c r="N99" s="59"/>
      <c r="O99" s="59"/>
      <c r="P99" s="59"/>
      <c r="Q99" s="59"/>
      <c r="R99" s="59"/>
      <c r="S99" s="59"/>
      <c r="T99" s="59"/>
      <c r="U99" s="59"/>
      <c r="V99" s="59"/>
      <c r="W99" s="59"/>
      <c r="X99" s="59"/>
      <c r="Y99" s="59"/>
      <c r="Z99" s="238">
        <f>-AB99</f>
        <v>-3</v>
      </c>
      <c r="AA99" s="112"/>
      <c r="AB99" s="98">
        <v>3</v>
      </c>
      <c r="AC99" s="114"/>
      <c r="AD99" s="5"/>
    </row>
    <row r="100" spans="1:30" x14ac:dyDescent="0.3">
      <c r="A100" s="110">
        <v>13</v>
      </c>
      <c r="B100" s="59" t="s">
        <v>276</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14</v>
      </c>
      <c r="B101" s="59" t="s">
        <v>277</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c r="AA101" s="112"/>
      <c r="AB101" s="98">
        <v>-2500</v>
      </c>
      <c r="AC101" s="114"/>
      <c r="AD101" s="5"/>
    </row>
    <row r="102" spans="1:30" x14ac:dyDescent="0.3">
      <c r="A102" s="110">
        <v>15</v>
      </c>
      <c r="B102" s="59" t="s">
        <v>28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-26</v>
      </c>
      <c r="AC102" s="114"/>
      <c r="AD102" s="5"/>
    </row>
    <row r="103" spans="1:30" x14ac:dyDescent="0.3">
      <c r="A103" s="110">
        <v>16</v>
      </c>
      <c r="B103" s="59" t="s">
        <v>118</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0</v>
      </c>
      <c r="AC103" s="114"/>
      <c r="AD103" s="5"/>
    </row>
    <row r="104" spans="1:30" x14ac:dyDescent="0.3">
      <c r="A104" s="110">
        <v>17</v>
      </c>
      <c r="B104" s="59" t="s">
        <v>188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0</v>
      </c>
      <c r="AC104" s="114"/>
      <c r="AD104" s="5"/>
    </row>
    <row r="105" spans="1:30" x14ac:dyDescent="0.3">
      <c r="A105" s="110">
        <v>18</v>
      </c>
      <c r="B105" s="59" t="s">
        <v>162</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-302</v>
      </c>
      <c r="AC105" s="114"/>
      <c r="AD105" s="5"/>
    </row>
    <row r="106" spans="1:30" x14ac:dyDescent="0.3">
      <c r="A106" s="110">
        <v>19</v>
      </c>
      <c r="B106" s="59" t="s">
        <v>257</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-144</v>
      </c>
      <c r="AC106" s="114"/>
      <c r="AD106" s="5"/>
    </row>
    <row r="107" spans="1:30" x14ac:dyDescent="0.3">
      <c r="A107" s="110">
        <v>20</v>
      </c>
      <c r="B107" s="59" t="s">
        <v>258</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-189</v>
      </c>
      <c r="AC107" s="114"/>
      <c r="AD107" s="5"/>
    </row>
    <row r="108" spans="1:30" x14ac:dyDescent="0.3">
      <c r="A108" s="110">
        <v>21</v>
      </c>
      <c r="B108" s="59" t="s">
        <v>259</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0</v>
      </c>
      <c r="AC108" s="114"/>
      <c r="AD108" s="5"/>
    </row>
    <row r="109" spans="1:30" x14ac:dyDescent="0.3">
      <c r="A109" s="110">
        <v>22</v>
      </c>
      <c r="B109" s="59" t="s">
        <v>260</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0</v>
      </c>
      <c r="AC109" s="114"/>
      <c r="AD109" s="5"/>
    </row>
    <row r="110" spans="1:30" x14ac:dyDescent="0.3">
      <c r="A110" s="110">
        <v>23</v>
      </c>
      <c r="B110" s="59" t="s">
        <v>131</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24</v>
      </c>
      <c r="B111" s="59" t="s">
        <v>137</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f>-14-71</f>
        <v>-85</v>
      </c>
      <c r="AC111" s="114"/>
      <c r="AD111" s="5"/>
    </row>
    <row r="112" spans="1:30" x14ac:dyDescent="0.3">
      <c r="A112" s="110">
        <v>25</v>
      </c>
      <c r="B112" s="59" t="s">
        <v>255</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-5</v>
      </c>
      <c r="AC112" s="114"/>
      <c r="AD112" s="5"/>
    </row>
    <row r="113" spans="1:30" x14ac:dyDescent="0.3">
      <c r="A113" s="110">
        <v>26</v>
      </c>
      <c r="B113" s="59" t="s">
        <v>226</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-2699</v>
      </c>
      <c r="AC113" s="114"/>
      <c r="AD113" s="5"/>
    </row>
    <row r="114" spans="1:30" x14ac:dyDescent="0.3">
      <c r="A114" s="110"/>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113"/>
      <c r="AC114" s="114"/>
      <c r="AD114" s="5"/>
    </row>
    <row r="115" spans="1:30" x14ac:dyDescent="0.3">
      <c r="A115" s="110"/>
      <c r="B115" s="111" t="s">
        <v>29</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112"/>
      <c r="AB115" s="116"/>
      <c r="AC115" s="114"/>
      <c r="AD115" s="5"/>
    </row>
    <row r="116" spans="1:30" x14ac:dyDescent="0.3">
      <c r="A116" s="110"/>
      <c r="B116" s="40" t="s">
        <v>227</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v>0</v>
      </c>
      <c r="AA116" s="112"/>
      <c r="AB116" s="116"/>
      <c r="AC116" s="114"/>
      <c r="AD116" s="5"/>
    </row>
    <row r="117" spans="1:30" s="23" customFormat="1" x14ac:dyDescent="0.3">
      <c r="A117" s="47"/>
      <c r="B117" s="40" t="s">
        <v>156</v>
      </c>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238">
        <v>0</v>
      </c>
      <c r="AA117" s="97"/>
      <c r="AB117" s="98"/>
      <c r="AC117" s="43"/>
      <c r="AD117" s="22"/>
    </row>
    <row r="118" spans="1:30" s="23" customFormat="1" x14ac:dyDescent="0.3">
      <c r="A118" s="47"/>
      <c r="B118" s="40" t="s">
        <v>157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8">
        <v>0</v>
      </c>
      <c r="AA118" s="97"/>
      <c r="AB118" s="98"/>
      <c r="AC118" s="43"/>
      <c r="AD118" s="22"/>
    </row>
    <row r="119" spans="1:30" s="23" customFormat="1" x14ac:dyDescent="0.3">
      <c r="A119" s="47"/>
      <c r="B119" s="40" t="s">
        <v>262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263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312</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-8888</v>
      </c>
      <c r="AA121" s="97"/>
      <c r="AB121" s="98"/>
      <c r="AC121" s="43"/>
      <c r="AD121" s="22"/>
    </row>
    <row r="122" spans="1:30" s="23" customFormat="1" x14ac:dyDescent="0.3">
      <c r="A122" s="47"/>
      <c r="B122" s="40" t="s">
        <v>142</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143</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0</v>
      </c>
      <c r="AA123" s="97"/>
      <c r="AB123" s="98"/>
      <c r="AC123" s="43"/>
      <c r="AD123" s="22"/>
    </row>
    <row r="124" spans="1:30" s="23" customFormat="1" x14ac:dyDescent="0.3">
      <c r="A124" s="47"/>
      <c r="B124" s="40" t="s">
        <v>173</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163</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189</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30</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f>SUM(Z116:Z126)</f>
        <v>-8888</v>
      </c>
      <c r="AA127" s="97"/>
      <c r="AB127" s="97">
        <f>SUM(AB87:AB125)</f>
        <v>-9247</v>
      </c>
      <c r="AC127" s="43"/>
      <c r="AD127" s="22"/>
    </row>
    <row r="128" spans="1:30" s="23" customFormat="1" x14ac:dyDescent="0.3">
      <c r="A128" s="47"/>
      <c r="B128" s="40" t="s">
        <v>31</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f>Z86+Z127+Z99</f>
        <v>3</v>
      </c>
      <c r="AA128" s="97"/>
      <c r="AB128" s="97">
        <f>AB86+AB127</f>
        <v>0</v>
      </c>
      <c r="AC128" s="43"/>
      <c r="AD128" s="22"/>
    </row>
    <row r="129" spans="1:30" s="23" customFormat="1" x14ac:dyDescent="0.3">
      <c r="A129" s="18"/>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106"/>
      <c r="AA129" s="106"/>
      <c r="AB129" s="106"/>
      <c r="AC129" s="21"/>
      <c r="AD129" s="22"/>
    </row>
    <row r="130" spans="1:30" s="23" customFormat="1" x14ac:dyDescent="0.3">
      <c r="A130" s="18"/>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117"/>
      <c r="AC130" s="21"/>
      <c r="AD130" s="22"/>
    </row>
    <row r="131" spans="1:30" s="23" customFormat="1" ht="18.600000000000001" thickBot="1" x14ac:dyDescent="0.4">
      <c r="A131" s="83"/>
      <c r="B131" s="84" t="str">
        <f>B53</f>
        <v>PM27 INVESTOR REPORT QUARTER ENDING SEPTEMBER 2022</v>
      </c>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118"/>
      <c r="AC131" s="87"/>
      <c r="AD131" s="22"/>
    </row>
    <row r="132" spans="1:30" x14ac:dyDescent="0.3">
      <c r="A132" s="119"/>
      <c r="B132" s="120" t="s">
        <v>32</v>
      </c>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2"/>
      <c r="AC132" s="123"/>
      <c r="AD132" s="5"/>
    </row>
    <row r="133" spans="1:30" x14ac:dyDescent="0.3">
      <c r="A133" s="7"/>
      <c r="B133" s="124"/>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1"/>
      <c r="AC133" s="10"/>
      <c r="AD133" s="5"/>
    </row>
    <row r="134" spans="1:30" x14ac:dyDescent="0.3">
      <c r="A134" s="7"/>
      <c r="B134" s="125" t="s">
        <v>192</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1"/>
      <c r="AC134" s="10"/>
      <c r="AD134" s="5"/>
    </row>
    <row r="135" spans="1:30" s="23" customFormat="1" x14ac:dyDescent="0.3">
      <c r="A135" s="47"/>
      <c r="B135" s="40" t="s">
        <v>199</v>
      </c>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98">
        <f>SUM(F29:H29)*1.5%</f>
        <v>10351.994999999999</v>
      </c>
      <c r="AC135" s="43"/>
      <c r="AD135" s="22"/>
    </row>
    <row r="136" spans="1:30" s="23" customFormat="1" x14ac:dyDescent="0.3">
      <c r="A136" s="47"/>
      <c r="B136" s="40" t="s">
        <v>204</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8">
        <f>+'June 2022'!AB143</f>
        <v>9220.994999999999</v>
      </c>
      <c r="AC136" s="43"/>
      <c r="AD136" s="22"/>
    </row>
    <row r="137" spans="1:30" s="23" customFormat="1" x14ac:dyDescent="0.3">
      <c r="A137" s="47"/>
      <c r="B137" s="40" t="s">
        <v>248</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8"/>
      <c r="AC137" s="43"/>
      <c r="AD137" s="22"/>
    </row>
    <row r="138" spans="1:30" s="23" customFormat="1" x14ac:dyDescent="0.3">
      <c r="A138" s="47"/>
      <c r="B138" s="40" t="s">
        <v>250</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v>0</v>
      </c>
      <c r="AC138" s="43"/>
      <c r="AD138" s="22"/>
    </row>
    <row r="139" spans="1:30" s="23" customFormat="1" x14ac:dyDescent="0.3">
      <c r="A139" s="47"/>
      <c r="B139" s="40" t="s">
        <v>198</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v>0</v>
      </c>
      <c r="AC139" s="43"/>
      <c r="AD139" s="22"/>
    </row>
    <row r="140" spans="1:30" s="23" customFormat="1" x14ac:dyDescent="0.3">
      <c r="A140" s="47"/>
      <c r="B140" s="40" t="s">
        <v>150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v>0</v>
      </c>
      <c r="AC140" s="43"/>
      <c r="AD140" s="22"/>
    </row>
    <row r="141" spans="1:30" s="23" customFormat="1" x14ac:dyDescent="0.3">
      <c r="A141" s="47"/>
      <c r="B141" s="40" t="s">
        <v>87</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251</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-189</v>
      </c>
      <c r="AC142" s="43"/>
      <c r="AD142" s="22"/>
    </row>
    <row r="143" spans="1:30" s="23" customFormat="1" x14ac:dyDescent="0.3">
      <c r="A143" s="47"/>
      <c r="B143" s="40" t="s">
        <v>203</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f>SUM(AB136:AB142)</f>
        <v>9031.994999999999</v>
      </c>
      <c r="AC143" s="43"/>
      <c r="AD143" s="22"/>
    </row>
    <row r="144" spans="1:30" x14ac:dyDescent="0.3">
      <c r="A144" s="7"/>
      <c r="B144" s="124"/>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1"/>
      <c r="AC144" s="10"/>
      <c r="AD144" s="5"/>
    </row>
    <row r="145" spans="1:30" x14ac:dyDescent="0.3">
      <c r="A145" s="7"/>
      <c r="B145" s="125" t="s">
        <v>190</v>
      </c>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1"/>
      <c r="AC145" s="10"/>
      <c r="AD145" s="5"/>
    </row>
    <row r="146" spans="1:30" s="23" customFormat="1" x14ac:dyDescent="0.3">
      <c r="A146" s="47"/>
      <c r="B146" s="59" t="s">
        <v>191</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SUM(J29:L29)*1.5%</f>
        <v>684.42</v>
      </c>
      <c r="AC146" s="43"/>
      <c r="AD146" s="22"/>
    </row>
    <row r="147" spans="1:30" s="23" customFormat="1" x14ac:dyDescent="0.3">
      <c r="A147" s="47"/>
      <c r="B147" s="59" t="s">
        <v>205</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8">
        <f>SUM(J29:L29)*0.015</f>
        <v>684.42</v>
      </c>
      <c r="AC147" s="43"/>
      <c r="AD147" s="22"/>
    </row>
    <row r="148" spans="1:30" s="23" customFormat="1" x14ac:dyDescent="0.3">
      <c r="A148" s="47"/>
      <c r="B148" s="59" t="s">
        <v>93</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8"/>
      <c r="AC148" s="43"/>
      <c r="AD148" s="22"/>
    </row>
    <row r="149" spans="1:30" s="23" customFormat="1" x14ac:dyDescent="0.3">
      <c r="A149" s="47"/>
      <c r="B149" s="40" t="s">
        <v>250</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v>0</v>
      </c>
      <c r="AC149" s="43"/>
      <c r="AD149" s="22"/>
    </row>
    <row r="150" spans="1:30" s="23" customFormat="1" x14ac:dyDescent="0.3">
      <c r="A150" s="47"/>
      <c r="B150" s="59" t="s">
        <v>129</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v>0</v>
      </c>
      <c r="AC150" s="43"/>
      <c r="AD150" s="22"/>
    </row>
    <row r="151" spans="1:30" s="23" customFormat="1" x14ac:dyDescent="0.3">
      <c r="A151" s="47"/>
      <c r="B151" s="59" t="s">
        <v>150</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v>0</v>
      </c>
      <c r="AC151" s="43"/>
      <c r="AD151" s="22"/>
    </row>
    <row r="152" spans="1:30" s="23" customFormat="1" x14ac:dyDescent="0.3">
      <c r="A152" s="47"/>
      <c r="B152" s="59" t="s">
        <v>151</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0" s="23" customFormat="1" x14ac:dyDescent="0.3">
      <c r="A153" s="47"/>
      <c r="B153" s="59" t="s">
        <v>180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0" s="23" customFormat="1" x14ac:dyDescent="0.3">
      <c r="A154" s="47"/>
      <c r="B154" s="59" t="s">
        <v>87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0" s="23" customFormat="1" x14ac:dyDescent="0.3">
      <c r="A155" s="47"/>
      <c r="B155" s="40" t="s">
        <v>251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0" s="23" customFormat="1" x14ac:dyDescent="0.3">
      <c r="A156" s="47"/>
      <c r="B156" s="59" t="s">
        <v>202</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f>SUM(AB147:AB155)</f>
        <v>684.42</v>
      </c>
      <c r="AC156" s="43"/>
      <c r="AD156" s="22"/>
    </row>
    <row r="157" spans="1:30" x14ac:dyDescent="0.3">
      <c r="A157" s="7"/>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126"/>
      <c r="AC157" s="10"/>
      <c r="AD157" s="5"/>
    </row>
    <row r="158" spans="1:30" x14ac:dyDescent="0.3">
      <c r="A158" s="7"/>
      <c r="B158" s="125" t="s">
        <v>174</v>
      </c>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8"/>
      <c r="AC158" s="10"/>
      <c r="AD158" s="5"/>
    </row>
    <row r="159" spans="1:30" s="23" customFormat="1" x14ac:dyDescent="0.3">
      <c r="A159" s="129"/>
      <c r="B159" s="230" t="s">
        <v>281</v>
      </c>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1">
        <f>+'June 2022'!AB162</f>
        <v>0</v>
      </c>
      <c r="AC159" s="132"/>
      <c r="AD159" s="22"/>
    </row>
    <row r="160" spans="1:30" s="23" customFormat="1" x14ac:dyDescent="0.3">
      <c r="A160" s="129"/>
      <c r="B160" s="230" t="s">
        <v>175</v>
      </c>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1">
        <f>X64</f>
        <v>0</v>
      </c>
      <c r="AC160" s="132"/>
      <c r="AD160" s="22"/>
    </row>
    <row r="161" spans="1:262" s="23" customFormat="1" x14ac:dyDescent="0.3">
      <c r="A161" s="129"/>
      <c r="B161" s="230" t="s">
        <v>249</v>
      </c>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1">
        <v>0</v>
      </c>
      <c r="AC161" s="132"/>
      <c r="AD161" s="22"/>
    </row>
    <row r="162" spans="1:262" s="23" customFormat="1" x14ac:dyDescent="0.3">
      <c r="A162" s="129"/>
      <c r="B162" s="230" t="s">
        <v>176</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AB159+AB160+AB161</f>
        <v>0</v>
      </c>
      <c r="AC162" s="132"/>
      <c r="AD162" s="22"/>
    </row>
    <row r="163" spans="1:262" x14ac:dyDescent="0.3">
      <c r="A163" s="7"/>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126"/>
      <c r="AC163" s="10"/>
      <c r="AD163" s="5"/>
    </row>
    <row r="164" spans="1:262" x14ac:dyDescent="0.3">
      <c r="A164" s="7"/>
      <c r="B164" s="125" t="s">
        <v>34</v>
      </c>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133"/>
      <c r="AC164" s="10"/>
      <c r="AD164" s="5"/>
    </row>
    <row r="165" spans="1:262" s="23" customFormat="1" x14ac:dyDescent="0.3">
      <c r="A165" s="47"/>
      <c r="B165" s="40" t="s">
        <v>35</v>
      </c>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98">
        <v>0</v>
      </c>
      <c r="AC165" s="43"/>
      <c r="AD165" s="22"/>
    </row>
    <row r="166" spans="1:262" s="23" customFormat="1" x14ac:dyDescent="0.3">
      <c r="A166" s="47"/>
      <c r="B166" s="40" t="s">
        <v>36</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8">
        <v>-3</v>
      </c>
      <c r="AC166" s="43"/>
      <c r="AD166" s="22"/>
    </row>
    <row r="167" spans="1:262" s="23" customFormat="1" x14ac:dyDescent="0.3">
      <c r="A167" s="47"/>
      <c r="B167" s="40" t="s">
        <v>219</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8">
        <v>0</v>
      </c>
      <c r="AC167" s="43"/>
      <c r="AD167" s="22"/>
    </row>
    <row r="168" spans="1:262" s="23" customFormat="1" x14ac:dyDescent="0.3">
      <c r="A168" s="47"/>
      <c r="B168" s="40" t="s">
        <v>37</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+AB165+AB166+AB167</f>
        <v>-3</v>
      </c>
      <c r="AC168" s="43"/>
      <c r="AD168" s="22"/>
    </row>
    <row r="169" spans="1:262" s="23" customFormat="1" x14ac:dyDescent="0.3">
      <c r="A169" s="47"/>
      <c r="B169" s="40" t="s">
        <v>268</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f>+AB99</f>
        <v>3</v>
      </c>
      <c r="AC169" s="43"/>
      <c r="AD169" s="22"/>
    </row>
    <row r="170" spans="1:262" s="23" customFormat="1" x14ac:dyDescent="0.3">
      <c r="A170" s="47"/>
      <c r="B170" s="40" t="s">
        <v>38</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f>AB168+AB169</f>
        <v>0</v>
      </c>
      <c r="AC170" s="43"/>
      <c r="AD170" s="22"/>
    </row>
    <row r="171" spans="1:262" s="23" customFormat="1" x14ac:dyDescent="0.3">
      <c r="A171" s="47"/>
      <c r="B171" s="40" t="s">
        <v>124</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-AB85</f>
        <v>0</v>
      </c>
      <c r="AC171" s="43"/>
      <c r="AD171" s="22"/>
    </row>
    <row r="172" spans="1:262" ht="16.2" thickBot="1" x14ac:dyDescent="0.35">
      <c r="A172" s="7"/>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126"/>
      <c r="AC172" s="10"/>
      <c r="AD172" s="5"/>
    </row>
    <row r="173" spans="1:262" x14ac:dyDescent="0.3">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134"/>
      <c r="AC173" s="4"/>
      <c r="AD173" s="5"/>
    </row>
    <row r="174" spans="1:262" s="136" customFormat="1" x14ac:dyDescent="0.3">
      <c r="A174" s="7"/>
      <c r="B174" s="125" t="s">
        <v>193</v>
      </c>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135"/>
      <c r="AC174" s="10"/>
      <c r="AD174" s="5"/>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row>
    <row r="175" spans="1:262" s="137" customFormat="1" x14ac:dyDescent="0.3">
      <c r="A175" s="47"/>
      <c r="B175" s="40" t="s">
        <v>332</v>
      </c>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98">
        <v>0</v>
      </c>
      <c r="AC175" s="43"/>
      <c r="AD175" s="22"/>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row>
    <row r="176" spans="1:262" s="137" customFormat="1" x14ac:dyDescent="0.3">
      <c r="A176" s="47"/>
      <c r="B176" s="40" t="s">
        <v>210</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8">
        <f>+'June 2022'!AB179</f>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7" customFormat="1" x14ac:dyDescent="0.3">
      <c r="A177" s="47"/>
      <c r="B177" s="40" t="s">
        <v>234</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8">
        <f>-AB185</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7" customFormat="1" x14ac:dyDescent="0.3">
      <c r="A178" s="47"/>
      <c r="B178" s="40" t="s">
        <v>236</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f>+AB81</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207</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+AB176+AB177-AB178</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9" customFormat="1" ht="16.2" thickBot="1" x14ac:dyDescent="0.35">
      <c r="A180" s="138"/>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126"/>
      <c r="AC180" s="10"/>
      <c r="AD180" s="5"/>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row>
    <row r="181" spans="1:262" x14ac:dyDescent="0.3">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134"/>
      <c r="AC181" s="4"/>
      <c r="AD181" s="5"/>
    </row>
    <row r="182" spans="1:262" s="136" customFormat="1" x14ac:dyDescent="0.3">
      <c r="A182" s="7"/>
      <c r="B182" s="125" t="s">
        <v>206</v>
      </c>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135"/>
      <c r="AC182" s="10"/>
      <c r="AD182" s="5"/>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row>
    <row r="183" spans="1:262" s="137" customFormat="1" x14ac:dyDescent="0.3">
      <c r="A183" s="47"/>
      <c r="B183" s="40" t="s">
        <v>208</v>
      </c>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98">
        <v>300</v>
      </c>
      <c r="AC183" s="43"/>
      <c r="AD183" s="22"/>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row>
    <row r="184" spans="1:262" s="137" customFormat="1" x14ac:dyDescent="0.3">
      <c r="A184" s="47"/>
      <c r="B184" s="40" t="s">
        <v>211</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98">
        <f>+'June 2022'!AB187</f>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7" customFormat="1" x14ac:dyDescent="0.3">
      <c r="A185" s="47"/>
      <c r="B185" s="59" t="s">
        <v>228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8">
        <v>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7" customFormat="1" x14ac:dyDescent="0.3">
      <c r="A186" s="47"/>
      <c r="B186" s="59" t="s">
        <v>229</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f>-AB100</f>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209</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AB183-AB185+AB186</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9" customFormat="1" ht="16.2" thickBot="1" x14ac:dyDescent="0.35">
      <c r="A188" s="138"/>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126"/>
      <c r="AC188" s="10"/>
      <c r="AD188" s="5"/>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row>
    <row r="189" spans="1:262" x14ac:dyDescent="0.3">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134"/>
      <c r="AC189" s="4"/>
      <c r="AD189" s="5"/>
    </row>
    <row r="190" spans="1:262" s="136" customFormat="1" x14ac:dyDescent="0.3">
      <c r="A190" s="7"/>
      <c r="B190" s="125" t="s">
        <v>212</v>
      </c>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135"/>
      <c r="AC190" s="10"/>
      <c r="AD190" s="5"/>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row>
    <row r="191" spans="1:262" s="137" customFormat="1" x14ac:dyDescent="0.3">
      <c r="A191" s="47"/>
      <c r="B191" s="40" t="s">
        <v>334</v>
      </c>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98">
        <v>0</v>
      </c>
      <c r="AC191" s="43"/>
      <c r="AD191" s="22"/>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row>
    <row r="192" spans="1:262" s="137" customFormat="1" x14ac:dyDescent="0.3">
      <c r="A192" s="47"/>
      <c r="B192" s="40" t="s">
        <v>213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98">
        <f>+'June 2022'!AB195</f>
        <v>1595</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7" customFormat="1" x14ac:dyDescent="0.3">
      <c r="A193" s="47"/>
      <c r="B193" s="40" t="s">
        <v>235</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8">
        <f>AB201</f>
        <v>1843</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7"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f>AB82</f>
        <v>2625</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346</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AB192+AB193-AB194</f>
        <v>813</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9" customFormat="1" ht="16.2" thickBot="1" x14ac:dyDescent="0.35">
      <c r="A196" s="138"/>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126"/>
      <c r="AC196" s="10"/>
      <c r="AD196" s="5"/>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row>
    <row r="197" spans="1:262" x14ac:dyDescent="0.3">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134"/>
      <c r="AC197" s="4"/>
      <c r="AD197" s="5"/>
    </row>
    <row r="198" spans="1:262" s="136" customFormat="1" x14ac:dyDescent="0.3">
      <c r="A198" s="7"/>
      <c r="B198" s="125" t="s">
        <v>333</v>
      </c>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135"/>
      <c r="AC198" s="10"/>
      <c r="AD198" s="5"/>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row>
    <row r="199" spans="1:262" s="137" customFormat="1" x14ac:dyDescent="0.3">
      <c r="A199" s="47"/>
      <c r="B199" s="40" t="s">
        <v>214</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v>301</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7" customFormat="1" x14ac:dyDescent="0.3">
      <c r="A200" s="47"/>
      <c r="B200" s="40" t="s">
        <v>215</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98">
        <f>+'June 2022'!AB203</f>
        <v>1863</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7" customFormat="1" x14ac:dyDescent="0.3">
      <c r="A201" s="47"/>
      <c r="B201" s="59" t="s">
        <v>256</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8">
        <v>1843</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7" customFormat="1" x14ac:dyDescent="0.3">
      <c r="A202" s="47"/>
      <c r="B202" s="59" t="s">
        <v>231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f>-AB101</f>
        <v>2500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AB200-AB201+AB202</f>
        <v>2520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9" customFormat="1" ht="16.2" thickBot="1" x14ac:dyDescent="0.35">
      <c r="A204" s="138"/>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126"/>
      <c r="AC204" s="10"/>
      <c r="AD204" s="5"/>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row>
    <row r="205" spans="1:262" x14ac:dyDescent="0.3">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134"/>
      <c r="AC205" s="4"/>
      <c r="AD205" s="5"/>
    </row>
    <row r="206" spans="1:262" s="136" customFormat="1" x14ac:dyDescent="0.3">
      <c r="A206" s="7"/>
      <c r="B206" s="125" t="s">
        <v>237</v>
      </c>
      <c r="C206" s="99"/>
      <c r="D206" s="99"/>
      <c r="E206" s="99"/>
      <c r="F206" s="99"/>
      <c r="G206" s="99"/>
      <c r="H206" s="99"/>
      <c r="I206" s="99"/>
      <c r="J206" s="99"/>
      <c r="K206" s="99"/>
      <c r="L206" s="99"/>
      <c r="M206" s="99"/>
      <c r="N206" s="99"/>
      <c r="O206" s="99"/>
      <c r="P206" s="99"/>
      <c r="Q206" s="99"/>
      <c r="R206" s="99"/>
      <c r="S206" s="99"/>
      <c r="T206" s="99"/>
      <c r="U206" s="99"/>
      <c r="V206" s="99"/>
      <c r="W206" s="99"/>
      <c r="X206" s="99"/>
      <c r="Y206" s="233" t="s">
        <v>243</v>
      </c>
      <c r="Z206" s="233" t="s">
        <v>244</v>
      </c>
      <c r="AA206" s="12"/>
      <c r="AB206" s="234" t="s">
        <v>80</v>
      </c>
      <c r="AC206" s="10"/>
      <c r="AD206" s="5"/>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row>
    <row r="207" spans="1:262" s="137" customFormat="1" x14ac:dyDescent="0.3">
      <c r="A207" s="47"/>
      <c r="B207" s="40" t="s">
        <v>238</v>
      </c>
      <c r="C207" s="40"/>
      <c r="D207" s="40"/>
      <c r="E207" s="40"/>
      <c r="F207" s="40"/>
      <c r="G207" s="40"/>
      <c r="H207" s="40"/>
      <c r="I207" s="40"/>
      <c r="J207" s="40"/>
      <c r="K207" s="40"/>
      <c r="L207" s="40"/>
      <c r="M207" s="40"/>
      <c r="N207" s="40"/>
      <c r="O207" s="40"/>
      <c r="P207" s="40"/>
      <c r="Q207" s="40"/>
      <c r="R207" s="40"/>
      <c r="S207" s="40"/>
      <c r="T207" s="40"/>
      <c r="U207" s="40"/>
      <c r="V207" s="40"/>
      <c r="W207" s="40"/>
      <c r="X207" s="40"/>
      <c r="Y207" s="98">
        <f>SUM(F29:R29)*0.16</f>
        <v>124206.40000000001</v>
      </c>
      <c r="Z207" s="70"/>
      <c r="AA207" s="40"/>
      <c r="AB207" s="98"/>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7" customFormat="1" x14ac:dyDescent="0.3">
      <c r="A208" s="47"/>
      <c r="B208" s="40" t="s">
        <v>239</v>
      </c>
      <c r="C208" s="40"/>
      <c r="D208" s="40"/>
      <c r="E208" s="40"/>
      <c r="F208" s="40"/>
      <c r="G208" s="40"/>
      <c r="H208" s="40"/>
      <c r="I208" s="40"/>
      <c r="J208" s="40"/>
      <c r="K208" s="40"/>
      <c r="L208" s="40"/>
      <c r="M208" s="40"/>
      <c r="N208" s="40"/>
      <c r="O208" s="40"/>
      <c r="P208" s="40"/>
      <c r="Q208" s="40"/>
      <c r="R208" s="40"/>
      <c r="S208" s="40"/>
      <c r="T208" s="40"/>
      <c r="U208" s="40"/>
      <c r="V208" s="40"/>
      <c r="W208" s="40"/>
      <c r="X208" s="40"/>
      <c r="Y208" s="98">
        <f>+'June 2022'!Y210</f>
        <v>0</v>
      </c>
      <c r="Z208" s="98">
        <f>+'June 2022'!Z210</f>
        <v>382</v>
      </c>
      <c r="AA208" s="40"/>
      <c r="AB208" s="98">
        <f>Y208+Z208</f>
        <v>382</v>
      </c>
      <c r="AC208" s="43"/>
      <c r="AD208" s="22"/>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row>
    <row r="209" spans="1:262" s="137" customFormat="1" x14ac:dyDescent="0.3">
      <c r="A209" s="47"/>
      <c r="B209" s="40" t="s">
        <v>240</v>
      </c>
      <c r="C209" s="40"/>
      <c r="D209" s="40"/>
      <c r="E209" s="40"/>
      <c r="F209" s="40"/>
      <c r="G209" s="40"/>
      <c r="H209" s="40"/>
      <c r="I209" s="40"/>
      <c r="J209" s="40"/>
      <c r="K209" s="40"/>
      <c r="L209" s="40"/>
      <c r="M209" s="40"/>
      <c r="N209" s="40"/>
      <c r="O209" s="40"/>
      <c r="P209" s="40"/>
      <c r="Q209" s="40"/>
      <c r="R209" s="40"/>
      <c r="S209" s="40"/>
      <c r="T209" s="40"/>
      <c r="U209" s="40"/>
      <c r="V209" s="40"/>
      <c r="W209" s="40"/>
      <c r="X209" s="40"/>
      <c r="Y209" s="97">
        <v>0</v>
      </c>
      <c r="Z209" s="97">
        <v>0</v>
      </c>
      <c r="AA209" s="40"/>
      <c r="AB209" s="98">
        <f>Y209+Z209</f>
        <v>0</v>
      </c>
      <c r="AC209" s="43"/>
      <c r="AD209" s="22"/>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row>
    <row r="210" spans="1:262" s="137" customFormat="1" x14ac:dyDescent="0.3">
      <c r="A210" s="47"/>
      <c r="B210" s="40" t="s">
        <v>241</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Y208+Y209</f>
        <v>0</v>
      </c>
      <c r="Z210" s="98">
        <f>Z209+Z208</f>
        <v>382</v>
      </c>
      <c r="AA210" s="40"/>
      <c r="AB210" s="98">
        <f>Y210+Z210</f>
        <v>382</v>
      </c>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242</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Y207-Y210-Z210</f>
        <v>123824.40000000001</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9" customFormat="1" ht="16.2" thickBot="1" x14ac:dyDescent="0.35">
      <c r="A212" s="138"/>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126"/>
      <c r="AC212" s="10"/>
      <c r="AD212" s="5"/>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row>
    <row r="213" spans="1:262" x14ac:dyDescent="0.3">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134"/>
      <c r="AC213" s="4"/>
      <c r="AD213" s="5"/>
    </row>
    <row r="214" spans="1:262" s="136" customFormat="1" x14ac:dyDescent="0.3">
      <c r="A214" s="7"/>
      <c r="B214" s="125" t="s">
        <v>267</v>
      </c>
      <c r="C214" s="99"/>
      <c r="D214" s="99"/>
      <c r="E214" s="99"/>
      <c r="F214" s="99"/>
      <c r="G214" s="99"/>
      <c r="H214" s="99"/>
      <c r="I214" s="99"/>
      <c r="J214" s="99"/>
      <c r="K214" s="99"/>
      <c r="L214" s="99"/>
      <c r="M214" s="99"/>
      <c r="N214" s="99"/>
      <c r="O214" s="99"/>
      <c r="P214" s="99"/>
      <c r="Q214" s="99"/>
      <c r="R214" s="99"/>
      <c r="S214" s="99"/>
      <c r="T214" s="99"/>
      <c r="U214" s="99"/>
      <c r="V214" s="99"/>
      <c r="W214" s="99"/>
      <c r="X214" s="99"/>
      <c r="Y214" s="233"/>
      <c r="Z214" s="233"/>
      <c r="AA214" s="12"/>
      <c r="AB214" s="234" t="s">
        <v>80</v>
      </c>
      <c r="AC214" s="10"/>
      <c r="AD214" s="5"/>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row>
    <row r="215" spans="1:262" s="137" customFormat="1" x14ac:dyDescent="0.3">
      <c r="A215" s="47"/>
      <c r="B215" s="40" t="s">
        <v>265</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c r="Z215" s="70"/>
      <c r="AA215" s="40"/>
      <c r="AB215" s="237">
        <v>651000</v>
      </c>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7" customFormat="1" x14ac:dyDescent="0.3">
      <c r="A216" s="47"/>
      <c r="B216" s="40" t="s">
        <v>325</v>
      </c>
      <c r="C216" s="40"/>
      <c r="D216" s="40"/>
      <c r="E216" s="40"/>
      <c r="F216" s="40"/>
      <c r="G216" s="40"/>
      <c r="H216" s="40"/>
      <c r="I216" s="40"/>
      <c r="J216" s="40"/>
      <c r="K216" s="40"/>
      <c r="L216" s="40"/>
      <c r="M216" s="40"/>
      <c r="N216" s="40"/>
      <c r="O216" s="40"/>
      <c r="P216" s="40"/>
      <c r="Q216" s="40"/>
      <c r="R216" s="40"/>
      <c r="S216" s="40"/>
      <c r="T216" s="40"/>
      <c r="U216" s="40"/>
      <c r="V216" s="40"/>
      <c r="W216" s="40"/>
      <c r="X216" s="40"/>
      <c r="Y216" s="98"/>
      <c r="Z216" s="98"/>
      <c r="AA216" s="40"/>
      <c r="AB216" s="237">
        <v>651157</v>
      </c>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7" customFormat="1" x14ac:dyDescent="0.3">
      <c r="A217" s="47"/>
      <c r="B217" s="40" t="s">
        <v>266</v>
      </c>
      <c r="C217" s="40"/>
      <c r="D217" s="40"/>
      <c r="E217" s="40"/>
      <c r="F217" s="40"/>
      <c r="G217" s="40"/>
      <c r="H217" s="40"/>
      <c r="I217" s="40"/>
      <c r="J217" s="40"/>
      <c r="K217" s="40"/>
      <c r="L217" s="40"/>
      <c r="M217" s="40"/>
      <c r="N217" s="40"/>
      <c r="O217" s="40"/>
      <c r="P217" s="40"/>
      <c r="Q217" s="40"/>
      <c r="R217" s="40"/>
      <c r="S217" s="40"/>
      <c r="T217" s="40"/>
      <c r="U217" s="40"/>
      <c r="V217" s="40"/>
      <c r="W217" s="40"/>
      <c r="X217" s="40"/>
      <c r="Y217" s="98"/>
      <c r="Z217" s="98"/>
      <c r="AA217" s="40"/>
      <c r="AB217" s="98">
        <f>AB215-AB216</f>
        <v>-157</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7" customFormat="1" x14ac:dyDescent="0.3">
      <c r="A218" s="47"/>
      <c r="B218" s="40" t="s">
        <v>279</v>
      </c>
      <c r="C218" s="40"/>
      <c r="D218" s="40"/>
      <c r="E218" s="40"/>
      <c r="F218" s="40"/>
      <c r="G218" s="40"/>
      <c r="H218" s="40"/>
      <c r="I218" s="40"/>
      <c r="J218" s="40"/>
      <c r="K218" s="40"/>
      <c r="L218" s="40"/>
      <c r="M218" s="40"/>
      <c r="N218" s="40"/>
      <c r="O218" s="40"/>
      <c r="P218" s="40"/>
      <c r="Q218" s="40"/>
      <c r="R218" s="40"/>
      <c r="S218" s="40"/>
      <c r="T218" s="40"/>
      <c r="U218" s="40"/>
      <c r="V218" s="40"/>
      <c r="W218" s="40"/>
      <c r="X218" s="40"/>
      <c r="Y218" s="97"/>
      <c r="Z218" s="97"/>
      <c r="AA218" s="40"/>
      <c r="AB218" s="240">
        <v>5.8248694316436296E-3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9" customFormat="1" ht="16.2" thickBot="1" x14ac:dyDescent="0.35">
      <c r="A219" s="138"/>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126"/>
      <c r="AC219" s="10"/>
      <c r="AD219" s="5"/>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row>
    <row r="220" spans="1:262" x14ac:dyDescent="0.3">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134"/>
      <c r="AC220" s="4"/>
      <c r="AD220" s="5"/>
    </row>
    <row r="221" spans="1:262" x14ac:dyDescent="0.3">
      <c r="A221" s="7"/>
      <c r="B221" s="125" t="s">
        <v>39</v>
      </c>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140"/>
      <c r="AC221" s="10"/>
      <c r="AD221" s="5"/>
    </row>
    <row r="222" spans="1:262" s="23" customFormat="1" x14ac:dyDescent="0.3">
      <c r="A222" s="47"/>
      <c r="B222" s="40" t="s">
        <v>40</v>
      </c>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142">
        <f>(AB86+AB88+AB89+AB90+AB91)/-AB92</f>
        <v>2.6935117394597325</v>
      </c>
      <c r="AC222" s="43" t="s">
        <v>81</v>
      </c>
      <c r="AD222" s="22"/>
    </row>
    <row r="223" spans="1:262" s="23" customFormat="1" x14ac:dyDescent="0.3">
      <c r="A223" s="47"/>
      <c r="B223" s="40" t="s">
        <v>41</v>
      </c>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142">
        <v>2.96</v>
      </c>
      <c r="AC223" s="43" t="s">
        <v>81</v>
      </c>
      <c r="AD223" s="22"/>
    </row>
    <row r="224" spans="1:262" s="23" customFormat="1" x14ac:dyDescent="0.3">
      <c r="A224" s="47"/>
      <c r="B224" s="40" t="s">
        <v>144</v>
      </c>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141">
        <f>(AB86+AB88+AB89+AB90+AB91+AB92)/-(AB93)</f>
        <v>19.787610619469028</v>
      </c>
      <c r="AC224" s="43" t="s">
        <v>81</v>
      </c>
      <c r="AD224" s="22"/>
    </row>
    <row r="225" spans="1:30" s="23" customFormat="1" x14ac:dyDescent="0.3">
      <c r="A225" s="47"/>
      <c r="B225" s="40" t="s">
        <v>145</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v>22.38</v>
      </c>
      <c r="AC225" s="43" t="s">
        <v>81</v>
      </c>
      <c r="AD225" s="22"/>
    </row>
    <row r="226" spans="1:30" s="23" customFormat="1" x14ac:dyDescent="0.3">
      <c r="A226" s="47"/>
      <c r="B226" s="40" t="s">
        <v>146</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1">
        <f>(AB86+AB88+AB89+AB90+AB91+AB92+AB93)/-(AB95)</f>
        <v>31.529702970297031</v>
      </c>
      <c r="AC226" s="43" t="s">
        <v>81</v>
      </c>
      <c r="AD226" s="22"/>
    </row>
    <row r="227" spans="1:30" s="23" customFormat="1" x14ac:dyDescent="0.3">
      <c r="A227" s="47"/>
      <c r="B227" s="40" t="s">
        <v>147</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33.75</v>
      </c>
      <c r="AC227" s="43" t="s">
        <v>81</v>
      </c>
      <c r="AD227" s="22"/>
    </row>
    <row r="228" spans="1:30" s="23" customFormat="1" x14ac:dyDescent="0.3">
      <c r="A228" s="47"/>
      <c r="B228" s="40" t="s">
        <v>177</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(AB86+AB88+AB89+AB90+AB91+AB92+AB93+AB95)/-(AB96)</f>
        <v>28.031818181818181</v>
      </c>
      <c r="AC228" s="43" t="s">
        <v>81</v>
      </c>
      <c r="AD228" s="22"/>
    </row>
    <row r="229" spans="1:30" s="23" customFormat="1" x14ac:dyDescent="0.3">
      <c r="A229" s="47"/>
      <c r="B229" s="40" t="s">
        <v>178</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28.71</v>
      </c>
      <c r="AC229" s="43" t="s">
        <v>81</v>
      </c>
      <c r="AD229" s="22"/>
    </row>
    <row r="230" spans="1:30" s="23" customFormat="1" x14ac:dyDescent="0.3">
      <c r="A230" s="47"/>
      <c r="B230" s="40" t="s">
        <v>164</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(AB86+AB88+AB89+AB90+AB91+AB92+AB93+AB95+AB96)/-(AB105)</f>
        <v>19.692052980132452</v>
      </c>
      <c r="AC230" s="43" t="s">
        <v>81</v>
      </c>
      <c r="AD230" s="22"/>
    </row>
    <row r="231" spans="1:30" s="23" customFormat="1" x14ac:dyDescent="0.3">
      <c r="A231" s="47"/>
      <c r="B231" s="40" t="s">
        <v>165</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18.170000000000002</v>
      </c>
      <c r="AC231" s="43" t="s">
        <v>81</v>
      </c>
      <c r="AD231" s="22"/>
    </row>
    <row r="232" spans="1:30" s="23" customFormat="1" x14ac:dyDescent="0.3">
      <c r="A232" s="18"/>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21"/>
      <c r="AD232" s="22"/>
    </row>
    <row r="233" spans="1:30" s="23" customFormat="1" x14ac:dyDescent="0.3">
      <c r="A233" s="18"/>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1"/>
      <c r="AD233" s="22"/>
    </row>
    <row r="234" spans="1:30" s="23" customFormat="1" ht="18.600000000000001" thickBot="1" x14ac:dyDescent="0.4">
      <c r="A234" s="83"/>
      <c r="B234" s="84" t="str">
        <f>B131</f>
        <v>PM27 INVESTOR REPORT QUARTER ENDING SEPTEMBER 2022</v>
      </c>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7"/>
      <c r="AD234" s="22"/>
    </row>
    <row r="235" spans="1:30" x14ac:dyDescent="0.3">
      <c r="A235" s="119"/>
      <c r="B235" s="120" t="s">
        <v>42</v>
      </c>
      <c r="C235" s="143"/>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v>44834</v>
      </c>
      <c r="AA235" s="121"/>
      <c r="AB235" s="121"/>
      <c r="AC235" s="123"/>
      <c r="AD235" s="5"/>
    </row>
    <row r="236" spans="1:30" x14ac:dyDescent="0.3">
      <c r="A236" s="145"/>
      <c r="B236" s="146"/>
      <c r="C236" s="147"/>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9"/>
      <c r="AB236" s="9"/>
      <c r="AC236" s="10"/>
      <c r="AD236" s="5"/>
    </row>
    <row r="237" spans="1:30" s="23" customFormat="1" x14ac:dyDescent="0.3">
      <c r="A237" s="47"/>
      <c r="B237" s="40" t="s">
        <v>43</v>
      </c>
      <c r="C237" s="149"/>
      <c r="D237" s="73"/>
      <c r="E237" s="73"/>
      <c r="F237" s="73"/>
      <c r="G237" s="73"/>
      <c r="H237" s="73"/>
      <c r="I237" s="73"/>
      <c r="J237" s="73"/>
      <c r="K237" s="73"/>
      <c r="L237" s="73"/>
      <c r="M237" s="73"/>
      <c r="N237" s="73"/>
      <c r="O237" s="73"/>
      <c r="P237" s="73"/>
      <c r="Q237" s="73"/>
      <c r="R237" s="73"/>
      <c r="S237" s="73"/>
      <c r="T237" s="73"/>
      <c r="U237" s="73"/>
      <c r="V237" s="73"/>
      <c r="W237" s="73"/>
      <c r="X237" s="73"/>
      <c r="Y237" s="73"/>
      <c r="Z237" s="67">
        <v>3.5749999999999997E-2</v>
      </c>
      <c r="AA237" s="40"/>
      <c r="AB237" s="40"/>
      <c r="AC237" s="43"/>
      <c r="AD237" s="22"/>
    </row>
    <row r="238" spans="1:30" s="23" customFormat="1" x14ac:dyDescent="0.3">
      <c r="A238" s="47"/>
      <c r="B238" s="40" t="s">
        <v>132</v>
      </c>
      <c r="C238" s="149"/>
      <c r="D238" s="73"/>
      <c r="E238" s="73"/>
      <c r="F238" s="73"/>
      <c r="G238" s="73"/>
      <c r="H238" s="73"/>
      <c r="I238" s="73"/>
      <c r="J238" s="73"/>
      <c r="K238" s="73"/>
      <c r="L238" s="73"/>
      <c r="M238" s="73"/>
      <c r="N238" s="73"/>
      <c r="O238" s="73"/>
      <c r="P238" s="73"/>
      <c r="Q238" s="73"/>
      <c r="R238" s="73"/>
      <c r="S238" s="73"/>
      <c r="T238" s="73"/>
      <c r="U238" s="73"/>
      <c r="V238" s="73"/>
      <c r="W238" s="73"/>
      <c r="X238" s="73"/>
      <c r="Y238" s="73"/>
      <c r="Z238" s="67">
        <v>1.3036129402559968E-2</v>
      </c>
      <c r="AA238" s="40"/>
      <c r="AB238" s="40"/>
      <c r="AC238" s="43"/>
      <c r="AD238" s="22"/>
    </row>
    <row r="239" spans="1:30" s="23" customFormat="1" x14ac:dyDescent="0.3">
      <c r="A239" s="47"/>
      <c r="B239" s="40" t="s">
        <v>44</v>
      </c>
      <c r="C239" s="149"/>
      <c r="D239" s="73"/>
      <c r="E239" s="73"/>
      <c r="F239" s="73"/>
      <c r="G239" s="73"/>
      <c r="H239" s="73"/>
      <c r="I239" s="73"/>
      <c r="J239" s="73"/>
      <c r="K239" s="73"/>
      <c r="L239" s="73"/>
      <c r="M239" s="73"/>
      <c r="N239" s="73"/>
      <c r="O239" s="73"/>
      <c r="P239" s="73"/>
      <c r="Q239" s="73"/>
      <c r="R239" s="73"/>
      <c r="S239" s="73"/>
      <c r="T239" s="73"/>
      <c r="U239" s="73"/>
      <c r="V239" s="73"/>
      <c r="W239" s="73"/>
      <c r="X239" s="73"/>
      <c r="Y239" s="73"/>
      <c r="Z239" s="67">
        <f>Z237-Z238</f>
        <v>2.2713870597440029E-2</v>
      </c>
      <c r="AA239" s="40"/>
      <c r="AB239" s="40"/>
      <c r="AC239" s="43"/>
      <c r="AD239" s="22"/>
    </row>
    <row r="240" spans="1:30" s="23" customFormat="1" x14ac:dyDescent="0.3">
      <c r="A240" s="47"/>
      <c r="B240" s="40" t="s">
        <v>45</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3.6999966421863144E-2</v>
      </c>
      <c r="AA240" s="40"/>
      <c r="AB240" s="40"/>
      <c r="AC240" s="43"/>
      <c r="AD240" s="22"/>
    </row>
    <row r="241" spans="1:30" s="23" customFormat="1" x14ac:dyDescent="0.3">
      <c r="A241" s="47"/>
      <c r="B241" s="40" t="s">
        <v>133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f>+AB35</f>
        <v>2.9017621850145513E-2</v>
      </c>
      <c r="AA241" s="40"/>
      <c r="AB241" s="40"/>
      <c r="AC241" s="43"/>
      <c r="AD241" s="22"/>
    </row>
    <row r="242" spans="1:30" s="23" customFormat="1" x14ac:dyDescent="0.3">
      <c r="A242" s="47"/>
      <c r="B242" s="40" t="s">
        <v>46</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7.9823445717176304E-3</v>
      </c>
      <c r="AA242" s="40"/>
      <c r="AB242" s="40"/>
      <c r="AC242" s="43"/>
      <c r="AD242" s="22"/>
    </row>
    <row r="243" spans="1:30" s="23" customFormat="1" x14ac:dyDescent="0.3">
      <c r="A243" s="47"/>
      <c r="B243" s="40" t="s">
        <v>119</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(+AB86+AB88+AB91)/R66</f>
        <v>1.6400560911376896E-2</v>
      </c>
      <c r="AA243" s="40"/>
      <c r="AB243" s="40"/>
      <c r="AC243" s="43"/>
      <c r="AD243" s="22"/>
    </row>
    <row r="244" spans="1:30" s="23" customFormat="1" x14ac:dyDescent="0.3">
      <c r="A244" s="47"/>
      <c r="B244" s="40" t="s">
        <v>112</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150">
        <v>53797</v>
      </c>
      <c r="AA244" s="40"/>
      <c r="AB244" s="40"/>
      <c r="AC244" s="43"/>
      <c r="AD244" s="22"/>
    </row>
    <row r="245" spans="1:30" s="23" customFormat="1" x14ac:dyDescent="0.3">
      <c r="A245" s="47"/>
      <c r="B245" s="40" t="s">
        <v>148</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150">
        <v>53797</v>
      </c>
      <c r="AA245" s="40"/>
      <c r="AB245" s="40"/>
      <c r="AC245" s="43"/>
      <c r="AD245" s="22"/>
    </row>
    <row r="246" spans="1:30" s="23" customFormat="1" x14ac:dyDescent="0.3">
      <c r="A246" s="47"/>
      <c r="B246" s="40" t="s">
        <v>149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150">
        <v>53797</v>
      </c>
      <c r="AA246" s="40"/>
      <c r="AB246" s="40"/>
      <c r="AC246" s="43"/>
      <c r="AD246" s="22"/>
    </row>
    <row r="247" spans="1:30" s="23" customFormat="1" x14ac:dyDescent="0.3">
      <c r="A247" s="47"/>
      <c r="B247" s="40" t="s">
        <v>179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53797</v>
      </c>
      <c r="AA247" s="40"/>
      <c r="AB247" s="40"/>
      <c r="AC247" s="43"/>
      <c r="AD247" s="22"/>
    </row>
    <row r="248" spans="1:30" s="23" customFormat="1" x14ac:dyDescent="0.3">
      <c r="A248" s="47"/>
      <c r="B248" s="40" t="s">
        <v>166</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53797</v>
      </c>
      <c r="AA248" s="40"/>
      <c r="AB248" s="40"/>
      <c r="AC248" s="43"/>
      <c r="AD248" s="22"/>
    </row>
    <row r="249" spans="1:30" s="23" customFormat="1" x14ac:dyDescent="0.3">
      <c r="A249" s="47"/>
      <c r="B249" s="40" t="s">
        <v>194</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53797</v>
      </c>
      <c r="AA249" s="40"/>
      <c r="AB249" s="40"/>
      <c r="AC249" s="43"/>
      <c r="AD249" s="22"/>
    </row>
    <row r="250" spans="1:30" s="23" customFormat="1" x14ac:dyDescent="0.3">
      <c r="A250" s="47"/>
      <c r="B250" s="40" t="s">
        <v>195</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53797</v>
      </c>
      <c r="AA250" s="40"/>
      <c r="AB250" s="40"/>
      <c r="AC250" s="43"/>
      <c r="AD250" s="22"/>
    </row>
    <row r="251" spans="1:30" s="23" customFormat="1" x14ac:dyDescent="0.3">
      <c r="A251" s="47"/>
      <c r="B251" s="40" t="s">
        <v>47</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71">
        <v>21.18</v>
      </c>
      <c r="AA251" s="40" t="s">
        <v>76</v>
      </c>
      <c r="AB251" s="40"/>
      <c r="AC251" s="43"/>
      <c r="AD251" s="22"/>
    </row>
    <row r="252" spans="1:30" s="23" customFormat="1" x14ac:dyDescent="0.3">
      <c r="A252" s="47"/>
      <c r="B252" s="40" t="s">
        <v>48</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71">
        <v>18.804435841231932</v>
      </c>
      <c r="AA252" s="40" t="s">
        <v>76</v>
      </c>
      <c r="AB252" s="40"/>
      <c r="AC252" s="43"/>
      <c r="AD252" s="22"/>
    </row>
    <row r="253" spans="1:30" s="23" customFormat="1" x14ac:dyDescent="0.3">
      <c r="A253" s="47"/>
      <c r="B253" s="40" t="s">
        <v>49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67">
        <f>(+T57+V57+Z57)/(R57+R63+R64)</f>
        <v>1.321829594171994E-2</v>
      </c>
      <c r="AA253" s="40"/>
      <c r="AB253" s="40"/>
      <c r="AC253" s="43"/>
      <c r="AD253" s="22"/>
    </row>
    <row r="254" spans="1:30" s="23" customFormat="1" x14ac:dyDescent="0.3">
      <c r="A254" s="47"/>
      <c r="B254" s="40" t="s">
        <v>50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67">
        <v>5.3699999999999998E-2</v>
      </c>
      <c r="AA254" s="40"/>
      <c r="AB254" s="40"/>
      <c r="AC254" s="43"/>
      <c r="AD254" s="22"/>
    </row>
    <row r="255" spans="1:30" x14ac:dyDescent="0.3">
      <c r="A255" s="145"/>
      <c r="B255" s="151"/>
      <c r="C255" s="151"/>
      <c r="D255" s="99"/>
      <c r="E255" s="99"/>
      <c r="F255" s="99"/>
      <c r="G255" s="99"/>
      <c r="H255" s="99"/>
      <c r="I255" s="99"/>
      <c r="J255" s="99"/>
      <c r="K255" s="99"/>
      <c r="L255" s="99"/>
      <c r="M255" s="99"/>
      <c r="N255" s="99"/>
      <c r="O255" s="99"/>
      <c r="P255" s="99"/>
      <c r="Q255" s="99"/>
      <c r="R255" s="99"/>
      <c r="S255" s="99"/>
      <c r="T255" s="99"/>
      <c r="U255" s="99"/>
      <c r="V255" s="99"/>
      <c r="W255" s="99"/>
      <c r="X255" s="99"/>
      <c r="Y255" s="99"/>
      <c r="Z255" s="126"/>
      <c r="AA255" s="99"/>
      <c r="AB255" s="152"/>
      <c r="AC255" s="10"/>
      <c r="AD255" s="5"/>
    </row>
    <row r="256" spans="1:30" x14ac:dyDescent="0.3">
      <c r="A256" s="153"/>
      <c r="B256" s="102" t="s">
        <v>51</v>
      </c>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t="s">
        <v>69</v>
      </c>
      <c r="Z256" s="154" t="s">
        <v>74</v>
      </c>
      <c r="AA256" s="34"/>
      <c r="AB256" s="34"/>
      <c r="AC256" s="36"/>
      <c r="AD256" s="5"/>
    </row>
    <row r="257" spans="1:30" s="23" customFormat="1" x14ac:dyDescent="0.3">
      <c r="A257" s="155"/>
      <c r="B257" s="37" t="s">
        <v>52</v>
      </c>
      <c r="C257" s="10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v>0</v>
      </c>
      <c r="Z257" s="157">
        <v>0</v>
      </c>
      <c r="AA257" s="37"/>
      <c r="AB257" s="158"/>
      <c r="AC257" s="159"/>
      <c r="AD257" s="22"/>
    </row>
    <row r="258" spans="1:30" s="23" customFormat="1" x14ac:dyDescent="0.3">
      <c r="A258" s="160"/>
      <c r="B258" s="40" t="s">
        <v>97</v>
      </c>
      <c r="C258" s="97"/>
      <c r="D258" s="48"/>
      <c r="E258" s="48"/>
      <c r="F258" s="48"/>
      <c r="G258" s="48"/>
      <c r="H258" s="48"/>
      <c r="I258" s="48"/>
      <c r="J258" s="48"/>
      <c r="K258" s="48"/>
      <c r="L258" s="48"/>
      <c r="M258" s="48"/>
      <c r="N258" s="48"/>
      <c r="O258" s="48"/>
      <c r="P258" s="48"/>
      <c r="Q258" s="48"/>
      <c r="R258" s="48"/>
      <c r="S258" s="48"/>
      <c r="T258" s="48"/>
      <c r="U258" s="48"/>
      <c r="V258" s="48"/>
      <c r="W258" s="48"/>
      <c r="X258" s="48"/>
      <c r="Y258" s="161">
        <f>+X310</f>
        <v>0</v>
      </c>
      <c r="Z258" s="162">
        <f>+Z310</f>
        <v>0</v>
      </c>
      <c r="AA258" s="40"/>
      <c r="AB258" s="163"/>
      <c r="AC258" s="164"/>
      <c r="AD258" s="22"/>
    </row>
    <row r="259" spans="1:30" s="23" customFormat="1" x14ac:dyDescent="0.3">
      <c r="A259" s="160"/>
      <c r="B259" s="40" t="s">
        <v>53</v>
      </c>
      <c r="C259" s="97"/>
      <c r="D259" s="48"/>
      <c r="E259" s="48"/>
      <c r="F259" s="48"/>
      <c r="G259" s="48"/>
      <c r="H259" s="48"/>
      <c r="I259" s="48"/>
      <c r="J259" s="48"/>
      <c r="K259" s="48"/>
      <c r="L259" s="48"/>
      <c r="M259" s="48"/>
      <c r="N259" s="48"/>
      <c r="O259" s="48"/>
      <c r="P259" s="48"/>
      <c r="Q259" s="48"/>
      <c r="R259" s="48"/>
      <c r="S259" s="48"/>
      <c r="T259" s="48"/>
      <c r="U259" s="48"/>
      <c r="V259" s="48"/>
      <c r="W259" s="48"/>
      <c r="X259" s="48"/>
      <c r="Y259" s="161">
        <f>+X332</f>
        <v>0</v>
      </c>
      <c r="Z259" s="162">
        <f>+Z332</f>
        <v>0</v>
      </c>
      <c r="AA259" s="40"/>
      <c r="AB259" s="163"/>
      <c r="AC259" s="164"/>
      <c r="AD259" s="22"/>
    </row>
    <row r="260" spans="1:30" x14ac:dyDescent="0.3">
      <c r="A260" s="165"/>
      <c r="B260" s="166" t="s">
        <v>167</v>
      </c>
      <c r="C260" s="167"/>
      <c r="D260" s="59"/>
      <c r="E260" s="59"/>
      <c r="F260" s="59"/>
      <c r="G260" s="59"/>
      <c r="H260" s="59"/>
      <c r="I260" s="59"/>
      <c r="J260" s="59"/>
      <c r="K260" s="59"/>
      <c r="L260" s="59"/>
      <c r="M260" s="59"/>
      <c r="N260" s="59"/>
      <c r="O260" s="59"/>
      <c r="P260" s="59"/>
      <c r="Q260" s="59"/>
      <c r="R260" s="59"/>
      <c r="S260" s="59"/>
      <c r="T260" s="59"/>
      <c r="U260" s="59"/>
      <c r="V260" s="59"/>
      <c r="W260" s="59"/>
      <c r="X260" s="59"/>
      <c r="Y260" s="112"/>
      <c r="Z260" s="162">
        <f>Z57</f>
        <v>0</v>
      </c>
      <c r="AA260" s="59"/>
      <c r="AB260" s="168"/>
      <c r="AC260" s="169"/>
      <c r="AD260" s="5"/>
    </row>
    <row r="261" spans="1:30" x14ac:dyDescent="0.3">
      <c r="A261" s="165"/>
      <c r="B261" s="166" t="s">
        <v>261</v>
      </c>
      <c r="C261" s="167"/>
      <c r="D261" s="59"/>
      <c r="E261" s="59"/>
      <c r="F261" s="59"/>
      <c r="G261" s="59"/>
      <c r="H261" s="59"/>
      <c r="I261" s="59"/>
      <c r="J261" s="59"/>
      <c r="K261" s="59"/>
      <c r="L261" s="59"/>
      <c r="M261" s="59"/>
      <c r="N261" s="59"/>
      <c r="O261" s="59"/>
      <c r="P261" s="59"/>
      <c r="Q261" s="59"/>
      <c r="R261" s="59"/>
      <c r="S261" s="59"/>
      <c r="T261" s="59"/>
      <c r="U261" s="59"/>
      <c r="V261" s="59"/>
      <c r="W261" s="59"/>
      <c r="X261" s="59"/>
      <c r="Y261" s="112"/>
      <c r="Z261" s="162">
        <f>-T63</f>
        <v>0</v>
      </c>
      <c r="AA261" s="59"/>
      <c r="AB261" s="168"/>
      <c r="AC261" s="169"/>
      <c r="AD261" s="5"/>
    </row>
    <row r="262" spans="1:30" x14ac:dyDescent="0.3">
      <c r="A262" s="170"/>
      <c r="B262" s="166" t="s">
        <v>54</v>
      </c>
      <c r="C262" s="171"/>
      <c r="D262" s="59"/>
      <c r="E262" s="59"/>
      <c r="F262" s="59"/>
      <c r="G262" s="59"/>
      <c r="H262" s="59"/>
      <c r="I262" s="59"/>
      <c r="J262" s="59"/>
      <c r="K262" s="59"/>
      <c r="L262" s="59"/>
      <c r="M262" s="59"/>
      <c r="N262" s="59"/>
      <c r="O262" s="59"/>
      <c r="P262" s="59"/>
      <c r="Q262" s="59"/>
      <c r="R262" s="59"/>
      <c r="S262" s="59"/>
      <c r="T262" s="59"/>
      <c r="U262" s="59"/>
      <c r="V262" s="59"/>
      <c r="W262" s="59"/>
      <c r="X262" s="59"/>
      <c r="Y262" s="112"/>
      <c r="Z262" s="172"/>
      <c r="AA262" s="59"/>
      <c r="AB262" s="168"/>
      <c r="AC262" s="173"/>
      <c r="AD262" s="5"/>
    </row>
    <row r="263" spans="1:30" s="23" customFormat="1" x14ac:dyDescent="0.3">
      <c r="A263" s="174"/>
      <c r="B263" s="40" t="s">
        <v>55</v>
      </c>
      <c r="C263" s="40"/>
      <c r="D263" s="40"/>
      <c r="E263" s="40"/>
      <c r="F263" s="40"/>
      <c r="G263" s="40"/>
      <c r="H263" s="40"/>
      <c r="I263" s="40"/>
      <c r="J263" s="40"/>
      <c r="K263" s="40"/>
      <c r="L263" s="40"/>
      <c r="M263" s="40"/>
      <c r="N263" s="40"/>
      <c r="O263" s="40"/>
      <c r="P263" s="40"/>
      <c r="Q263" s="40"/>
      <c r="R263" s="40"/>
      <c r="S263" s="40"/>
      <c r="T263" s="40"/>
      <c r="U263" s="40"/>
      <c r="V263" s="40"/>
      <c r="W263" s="40"/>
      <c r="X263" s="40"/>
      <c r="Y263" s="48"/>
      <c r="Z263" s="162">
        <f>AB166</f>
        <v>-3</v>
      </c>
      <c r="AA263" s="40"/>
      <c r="AB263" s="163"/>
      <c r="AC263" s="175"/>
      <c r="AD263" s="22"/>
    </row>
    <row r="264" spans="1:30" s="23" customFormat="1" x14ac:dyDescent="0.3">
      <c r="A264" s="160"/>
      <c r="B264" s="40" t="s">
        <v>56</v>
      </c>
      <c r="C264" s="97"/>
      <c r="D264" s="40"/>
      <c r="E264" s="40"/>
      <c r="F264" s="40"/>
      <c r="G264" s="40"/>
      <c r="H264" s="40"/>
      <c r="I264" s="40"/>
      <c r="J264" s="40"/>
      <c r="K264" s="40"/>
      <c r="L264" s="40"/>
      <c r="M264" s="40"/>
      <c r="N264" s="40"/>
      <c r="O264" s="40"/>
      <c r="P264" s="40"/>
      <c r="Q264" s="40"/>
      <c r="R264" s="40"/>
      <c r="S264" s="40"/>
      <c r="T264" s="40"/>
      <c r="U264" s="40"/>
      <c r="V264" s="40"/>
      <c r="W264" s="40"/>
      <c r="X264" s="40"/>
      <c r="Y264" s="48"/>
      <c r="Z264" s="162">
        <f>Z263+'June 2022'!Z264</f>
        <v>2</v>
      </c>
      <c r="AA264" s="40"/>
      <c r="AB264" s="163"/>
      <c r="AC264" s="175"/>
      <c r="AD264" s="22"/>
    </row>
    <row r="265" spans="1:30" x14ac:dyDescent="0.3">
      <c r="A265" s="170"/>
      <c r="B265" s="166" t="s">
        <v>125</v>
      </c>
      <c r="C265" s="171"/>
      <c r="D265" s="59"/>
      <c r="E265" s="59"/>
      <c r="F265" s="59"/>
      <c r="G265" s="59"/>
      <c r="H265" s="59"/>
      <c r="I265" s="59"/>
      <c r="J265" s="59"/>
      <c r="K265" s="59"/>
      <c r="L265" s="59"/>
      <c r="M265" s="59"/>
      <c r="N265" s="59"/>
      <c r="O265" s="59"/>
      <c r="P265" s="59"/>
      <c r="Q265" s="59"/>
      <c r="R265" s="59"/>
      <c r="S265" s="59"/>
      <c r="T265" s="59"/>
      <c r="U265" s="59"/>
      <c r="V265" s="59"/>
      <c r="W265" s="59"/>
      <c r="X265" s="59"/>
      <c r="Y265" s="176"/>
      <c r="Z265" s="172"/>
      <c r="AA265" s="59"/>
      <c r="AB265" s="168"/>
      <c r="AC265" s="173"/>
      <c r="AD265" s="5"/>
    </row>
    <row r="266" spans="1:30" s="23" customFormat="1" x14ac:dyDescent="0.3">
      <c r="A266" s="174"/>
      <c r="B266" s="40" t="s">
        <v>134</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v>0</v>
      </c>
      <c r="Z266" s="162">
        <v>0</v>
      </c>
      <c r="AA266" s="40"/>
      <c r="AB266" s="163"/>
      <c r="AC266" s="175"/>
      <c r="AD266" s="22"/>
    </row>
    <row r="267" spans="1:30" s="23" customFormat="1" x14ac:dyDescent="0.3">
      <c r="A267" s="160"/>
      <c r="B267" s="40" t="s">
        <v>57</v>
      </c>
      <c r="C267" s="70"/>
      <c r="D267" s="40"/>
      <c r="E267" s="40"/>
      <c r="F267" s="40"/>
      <c r="G267" s="40"/>
      <c r="H267" s="40"/>
      <c r="I267" s="40"/>
      <c r="J267" s="40"/>
      <c r="K267" s="40"/>
      <c r="L267" s="40"/>
      <c r="M267" s="40"/>
      <c r="N267" s="40"/>
      <c r="O267" s="40"/>
      <c r="P267" s="40"/>
      <c r="Q267" s="40"/>
      <c r="R267" s="40"/>
      <c r="S267" s="40"/>
      <c r="T267" s="40"/>
      <c r="U267" s="40"/>
      <c r="V267" s="40"/>
      <c r="W267" s="40"/>
      <c r="X267" s="40"/>
      <c r="Y267" s="40"/>
      <c r="Z267" s="177">
        <v>0</v>
      </c>
      <c r="AA267" s="40"/>
      <c r="AB267" s="163"/>
      <c r="AC267" s="175"/>
      <c r="AD267" s="22"/>
    </row>
    <row r="268" spans="1:30" s="23" customFormat="1" x14ac:dyDescent="0.3">
      <c r="A268" s="160"/>
      <c r="B268" s="40" t="s">
        <v>58</v>
      </c>
      <c r="C268" s="70"/>
      <c r="D268" s="40"/>
      <c r="E268" s="40"/>
      <c r="F268" s="40"/>
      <c r="G268" s="40"/>
      <c r="H268" s="40"/>
      <c r="I268" s="40"/>
      <c r="J268" s="40"/>
      <c r="K268" s="40"/>
      <c r="L268" s="40"/>
      <c r="M268" s="40"/>
      <c r="N268" s="40"/>
      <c r="O268" s="40"/>
      <c r="P268" s="40"/>
      <c r="Q268" s="40"/>
      <c r="R268" s="40"/>
      <c r="S268" s="40"/>
      <c r="T268" s="40"/>
      <c r="U268" s="40"/>
      <c r="V268" s="40"/>
      <c r="W268" s="40"/>
      <c r="X268" s="40"/>
      <c r="Y268" s="40"/>
      <c r="Z268" s="177">
        <v>0</v>
      </c>
      <c r="AA268" s="40"/>
      <c r="AB268" s="163"/>
      <c r="AC268" s="175"/>
      <c r="AD268" s="22"/>
    </row>
    <row r="269" spans="1:30" x14ac:dyDescent="0.3">
      <c r="A269" s="165"/>
      <c r="B269" s="166" t="s">
        <v>116</v>
      </c>
      <c r="C269" s="178"/>
      <c r="D269" s="59"/>
      <c r="E269" s="59"/>
      <c r="F269" s="59"/>
      <c r="G269" s="59"/>
      <c r="H269" s="59"/>
      <c r="I269" s="59"/>
      <c r="J269" s="59"/>
      <c r="K269" s="59"/>
      <c r="L269" s="59"/>
      <c r="M269" s="59"/>
      <c r="N269" s="59"/>
      <c r="O269" s="59"/>
      <c r="P269" s="59"/>
      <c r="Q269" s="59"/>
      <c r="R269" s="59"/>
      <c r="S269" s="59"/>
      <c r="T269" s="59"/>
      <c r="U269" s="59"/>
      <c r="V269" s="59"/>
      <c r="W269" s="59"/>
      <c r="X269" s="59"/>
      <c r="Y269" s="112"/>
      <c r="Z269" s="179"/>
      <c r="AA269" s="59"/>
      <c r="AB269" s="168"/>
      <c r="AC269" s="173"/>
      <c r="AD269" s="5"/>
    </row>
    <row r="270" spans="1:30" s="23" customFormat="1" x14ac:dyDescent="0.3">
      <c r="A270" s="160"/>
      <c r="B270" s="40" t="s">
        <v>134</v>
      </c>
      <c r="C270" s="7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0" s="23" customFormat="1" x14ac:dyDescent="0.3">
      <c r="A271" s="160"/>
      <c r="B271" s="40" t="s">
        <v>117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71"/>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x14ac:dyDescent="0.3">
      <c r="A273" s="165"/>
      <c r="B273" s="171"/>
      <c r="C273" s="178"/>
      <c r="D273" s="59"/>
      <c r="E273" s="59"/>
      <c r="F273" s="59"/>
      <c r="G273" s="59"/>
      <c r="H273" s="59"/>
      <c r="I273" s="59"/>
      <c r="J273" s="59"/>
      <c r="K273" s="59"/>
      <c r="L273" s="59"/>
      <c r="M273" s="59"/>
      <c r="N273" s="59"/>
      <c r="O273" s="59"/>
      <c r="P273" s="59"/>
      <c r="Q273" s="59"/>
      <c r="R273" s="59"/>
      <c r="S273" s="59"/>
      <c r="T273" s="59"/>
      <c r="U273" s="59"/>
      <c r="V273" s="59"/>
      <c r="W273" s="59"/>
      <c r="X273" s="59"/>
      <c r="Y273" s="59"/>
      <c r="Z273" s="180"/>
      <c r="AA273" s="59"/>
      <c r="AB273" s="168"/>
      <c r="AC273" s="173"/>
      <c r="AD273" s="5"/>
    </row>
    <row r="274" spans="1:30" ht="18" x14ac:dyDescent="0.35">
      <c r="A274" s="165"/>
      <c r="B274" s="181" t="s">
        <v>109</v>
      </c>
      <c r="C274" s="178"/>
      <c r="D274" s="59"/>
      <c r="E274" s="59"/>
      <c r="F274" s="59"/>
      <c r="G274" s="59"/>
      <c r="H274" s="59"/>
      <c r="I274" s="59"/>
      <c r="J274" s="59"/>
      <c r="K274" s="59"/>
      <c r="L274" s="182"/>
      <c r="M274" s="182"/>
      <c r="N274" s="182"/>
      <c r="O274" s="182"/>
      <c r="P274" s="261" t="s">
        <v>168</v>
      </c>
      <c r="Q274" s="182"/>
      <c r="R274" s="182"/>
      <c r="S274" s="182"/>
      <c r="T274" s="182"/>
      <c r="U274" s="182"/>
      <c r="V274" s="182"/>
      <c r="W274" s="59"/>
      <c r="X274" s="183"/>
      <c r="Y274" s="182"/>
      <c r="Z274" s="180"/>
      <c r="AA274" s="59"/>
      <c r="AB274" s="168"/>
      <c r="AC274" s="173"/>
      <c r="AD274" s="5"/>
    </row>
    <row r="275" spans="1:30" ht="18" x14ac:dyDescent="0.35">
      <c r="A275" s="184"/>
      <c r="B275" s="185"/>
      <c r="C275" s="186"/>
      <c r="D275" s="99"/>
      <c r="E275" s="99"/>
      <c r="F275" s="99"/>
      <c r="G275" s="99"/>
      <c r="H275" s="99"/>
      <c r="I275" s="99"/>
      <c r="J275" s="99"/>
      <c r="K275" s="99"/>
      <c r="L275" s="187"/>
      <c r="M275" s="187"/>
      <c r="N275" s="187"/>
      <c r="O275" s="187"/>
      <c r="P275" s="187"/>
      <c r="Q275" s="187"/>
      <c r="R275" s="187"/>
      <c r="S275" s="187"/>
      <c r="T275" s="187"/>
      <c r="U275" s="187"/>
      <c r="V275" s="187"/>
      <c r="W275" s="99"/>
      <c r="X275" s="99"/>
      <c r="Y275" s="99"/>
      <c r="Z275" s="188"/>
      <c r="AA275" s="99"/>
      <c r="AB275" s="152"/>
      <c r="AC275" s="189"/>
      <c r="AD275" s="5"/>
    </row>
    <row r="276" spans="1:30" x14ac:dyDescent="0.3">
      <c r="A276" s="33"/>
      <c r="B276" s="102" t="s">
        <v>126</v>
      </c>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54" t="s">
        <v>69</v>
      </c>
      <c r="Y276" s="103" t="s">
        <v>70</v>
      </c>
      <c r="Z276" s="154" t="s">
        <v>75</v>
      </c>
      <c r="AA276" s="103" t="s">
        <v>70</v>
      </c>
      <c r="AB276" s="34"/>
      <c r="AC276" s="190"/>
      <c r="AD276" s="5"/>
    </row>
    <row r="277" spans="1:30" s="23" customFormat="1" x14ac:dyDescent="0.3">
      <c r="A277" s="18"/>
      <c r="B277" s="106" t="s">
        <v>59</v>
      </c>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06">
        <f t="shared" ref="X277:X284" si="0">+X289+X301+X323</f>
        <v>3530</v>
      </c>
      <c r="Y277" s="192">
        <f>X277/$X$286</f>
        <v>0.99858557284299854</v>
      </c>
      <c r="Z277" s="107">
        <f t="shared" ref="Z277:Z284" si="1">+Z289+Z301+Z323</f>
        <v>662877</v>
      </c>
      <c r="AA277" s="192">
        <f>Z277/$Z$286</f>
        <v>0.99893156275147454</v>
      </c>
      <c r="AB277" s="158"/>
      <c r="AC277" s="193"/>
      <c r="AD277" s="22"/>
    </row>
    <row r="278" spans="1:30" s="23" customFormat="1" x14ac:dyDescent="0.3">
      <c r="A278" s="47"/>
      <c r="B278" s="97" t="s">
        <v>60</v>
      </c>
      <c r="C278" s="194"/>
      <c r="D278" s="194"/>
      <c r="E278" s="194"/>
      <c r="F278" s="194"/>
      <c r="G278" s="194"/>
      <c r="H278" s="194"/>
      <c r="I278" s="194"/>
      <c r="J278" s="194"/>
      <c r="K278" s="194"/>
      <c r="L278" s="194"/>
      <c r="M278" s="194"/>
      <c r="N278" s="194"/>
      <c r="O278" s="194"/>
      <c r="P278" s="194"/>
      <c r="Q278" s="194"/>
      <c r="R278" s="194"/>
      <c r="S278" s="194"/>
      <c r="T278" s="194"/>
      <c r="U278" s="194"/>
      <c r="V278" s="194"/>
      <c r="W278" s="194"/>
      <c r="X278" s="195">
        <f t="shared" si="0"/>
        <v>1</v>
      </c>
      <c r="Y278" s="196">
        <f t="shared" ref="Y278:Y284" si="2">X278/$X$286</f>
        <v>2.8288543140028287E-4</v>
      </c>
      <c r="Z278" s="197">
        <f t="shared" si="1"/>
        <v>68</v>
      </c>
      <c r="AA278" s="198">
        <f>Z278/$Z$286</f>
        <v>1.0247353018297553E-4</v>
      </c>
      <c r="AB278" s="163"/>
      <c r="AC278" s="175"/>
      <c r="AD278" s="22"/>
    </row>
    <row r="279" spans="1:30" s="23" customFormat="1" x14ac:dyDescent="0.3">
      <c r="A279" s="47"/>
      <c r="B279" s="97" t="s">
        <v>61</v>
      </c>
      <c r="C279" s="194"/>
      <c r="D279" s="194"/>
      <c r="E279" s="194"/>
      <c r="F279" s="194"/>
      <c r="G279" s="194"/>
      <c r="H279" s="194"/>
      <c r="I279" s="194"/>
      <c r="J279" s="194"/>
      <c r="K279" s="194"/>
      <c r="L279" s="194"/>
      <c r="M279" s="194"/>
      <c r="N279" s="194"/>
      <c r="O279" s="194"/>
      <c r="P279" s="194"/>
      <c r="Q279" s="194"/>
      <c r="R279" s="194"/>
      <c r="S279" s="194"/>
      <c r="T279" s="194"/>
      <c r="U279" s="194"/>
      <c r="V279" s="194"/>
      <c r="W279" s="194"/>
      <c r="X279" s="199">
        <f t="shared" si="0"/>
        <v>0</v>
      </c>
      <c r="Y279" s="200">
        <f t="shared" si="2"/>
        <v>0</v>
      </c>
      <c r="Z279" s="131">
        <f t="shared" si="1"/>
        <v>0</v>
      </c>
      <c r="AA279" s="198">
        <f t="shared" ref="AA279:AA284" si="3">Z279/$Z$286</f>
        <v>0</v>
      </c>
      <c r="AB279" s="163"/>
      <c r="AC279" s="175"/>
      <c r="AD279" s="22"/>
    </row>
    <row r="280" spans="1:30" s="23" customFormat="1" x14ac:dyDescent="0.3">
      <c r="A280" s="47"/>
      <c r="B280" s="97" t="s">
        <v>100</v>
      </c>
      <c r="C280" s="194"/>
      <c r="D280" s="194"/>
      <c r="E280" s="194"/>
      <c r="F280" s="194"/>
      <c r="G280" s="194"/>
      <c r="H280" s="194"/>
      <c r="I280" s="194"/>
      <c r="J280" s="194"/>
      <c r="K280" s="194"/>
      <c r="L280" s="194"/>
      <c r="M280" s="194"/>
      <c r="N280" s="194"/>
      <c r="O280" s="194"/>
      <c r="P280" s="194"/>
      <c r="Q280" s="194"/>
      <c r="R280" s="194"/>
      <c r="S280" s="194"/>
      <c r="T280" s="194"/>
      <c r="U280" s="194"/>
      <c r="V280" s="194"/>
      <c r="W280" s="194"/>
      <c r="X280" s="199">
        <f t="shared" si="0"/>
        <v>0</v>
      </c>
      <c r="Y280" s="200">
        <f t="shared" si="2"/>
        <v>0</v>
      </c>
      <c r="Z280" s="131">
        <f t="shared" si="1"/>
        <v>0</v>
      </c>
      <c r="AA280" s="198">
        <f t="shared" si="3"/>
        <v>0</v>
      </c>
      <c r="AB280" s="163"/>
      <c r="AC280" s="175"/>
      <c r="AD280" s="22"/>
    </row>
    <row r="281" spans="1:30" s="23" customFormat="1" x14ac:dyDescent="0.3">
      <c r="A281" s="47"/>
      <c r="B281" s="97" t="s">
        <v>101</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9">
        <f t="shared" si="0"/>
        <v>0</v>
      </c>
      <c r="Y281" s="200">
        <f t="shared" si="2"/>
        <v>0</v>
      </c>
      <c r="Z281" s="131">
        <f t="shared" si="1"/>
        <v>0</v>
      </c>
      <c r="AA281" s="198">
        <f t="shared" si="3"/>
        <v>0</v>
      </c>
      <c r="AB281" s="163"/>
      <c r="AC281" s="175"/>
      <c r="AD281" s="22"/>
    </row>
    <row r="282" spans="1:30" s="23" customFormat="1" x14ac:dyDescent="0.3">
      <c r="A282" s="47"/>
      <c r="B282" s="97" t="s">
        <v>102</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0"/>
        <v>0</v>
      </c>
      <c r="Y282" s="200">
        <f t="shared" si="2"/>
        <v>0</v>
      </c>
      <c r="Z282" s="131">
        <f t="shared" si="1"/>
        <v>0</v>
      </c>
      <c r="AA282" s="198">
        <f t="shared" si="3"/>
        <v>0</v>
      </c>
      <c r="AB282" s="163"/>
      <c r="AC282" s="175"/>
      <c r="AD282" s="22"/>
    </row>
    <row r="283" spans="1:30" s="23" customFormat="1" x14ac:dyDescent="0.3">
      <c r="A283" s="47"/>
      <c r="B283" s="97" t="s">
        <v>103</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201">
        <f t="shared" si="0"/>
        <v>4</v>
      </c>
      <c r="Y283" s="202">
        <f t="shared" si="2"/>
        <v>1.1315417256011315E-3</v>
      </c>
      <c r="Z283" s="203">
        <f t="shared" si="1"/>
        <v>641</v>
      </c>
      <c r="AA283" s="198">
        <f t="shared" si="3"/>
        <v>9.6596371834246051E-4</v>
      </c>
      <c r="AB283" s="163"/>
      <c r="AC283" s="175"/>
      <c r="AD283" s="22"/>
    </row>
    <row r="284" spans="1:30" s="23" customFormat="1" x14ac:dyDescent="0.3">
      <c r="A284" s="47"/>
      <c r="B284" s="97" t="s">
        <v>104</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06">
        <f t="shared" si="0"/>
        <v>0</v>
      </c>
      <c r="Y284" s="198">
        <f t="shared" si="2"/>
        <v>0</v>
      </c>
      <c r="Z284" s="107">
        <f t="shared" si="1"/>
        <v>0</v>
      </c>
      <c r="AA284" s="198">
        <f t="shared" si="3"/>
        <v>0</v>
      </c>
      <c r="AB284" s="163"/>
      <c r="AC284" s="175"/>
      <c r="AD284" s="22"/>
    </row>
    <row r="285" spans="1:30" s="23" customFormat="1" x14ac:dyDescent="0.3">
      <c r="A285" s="47"/>
      <c r="B285" s="97"/>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97"/>
      <c r="Y285" s="198"/>
      <c r="Z285" s="98"/>
      <c r="AA285" s="198"/>
      <c r="AB285" s="163"/>
      <c r="AC285" s="175"/>
      <c r="AD285" s="22"/>
    </row>
    <row r="286" spans="1:30" s="23" customFormat="1" x14ac:dyDescent="0.3">
      <c r="A286" s="47"/>
      <c r="B286" s="40" t="s">
        <v>80</v>
      </c>
      <c r="C286" s="40"/>
      <c r="D286" s="204"/>
      <c r="E286" s="204"/>
      <c r="F286" s="204"/>
      <c r="G286" s="204"/>
      <c r="H286" s="204"/>
      <c r="I286" s="204"/>
      <c r="J286" s="204"/>
      <c r="K286" s="204"/>
      <c r="L286" s="204"/>
      <c r="M286" s="204"/>
      <c r="N286" s="204"/>
      <c r="O286" s="204"/>
      <c r="P286" s="204"/>
      <c r="Q286" s="204"/>
      <c r="R286" s="204"/>
      <c r="S286" s="204"/>
      <c r="T286" s="204"/>
      <c r="U286" s="204"/>
      <c r="V286" s="204"/>
      <c r="W286" s="204"/>
      <c r="X286" s="97">
        <f>SUM(X277:X285)</f>
        <v>3535</v>
      </c>
      <c r="Y286" s="198">
        <f>SUM(Y277:Y285)</f>
        <v>1</v>
      </c>
      <c r="Z286" s="98">
        <f>SUM(Z277:Z285)</f>
        <v>663586</v>
      </c>
      <c r="AA286" s="198">
        <f>SUM(AA277:AA285)</f>
        <v>1</v>
      </c>
      <c r="AB286" s="40"/>
      <c r="AC286" s="43"/>
      <c r="AD286" s="22"/>
    </row>
    <row r="287" spans="1:30" x14ac:dyDescent="0.3">
      <c r="A287" s="7"/>
      <c r="B287" s="151"/>
      <c r="C287" s="186"/>
      <c r="D287" s="99"/>
      <c r="E287" s="99"/>
      <c r="F287" s="99"/>
      <c r="G287" s="99"/>
      <c r="H287" s="99"/>
      <c r="I287" s="99"/>
      <c r="J287" s="99"/>
      <c r="K287" s="99"/>
      <c r="L287" s="99"/>
      <c r="M287" s="99"/>
      <c r="N287" s="99"/>
      <c r="O287" s="99"/>
      <c r="P287" s="99"/>
      <c r="Q287" s="99"/>
      <c r="R287" s="99"/>
      <c r="S287" s="99"/>
      <c r="T287" s="99"/>
      <c r="U287" s="99"/>
      <c r="V287" s="99"/>
      <c r="W287" s="99"/>
      <c r="X287" s="99"/>
      <c r="Y287" s="99"/>
      <c r="Z287" s="188"/>
      <c r="AA287" s="99"/>
      <c r="AB287" s="99"/>
      <c r="AC287" s="10"/>
      <c r="AD287" s="5"/>
    </row>
    <row r="288" spans="1:30" x14ac:dyDescent="0.3">
      <c r="A288" s="33"/>
      <c r="B288" s="102" t="s">
        <v>105</v>
      </c>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54" t="s">
        <v>69</v>
      </c>
      <c r="Y288" s="103" t="s">
        <v>70</v>
      </c>
      <c r="Z288" s="154" t="s">
        <v>75</v>
      </c>
      <c r="AA288" s="103" t="s">
        <v>70</v>
      </c>
      <c r="AB288" s="34"/>
      <c r="AC288" s="190"/>
      <c r="AD288" s="5"/>
    </row>
    <row r="289" spans="1:31" s="23" customFormat="1" x14ac:dyDescent="0.3">
      <c r="A289" s="18"/>
      <c r="B289" s="106" t="s">
        <v>59</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06">
        <v>3530</v>
      </c>
      <c r="Y289" s="192">
        <f>X289/$X$298</f>
        <v>0.99858557284299854</v>
      </c>
      <c r="Z289" s="107">
        <v>662877</v>
      </c>
      <c r="AA289" s="192">
        <f>Z289/$Z$298</f>
        <v>0.99893156275147454</v>
      </c>
      <c r="AB289" s="158"/>
      <c r="AC289" s="193"/>
      <c r="AD289" s="22"/>
    </row>
    <row r="290" spans="1:31" s="23" customFormat="1" x14ac:dyDescent="0.3">
      <c r="A290" s="47"/>
      <c r="B290" s="97" t="s">
        <v>60</v>
      </c>
      <c r="C290" s="194"/>
      <c r="D290" s="194"/>
      <c r="E290" s="194"/>
      <c r="F290" s="194"/>
      <c r="G290" s="194"/>
      <c r="H290" s="194"/>
      <c r="I290" s="194"/>
      <c r="J290" s="194"/>
      <c r="K290" s="194"/>
      <c r="L290" s="194"/>
      <c r="M290" s="194"/>
      <c r="N290" s="194"/>
      <c r="O290" s="194"/>
      <c r="P290" s="194"/>
      <c r="Q290" s="194"/>
      <c r="R290" s="194"/>
      <c r="S290" s="194"/>
      <c r="T290" s="194"/>
      <c r="U290" s="194"/>
      <c r="V290" s="194"/>
      <c r="W290" s="194"/>
      <c r="X290" s="97">
        <v>1</v>
      </c>
      <c r="Y290" s="198">
        <f t="shared" ref="Y290:Y296" si="4">X290/$X$298</f>
        <v>2.8288543140028287E-4</v>
      </c>
      <c r="Z290" s="98">
        <v>68</v>
      </c>
      <c r="AA290" s="198">
        <f t="shared" ref="AA290:AA296" si="5">Z290/$Z$298</f>
        <v>1.0247353018297553E-4</v>
      </c>
      <c r="AB290" s="163"/>
      <c r="AC290" s="175"/>
      <c r="AD290" s="22"/>
      <c r="AE290" s="115"/>
    </row>
    <row r="291" spans="1:31" s="23" customFormat="1" x14ac:dyDescent="0.3">
      <c r="A291" s="47"/>
      <c r="B291" s="97" t="s">
        <v>61</v>
      </c>
      <c r="C291" s="194"/>
      <c r="D291" s="194"/>
      <c r="E291" s="194"/>
      <c r="F291" s="194"/>
      <c r="G291" s="194"/>
      <c r="H291" s="194"/>
      <c r="I291" s="194"/>
      <c r="J291" s="194"/>
      <c r="K291" s="194"/>
      <c r="L291" s="194"/>
      <c r="M291" s="194"/>
      <c r="N291" s="194"/>
      <c r="O291" s="194"/>
      <c r="P291" s="194"/>
      <c r="Q291" s="194"/>
      <c r="R291" s="194"/>
      <c r="S291" s="194"/>
      <c r="T291" s="194"/>
      <c r="U291" s="194"/>
      <c r="V291" s="194"/>
      <c r="W291" s="194"/>
      <c r="X291" s="97">
        <v>0</v>
      </c>
      <c r="Y291" s="198">
        <f t="shared" si="4"/>
        <v>0</v>
      </c>
      <c r="Z291" s="98">
        <v>0</v>
      </c>
      <c r="AA291" s="198">
        <f t="shared" si="5"/>
        <v>0</v>
      </c>
      <c r="AB291" s="163"/>
      <c r="AC291" s="175"/>
      <c r="AD291" s="22"/>
    </row>
    <row r="292" spans="1:31" s="23" customFormat="1" x14ac:dyDescent="0.3">
      <c r="A292" s="47"/>
      <c r="B292" s="97" t="s">
        <v>100</v>
      </c>
      <c r="C292" s="194"/>
      <c r="D292" s="194"/>
      <c r="E292" s="194"/>
      <c r="F292" s="194"/>
      <c r="G292" s="194"/>
      <c r="H292" s="194"/>
      <c r="I292" s="194"/>
      <c r="J292" s="194"/>
      <c r="K292" s="194"/>
      <c r="L292" s="194"/>
      <c r="M292" s="194"/>
      <c r="N292" s="194"/>
      <c r="O292" s="194"/>
      <c r="P292" s="194"/>
      <c r="Q292" s="194"/>
      <c r="R292" s="194"/>
      <c r="S292" s="194"/>
      <c r="T292" s="194"/>
      <c r="U292" s="194"/>
      <c r="V292" s="194"/>
      <c r="W292" s="194"/>
      <c r="X292" s="97">
        <v>0</v>
      </c>
      <c r="Y292" s="198">
        <f t="shared" si="4"/>
        <v>0</v>
      </c>
      <c r="Z292" s="98">
        <v>0</v>
      </c>
      <c r="AA292" s="198">
        <f t="shared" si="5"/>
        <v>0</v>
      </c>
      <c r="AB292" s="163"/>
      <c r="AC292" s="175"/>
      <c r="AD292" s="22"/>
      <c r="AE292" s="115"/>
    </row>
    <row r="293" spans="1:31" s="23" customFormat="1" x14ac:dyDescent="0.3">
      <c r="A293" s="47"/>
      <c r="B293" s="97" t="s">
        <v>101</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0</v>
      </c>
      <c r="Y293" s="198">
        <f t="shared" si="4"/>
        <v>0</v>
      </c>
      <c r="Z293" s="98">
        <v>0</v>
      </c>
      <c r="AA293" s="198">
        <f t="shared" si="5"/>
        <v>0</v>
      </c>
      <c r="AB293" s="163"/>
      <c r="AC293" s="175"/>
      <c r="AD293" s="22"/>
    </row>
    <row r="294" spans="1:31" s="23" customFormat="1" x14ac:dyDescent="0.3">
      <c r="A294" s="47"/>
      <c r="B294" s="97" t="s">
        <v>102</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4"/>
        <v>0</v>
      </c>
      <c r="Z294" s="98">
        <v>0</v>
      </c>
      <c r="AA294" s="198">
        <f t="shared" si="5"/>
        <v>0</v>
      </c>
      <c r="AB294" s="163"/>
      <c r="AC294" s="175"/>
      <c r="AD294" s="22"/>
      <c r="AE294" s="115"/>
    </row>
    <row r="295" spans="1:31" s="23" customFormat="1" x14ac:dyDescent="0.3">
      <c r="A295" s="47"/>
      <c r="B295" s="97" t="s">
        <v>103</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4</v>
      </c>
      <c r="Y295" s="198">
        <f>X295/$X$298</f>
        <v>1.1315417256011315E-3</v>
      </c>
      <c r="Z295" s="98">
        <v>641</v>
      </c>
      <c r="AA295" s="198">
        <f t="shared" si="5"/>
        <v>9.6596371834246051E-4</v>
      </c>
      <c r="AB295" s="163"/>
      <c r="AC295" s="175"/>
      <c r="AD295" s="22"/>
    </row>
    <row r="296" spans="1:31" s="23" customFormat="1" x14ac:dyDescent="0.3">
      <c r="A296" s="47"/>
      <c r="B296" s="97" t="s">
        <v>104</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4"/>
        <v>0</v>
      </c>
      <c r="Z296" s="98">
        <v>0</v>
      </c>
      <c r="AA296" s="198">
        <f t="shared" si="5"/>
        <v>0</v>
      </c>
      <c r="AB296" s="163"/>
      <c r="AC296" s="175"/>
      <c r="AD296" s="22"/>
      <c r="AE296" s="115"/>
    </row>
    <row r="297" spans="1:31" s="23" customFormat="1" x14ac:dyDescent="0.3">
      <c r="A297" s="47"/>
      <c r="B297" s="97"/>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c r="Y297" s="198"/>
      <c r="Z297" s="98"/>
      <c r="AA297" s="198"/>
      <c r="AB297" s="163"/>
      <c r="AC297" s="175"/>
      <c r="AD297" s="22"/>
    </row>
    <row r="298" spans="1:31" s="23" customFormat="1" x14ac:dyDescent="0.3">
      <c r="A298" s="47"/>
      <c r="B298" s="40" t="s">
        <v>80</v>
      </c>
      <c r="C298" s="40"/>
      <c r="D298" s="204"/>
      <c r="E298" s="204"/>
      <c r="F298" s="204"/>
      <c r="G298" s="204"/>
      <c r="H298" s="204"/>
      <c r="I298" s="204"/>
      <c r="J298" s="204"/>
      <c r="K298" s="204"/>
      <c r="L298" s="204"/>
      <c r="M298" s="204"/>
      <c r="N298" s="204"/>
      <c r="O298" s="204"/>
      <c r="P298" s="204"/>
      <c r="Q298" s="204"/>
      <c r="R298" s="204"/>
      <c r="S298" s="204"/>
      <c r="T298" s="204"/>
      <c r="U298" s="204"/>
      <c r="V298" s="204"/>
      <c r="W298" s="204"/>
      <c r="X298" s="97">
        <f>SUM(X289:X297)</f>
        <v>3535</v>
      </c>
      <c r="Y298" s="198">
        <f>SUM(Y289:Y297)</f>
        <v>1</v>
      </c>
      <c r="Z298" s="98">
        <f>SUM(Z289:Z297)</f>
        <v>663586</v>
      </c>
      <c r="AA298" s="198">
        <f>SUM(AA289:AA297)</f>
        <v>1</v>
      </c>
      <c r="AB298" s="40"/>
      <c r="AC298" s="43"/>
      <c r="AD298" s="22"/>
    </row>
    <row r="299" spans="1:31" x14ac:dyDescent="0.3">
      <c r="A299" s="7"/>
      <c r="B299" s="99"/>
      <c r="C299" s="99"/>
      <c r="D299" s="205"/>
      <c r="E299" s="205"/>
      <c r="F299" s="205"/>
      <c r="G299" s="205"/>
      <c r="H299" s="205"/>
      <c r="I299" s="205"/>
      <c r="J299" s="205"/>
      <c r="K299" s="205"/>
      <c r="L299" s="205"/>
      <c r="M299" s="205"/>
      <c r="N299" s="205"/>
      <c r="O299" s="205"/>
      <c r="P299" s="205"/>
      <c r="Q299" s="205"/>
      <c r="R299" s="205"/>
      <c r="S299" s="205"/>
      <c r="T299" s="205"/>
      <c r="U299" s="205"/>
      <c r="V299" s="205"/>
      <c r="W299" s="205"/>
      <c r="X299" s="100"/>
      <c r="Y299" s="206"/>
      <c r="Z299" s="207"/>
      <c r="AA299" s="206"/>
      <c r="AB299" s="99"/>
      <c r="AC299" s="10"/>
      <c r="AD299" s="5"/>
    </row>
    <row r="300" spans="1:31" x14ac:dyDescent="0.3">
      <c r="A300" s="33"/>
      <c r="B300" s="102" t="s">
        <v>121</v>
      </c>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54" t="s">
        <v>69</v>
      </c>
      <c r="Y300" s="103" t="s">
        <v>70</v>
      </c>
      <c r="Z300" s="154" t="s">
        <v>75</v>
      </c>
      <c r="AA300" s="103" t="s">
        <v>70</v>
      </c>
      <c r="AB300" s="34"/>
      <c r="AC300" s="36"/>
      <c r="AD300" s="5"/>
    </row>
    <row r="301" spans="1:31" s="23" customFormat="1" x14ac:dyDescent="0.3">
      <c r="A301" s="18"/>
      <c r="B301" s="106" t="s">
        <v>59</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06">
        <v>0</v>
      </c>
      <c r="Y301" s="192">
        <v>0</v>
      </c>
      <c r="Z301" s="107">
        <v>0</v>
      </c>
      <c r="AA301" s="192">
        <v>0</v>
      </c>
      <c r="AB301" s="37"/>
      <c r="AC301" s="21"/>
      <c r="AD301" s="22"/>
    </row>
    <row r="302" spans="1:31" s="23" customFormat="1" x14ac:dyDescent="0.3">
      <c r="A302" s="47"/>
      <c r="B302" s="97" t="s">
        <v>60</v>
      </c>
      <c r="C302" s="194"/>
      <c r="D302" s="194"/>
      <c r="E302" s="194"/>
      <c r="F302" s="194"/>
      <c r="G302" s="194"/>
      <c r="H302" s="194"/>
      <c r="I302" s="194"/>
      <c r="J302" s="194"/>
      <c r="K302" s="194"/>
      <c r="L302" s="194"/>
      <c r="M302" s="194"/>
      <c r="N302" s="194"/>
      <c r="O302" s="194"/>
      <c r="P302" s="194"/>
      <c r="Q302" s="194"/>
      <c r="R302" s="194"/>
      <c r="S302" s="194"/>
      <c r="T302" s="194"/>
      <c r="U302" s="194"/>
      <c r="V302" s="194"/>
      <c r="W302" s="194"/>
      <c r="X302" s="97">
        <v>0</v>
      </c>
      <c r="Y302" s="198">
        <v>0</v>
      </c>
      <c r="Z302" s="98">
        <v>0</v>
      </c>
      <c r="AA302" s="198">
        <v>0</v>
      </c>
      <c r="AB302" s="40"/>
      <c r="AC302" s="43"/>
      <c r="AD302" s="22"/>
    </row>
    <row r="303" spans="1:31" s="23" customFormat="1" x14ac:dyDescent="0.3">
      <c r="A303" s="47"/>
      <c r="B303" s="97" t="s">
        <v>61</v>
      </c>
      <c r="C303" s="194"/>
      <c r="D303" s="194"/>
      <c r="E303" s="194"/>
      <c r="F303" s="194"/>
      <c r="G303" s="194"/>
      <c r="H303" s="194"/>
      <c r="I303" s="194"/>
      <c r="J303" s="194"/>
      <c r="K303" s="194"/>
      <c r="L303" s="194"/>
      <c r="M303" s="194"/>
      <c r="N303" s="194"/>
      <c r="O303" s="194"/>
      <c r="P303" s="194"/>
      <c r="Q303" s="194"/>
      <c r="R303" s="194"/>
      <c r="S303" s="194"/>
      <c r="T303" s="194"/>
      <c r="U303" s="194"/>
      <c r="V303" s="194"/>
      <c r="W303" s="194"/>
      <c r="X303" s="97">
        <v>0</v>
      </c>
      <c r="Y303" s="198">
        <v>0</v>
      </c>
      <c r="Z303" s="98">
        <v>0</v>
      </c>
      <c r="AA303" s="198">
        <v>0</v>
      </c>
      <c r="AB303" s="40"/>
      <c r="AC303" s="43"/>
      <c r="AD303" s="22"/>
    </row>
    <row r="304" spans="1:31" s="23" customFormat="1" x14ac:dyDescent="0.3">
      <c r="A304" s="47"/>
      <c r="B304" s="97" t="s">
        <v>100</v>
      </c>
      <c r="C304" s="194"/>
      <c r="D304" s="194"/>
      <c r="E304" s="194"/>
      <c r="F304" s="194"/>
      <c r="G304" s="194"/>
      <c r="H304" s="194"/>
      <c r="I304" s="194"/>
      <c r="J304" s="194"/>
      <c r="K304" s="194"/>
      <c r="L304" s="194"/>
      <c r="M304" s="194"/>
      <c r="N304" s="194"/>
      <c r="O304" s="194"/>
      <c r="P304" s="194"/>
      <c r="Q304" s="194"/>
      <c r="R304" s="194"/>
      <c r="S304" s="194"/>
      <c r="T304" s="194"/>
      <c r="U304" s="194"/>
      <c r="V304" s="194"/>
      <c r="W304" s="194"/>
      <c r="X304" s="97">
        <v>0</v>
      </c>
      <c r="Y304" s="198">
        <v>0</v>
      </c>
      <c r="Z304" s="98">
        <v>0</v>
      </c>
      <c r="AA304" s="198">
        <v>0</v>
      </c>
      <c r="AB304" s="40"/>
      <c r="AC304" s="43"/>
      <c r="AD304" s="22"/>
    </row>
    <row r="305" spans="1:30" s="23" customFormat="1" x14ac:dyDescent="0.3">
      <c r="A305" s="47"/>
      <c r="B305" s="97" t="s">
        <v>101</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102</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103</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104</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c r="Y309" s="198"/>
      <c r="Z309" s="98"/>
      <c r="AA309" s="198"/>
      <c r="AB309" s="40"/>
      <c r="AC309" s="43"/>
      <c r="AD309" s="22"/>
    </row>
    <row r="310" spans="1:30" s="23" customFormat="1" x14ac:dyDescent="0.3">
      <c r="A310" s="47"/>
      <c r="B310" s="40" t="s">
        <v>80</v>
      </c>
      <c r="C310" s="40"/>
      <c r="D310" s="204"/>
      <c r="E310" s="204"/>
      <c r="F310" s="204"/>
      <c r="G310" s="204"/>
      <c r="H310" s="204"/>
      <c r="I310" s="204"/>
      <c r="J310" s="204"/>
      <c r="K310" s="204"/>
      <c r="L310" s="204"/>
      <c r="M310" s="204"/>
      <c r="N310" s="204"/>
      <c r="O310" s="204"/>
      <c r="P310" s="204"/>
      <c r="Q310" s="204"/>
      <c r="R310" s="204"/>
      <c r="S310" s="204"/>
      <c r="T310" s="204"/>
      <c r="U310" s="204"/>
      <c r="V310" s="204"/>
      <c r="W310" s="204"/>
      <c r="X310" s="97">
        <f>SUM(X301:X309)</f>
        <v>0</v>
      </c>
      <c r="Y310" s="198">
        <f>SUM(Y301:Y309)</f>
        <v>0</v>
      </c>
      <c r="Z310" s="98">
        <f>SUM(Z301:Z309)</f>
        <v>0</v>
      </c>
      <c r="AA310" s="198">
        <f>SUM(AA301:AA309)</f>
        <v>0</v>
      </c>
      <c r="AB310" s="40"/>
      <c r="AC310" s="43"/>
      <c r="AD310" s="22"/>
    </row>
    <row r="311" spans="1:30" s="23" customFormat="1" x14ac:dyDescent="0.3">
      <c r="A311" s="47"/>
      <c r="B311" s="40"/>
      <c r="C311" s="40"/>
      <c r="D311" s="204"/>
      <c r="E311" s="204"/>
      <c r="F311" s="204"/>
      <c r="G311" s="204"/>
      <c r="H311" s="204"/>
      <c r="I311" s="204"/>
      <c r="J311" s="204"/>
      <c r="K311" s="204"/>
      <c r="L311" s="204"/>
      <c r="M311" s="204"/>
      <c r="N311" s="204"/>
      <c r="O311" s="204"/>
      <c r="P311" s="204"/>
      <c r="Q311" s="204"/>
      <c r="R311" s="204"/>
      <c r="S311" s="204"/>
      <c r="T311" s="204"/>
      <c r="U311" s="204"/>
      <c r="V311" s="204"/>
      <c r="W311" s="204"/>
      <c r="X311" s="97"/>
      <c r="Y311" s="198"/>
      <c r="Z311" s="98"/>
      <c r="AA311" s="198"/>
      <c r="AB311" s="40"/>
      <c r="AC311" s="43"/>
      <c r="AD311" s="22"/>
    </row>
    <row r="312" spans="1:30" s="23" customFormat="1" x14ac:dyDescent="0.3">
      <c r="A312" s="242"/>
      <c r="B312" s="243" t="s">
        <v>299</v>
      </c>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62" t="s">
        <v>69</v>
      </c>
      <c r="Y312" s="263" t="s">
        <v>70</v>
      </c>
      <c r="Z312" s="262" t="s">
        <v>75</v>
      </c>
      <c r="AA312" s="263" t="s">
        <v>70</v>
      </c>
      <c r="AB312" s="243"/>
      <c r="AC312" s="243"/>
      <c r="AD312" s="22"/>
    </row>
    <row r="313" spans="1:30" s="23" customFormat="1" x14ac:dyDescent="0.3">
      <c r="A313" s="272"/>
      <c r="B313" s="273" t="s">
        <v>295</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275">
        <v>0</v>
      </c>
      <c r="Y313" s="276">
        <v>0</v>
      </c>
      <c r="Z313" s="277">
        <v>0</v>
      </c>
      <c r="AA313" s="276">
        <v>0</v>
      </c>
      <c r="AB313" s="40"/>
      <c r="AC313" s="43"/>
      <c r="AD313" s="22"/>
    </row>
    <row r="314" spans="1:30" s="23" customFormat="1" x14ac:dyDescent="0.3">
      <c r="A314" s="272"/>
      <c r="B314" s="273" t="s">
        <v>296</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275">
        <v>0</v>
      </c>
      <c r="Y314" s="276">
        <v>0</v>
      </c>
      <c r="Z314" s="277">
        <v>0</v>
      </c>
      <c r="AA314" s="276">
        <v>0</v>
      </c>
      <c r="AB314" s="40"/>
      <c r="AC314" s="43"/>
      <c r="AD314" s="22"/>
    </row>
    <row r="315" spans="1:30" s="23" customFormat="1" x14ac:dyDescent="0.3">
      <c r="A315" s="272"/>
      <c r="B315" s="273" t="s">
        <v>297</v>
      </c>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275">
        <v>0</v>
      </c>
      <c r="Y315" s="276">
        <v>0</v>
      </c>
      <c r="Z315" s="277">
        <v>0</v>
      </c>
      <c r="AA315" s="276">
        <v>0</v>
      </c>
      <c r="AB315" s="40"/>
      <c r="AC315" s="43"/>
      <c r="AD315" s="22"/>
    </row>
    <row r="316" spans="1:30" s="23" customFormat="1" x14ac:dyDescent="0.3">
      <c r="A316" s="272"/>
      <c r="B316" s="273" t="s">
        <v>298</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5">
        <v>0</v>
      </c>
      <c r="Y316" s="276">
        <v>0</v>
      </c>
      <c r="Z316" s="277">
        <v>0</v>
      </c>
      <c r="AA316" s="276">
        <v>0</v>
      </c>
      <c r="AB316" s="40"/>
      <c r="AC316" s="43"/>
      <c r="AD316" s="22"/>
    </row>
    <row r="317" spans="1:30" s="23" customFormat="1" x14ac:dyDescent="0.3">
      <c r="A317" s="272"/>
      <c r="B317" s="273" t="s">
        <v>368</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5">
        <v>0</v>
      </c>
      <c r="Y317" s="276">
        <v>0</v>
      </c>
      <c r="Z317" s="277">
        <v>0</v>
      </c>
      <c r="AA317" s="276">
        <v>0</v>
      </c>
      <c r="AB317" s="40"/>
      <c r="AC317" s="43"/>
      <c r="AD317" s="22"/>
    </row>
    <row r="318" spans="1:30" s="23" customFormat="1" x14ac:dyDescent="0.3">
      <c r="A318" s="272"/>
      <c r="B318" s="274" t="s">
        <v>300</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5">
        <v>0</v>
      </c>
      <c r="Y318" s="276">
        <v>0</v>
      </c>
      <c r="Z318" s="277">
        <v>0</v>
      </c>
      <c r="AA318" s="276">
        <v>0</v>
      </c>
      <c r="AB318" s="40"/>
      <c r="AC318" s="43"/>
      <c r="AD318" s="22"/>
    </row>
    <row r="319" spans="1:30" s="23" customFormat="1" x14ac:dyDescent="0.3">
      <c r="A319" s="272"/>
      <c r="B319" s="273"/>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5"/>
      <c r="Y319" s="276"/>
      <c r="Z319" s="277"/>
      <c r="AA319" s="276"/>
      <c r="AB319" s="40"/>
      <c r="AC319" s="43"/>
      <c r="AD319" s="22"/>
    </row>
    <row r="320" spans="1:30" s="23" customFormat="1" x14ac:dyDescent="0.3">
      <c r="A320" s="272"/>
      <c r="B320" s="273" t="s">
        <v>80</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5">
        <f>SUM(X313:X319)</f>
        <v>0</v>
      </c>
      <c r="Y320" s="276">
        <f>SUM(Y313:Y318)</f>
        <v>0</v>
      </c>
      <c r="Z320" s="277">
        <f>SUM(Z313:Z318)</f>
        <v>0</v>
      </c>
      <c r="AA320" s="276">
        <f>SUM(AA313:AA319)</f>
        <v>0</v>
      </c>
      <c r="AB320" s="40"/>
      <c r="AC320" s="43"/>
      <c r="AD320" s="22"/>
    </row>
    <row r="321" spans="1:30" x14ac:dyDescent="0.3">
      <c r="A321" s="7"/>
      <c r="B321" s="99"/>
      <c r="C321" s="99"/>
      <c r="D321" s="205"/>
      <c r="E321" s="205"/>
      <c r="F321" s="205"/>
      <c r="G321" s="205"/>
      <c r="H321" s="205"/>
      <c r="I321" s="205"/>
      <c r="J321" s="205"/>
      <c r="K321" s="205"/>
      <c r="L321" s="205"/>
      <c r="M321" s="205"/>
      <c r="N321" s="205"/>
      <c r="O321" s="205"/>
      <c r="P321" s="205"/>
      <c r="Q321" s="205"/>
      <c r="R321" s="205"/>
      <c r="S321" s="205"/>
      <c r="T321" s="205"/>
      <c r="U321" s="205"/>
      <c r="V321" s="205"/>
      <c r="W321" s="205"/>
      <c r="X321" s="100"/>
      <c r="Y321" s="206"/>
      <c r="Z321" s="207"/>
      <c r="AA321" s="206"/>
      <c r="AB321" s="99"/>
      <c r="AC321" s="10"/>
      <c r="AD321" s="5"/>
    </row>
    <row r="322" spans="1:30" x14ac:dyDescent="0.3">
      <c r="A322" s="33"/>
      <c r="B322" s="102" t="s">
        <v>106</v>
      </c>
      <c r="C322" s="34"/>
      <c r="D322" s="208"/>
      <c r="E322" s="208"/>
      <c r="F322" s="208"/>
      <c r="G322" s="208"/>
      <c r="H322" s="208"/>
      <c r="I322" s="208"/>
      <c r="J322" s="208"/>
      <c r="K322" s="208"/>
      <c r="L322" s="208"/>
      <c r="M322" s="208"/>
      <c r="N322" s="208"/>
      <c r="O322" s="208"/>
      <c r="P322" s="208"/>
      <c r="Q322" s="208"/>
      <c r="R322" s="208"/>
      <c r="S322" s="208"/>
      <c r="T322" s="208"/>
      <c r="U322" s="208"/>
      <c r="V322" s="208"/>
      <c r="W322" s="208"/>
      <c r="X322" s="154" t="s">
        <v>69</v>
      </c>
      <c r="Y322" s="103" t="s">
        <v>70</v>
      </c>
      <c r="Z322" s="154" t="s">
        <v>75</v>
      </c>
      <c r="AA322" s="103" t="s">
        <v>70</v>
      </c>
      <c r="AB322" s="34"/>
      <c r="AC322" s="36"/>
      <c r="AD322" s="5"/>
    </row>
    <row r="323" spans="1:30" s="23" customFormat="1" x14ac:dyDescent="0.3">
      <c r="A323" s="18"/>
      <c r="B323" s="106" t="s">
        <v>59</v>
      </c>
      <c r="C323" s="37"/>
      <c r="D323" s="209"/>
      <c r="E323" s="209"/>
      <c r="F323" s="209"/>
      <c r="G323" s="209"/>
      <c r="H323" s="209"/>
      <c r="I323" s="209"/>
      <c r="J323" s="209"/>
      <c r="K323" s="209"/>
      <c r="L323" s="209"/>
      <c r="M323" s="209"/>
      <c r="N323" s="209"/>
      <c r="O323" s="209"/>
      <c r="P323" s="209"/>
      <c r="Q323" s="209"/>
      <c r="R323" s="209"/>
      <c r="S323" s="209"/>
      <c r="T323" s="209"/>
      <c r="U323" s="209"/>
      <c r="V323" s="209"/>
      <c r="W323" s="209"/>
      <c r="X323" s="106">
        <v>0</v>
      </c>
      <c r="Y323" s="192">
        <v>0</v>
      </c>
      <c r="Z323" s="107">
        <v>0</v>
      </c>
      <c r="AA323" s="192">
        <v>0</v>
      </c>
      <c r="AB323" s="37"/>
      <c r="AC323" s="21"/>
      <c r="AD323" s="22"/>
    </row>
    <row r="324" spans="1:30" s="23" customFormat="1" x14ac:dyDescent="0.3">
      <c r="A324" s="47"/>
      <c r="B324" s="97" t="s">
        <v>60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97">
        <v>0</v>
      </c>
      <c r="Y324" s="198">
        <v>0</v>
      </c>
      <c r="Z324" s="98">
        <v>0</v>
      </c>
      <c r="AA324" s="198">
        <v>0</v>
      </c>
      <c r="AB324" s="40"/>
      <c r="AC324" s="43"/>
      <c r="AD324" s="22"/>
    </row>
    <row r="325" spans="1:30" s="23" customFormat="1" x14ac:dyDescent="0.3">
      <c r="A325" s="47"/>
      <c r="B325" s="97" t="s">
        <v>61</v>
      </c>
      <c r="C325" s="40"/>
      <c r="D325" s="204"/>
      <c r="E325" s="204"/>
      <c r="F325" s="204"/>
      <c r="G325" s="204"/>
      <c r="H325" s="204"/>
      <c r="I325" s="204"/>
      <c r="J325" s="204"/>
      <c r="K325" s="204"/>
      <c r="L325" s="204"/>
      <c r="M325" s="204"/>
      <c r="N325" s="204"/>
      <c r="O325" s="204"/>
      <c r="P325" s="204"/>
      <c r="Q325" s="204"/>
      <c r="R325" s="204"/>
      <c r="S325" s="204"/>
      <c r="T325" s="204"/>
      <c r="U325" s="204"/>
      <c r="V325" s="204"/>
      <c r="W325" s="204"/>
      <c r="X325" s="97">
        <v>0</v>
      </c>
      <c r="Y325" s="198">
        <v>0</v>
      </c>
      <c r="Z325" s="98">
        <v>0</v>
      </c>
      <c r="AA325" s="198">
        <v>0</v>
      </c>
      <c r="AB325" s="40"/>
      <c r="AC325" s="43"/>
      <c r="AD325" s="22"/>
    </row>
    <row r="326" spans="1:30" s="23" customFormat="1" x14ac:dyDescent="0.3">
      <c r="A326" s="47"/>
      <c r="B326" s="97" t="s">
        <v>100</v>
      </c>
      <c r="C326" s="40"/>
      <c r="D326" s="204"/>
      <c r="E326" s="204"/>
      <c r="F326" s="204"/>
      <c r="G326" s="204"/>
      <c r="H326" s="204"/>
      <c r="I326" s="204"/>
      <c r="J326" s="204"/>
      <c r="K326" s="204"/>
      <c r="L326" s="204"/>
      <c r="M326" s="204"/>
      <c r="N326" s="204"/>
      <c r="O326" s="204"/>
      <c r="P326" s="204"/>
      <c r="Q326" s="204"/>
      <c r="R326" s="204"/>
      <c r="S326" s="204"/>
      <c r="T326" s="204"/>
      <c r="U326" s="204"/>
      <c r="V326" s="204"/>
      <c r="W326" s="204"/>
      <c r="X326" s="97">
        <v>0</v>
      </c>
      <c r="Y326" s="198">
        <v>0</v>
      </c>
      <c r="Z326" s="98">
        <v>0</v>
      </c>
      <c r="AA326" s="198">
        <v>0</v>
      </c>
      <c r="AB326" s="40"/>
      <c r="AC326" s="43"/>
      <c r="AD326" s="22"/>
    </row>
    <row r="327" spans="1:30" s="23" customFormat="1" x14ac:dyDescent="0.3">
      <c r="A327" s="47"/>
      <c r="B327" s="97" t="s">
        <v>101</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102</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103</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104</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c r="Y331" s="198"/>
      <c r="Z331" s="98"/>
      <c r="AA331" s="198"/>
      <c r="AB331" s="40"/>
      <c r="AC331" s="43"/>
      <c r="AD331" s="22"/>
    </row>
    <row r="332" spans="1:30" s="23" customFormat="1" x14ac:dyDescent="0.3">
      <c r="A332" s="47"/>
      <c r="B332" s="40" t="s">
        <v>80</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f>SUM(X323:X330)</f>
        <v>0</v>
      </c>
      <c r="Y332" s="198">
        <f>SUM(Y323:Y330)</f>
        <v>0</v>
      </c>
      <c r="Z332" s="98">
        <f>SUM(Z323:Z330)</f>
        <v>0</v>
      </c>
      <c r="AA332" s="198">
        <f>SUM(AA323:AA330)</f>
        <v>0</v>
      </c>
      <c r="AB332" s="40"/>
      <c r="AC332" s="43"/>
      <c r="AD332" s="22"/>
    </row>
    <row r="333" spans="1:30" s="23" customFormat="1" x14ac:dyDescent="0.3">
      <c r="A333" s="47"/>
      <c r="B333" s="40"/>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c r="Y333" s="198"/>
      <c r="Z333" s="98"/>
      <c r="AA333" s="198"/>
      <c r="AB333" s="40"/>
      <c r="AC333" s="43"/>
      <c r="AD333" s="22"/>
    </row>
    <row r="334" spans="1:30" s="23" customFormat="1" x14ac:dyDescent="0.3">
      <c r="A334" s="47"/>
      <c r="B334" s="44" t="s">
        <v>139</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210">
        <f>X332+X310+X298</f>
        <v>3535</v>
      </c>
      <c r="Y334" s="198"/>
      <c r="Z334" s="211">
        <f>+Z332+Z310+Z298</f>
        <v>663586</v>
      </c>
      <c r="AA334" s="198"/>
      <c r="AB334" s="40"/>
      <c r="AC334" s="43"/>
      <c r="AD334" s="22"/>
    </row>
    <row r="335" spans="1:30" s="23" customFormat="1" x14ac:dyDescent="0.3">
      <c r="A335" s="47"/>
      <c r="B335" s="44" t="s">
        <v>280</v>
      </c>
      <c r="C335" s="44"/>
      <c r="D335" s="212"/>
      <c r="E335" s="212"/>
      <c r="F335" s="212"/>
      <c r="G335" s="212"/>
      <c r="H335" s="212"/>
      <c r="I335" s="212"/>
      <c r="J335" s="212"/>
      <c r="K335" s="212"/>
      <c r="L335" s="212"/>
      <c r="M335" s="212"/>
      <c r="N335" s="212"/>
      <c r="O335" s="212"/>
      <c r="P335" s="212"/>
      <c r="Q335" s="212"/>
      <c r="R335" s="212"/>
      <c r="S335" s="212"/>
      <c r="T335" s="212"/>
      <c r="U335" s="212"/>
      <c r="V335" s="212"/>
      <c r="W335" s="212"/>
      <c r="X335" s="210"/>
      <c r="Y335" s="213"/>
      <c r="Z335" s="211">
        <f>+AB64+AB63</f>
        <v>3</v>
      </c>
      <c r="AA335" s="198"/>
      <c r="AB335" s="40"/>
      <c r="AC335" s="43"/>
      <c r="AD335" s="22"/>
    </row>
    <row r="336" spans="1:30" s="23" customFormat="1" x14ac:dyDescent="0.3">
      <c r="A336" s="47"/>
      <c r="B336" s="44" t="s">
        <v>107</v>
      </c>
      <c r="C336" s="44"/>
      <c r="D336" s="212"/>
      <c r="E336" s="212"/>
      <c r="F336" s="212"/>
      <c r="G336" s="212"/>
      <c r="H336" s="212"/>
      <c r="I336" s="212"/>
      <c r="J336" s="212"/>
      <c r="K336" s="212"/>
      <c r="L336" s="212"/>
      <c r="M336" s="212"/>
      <c r="N336" s="212"/>
      <c r="O336" s="212"/>
      <c r="P336" s="212"/>
      <c r="Q336" s="212"/>
      <c r="R336" s="212"/>
      <c r="S336" s="212"/>
      <c r="T336" s="212"/>
      <c r="U336" s="212"/>
      <c r="V336" s="212"/>
      <c r="W336" s="212"/>
      <c r="X336" s="210"/>
      <c r="Y336" s="213"/>
      <c r="Z336" s="211">
        <f>+Z334+Z335</f>
        <v>663589</v>
      </c>
      <c r="AA336" s="198"/>
      <c r="AB336" s="40"/>
      <c r="AC336" s="43"/>
      <c r="AD336" s="22"/>
    </row>
    <row r="337" spans="1:30" s="23" customFormat="1" x14ac:dyDescent="0.3">
      <c r="A337" s="47"/>
      <c r="B337" s="44" t="s">
        <v>245</v>
      </c>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210"/>
      <c r="Y337" s="198"/>
      <c r="Z337" s="211">
        <f>+AB66</f>
        <v>663589</v>
      </c>
      <c r="AA337" s="198"/>
      <c r="AB337" s="40"/>
      <c r="AC337" s="43"/>
      <c r="AD337" s="22"/>
    </row>
    <row r="338" spans="1:30" s="23" customFormat="1" x14ac:dyDescent="0.3">
      <c r="A338" s="47"/>
      <c r="B338" s="44"/>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c r="Y338" s="198"/>
      <c r="Z338" s="211"/>
      <c r="AA338" s="198"/>
      <c r="AB338" s="40"/>
      <c r="AC338" s="43"/>
      <c r="AD338" s="22"/>
    </row>
    <row r="339" spans="1:30" s="23" customFormat="1" x14ac:dyDescent="0.3">
      <c r="A339" s="47"/>
      <c r="B339" s="44" t="s">
        <v>327</v>
      </c>
      <c r="C339" s="40"/>
      <c r="D339" s="204"/>
      <c r="E339" s="204"/>
      <c r="F339" s="204"/>
      <c r="G339" s="204"/>
      <c r="H339" s="204"/>
      <c r="I339" s="204"/>
      <c r="J339" s="204"/>
      <c r="K339" s="204"/>
      <c r="L339" s="204"/>
      <c r="M339" s="204"/>
      <c r="N339" s="204"/>
      <c r="O339" s="204"/>
      <c r="P339" s="204"/>
      <c r="Q339" s="204"/>
      <c r="R339" s="204"/>
      <c r="S339" s="204"/>
      <c r="T339" s="204"/>
      <c r="U339" s="204"/>
      <c r="V339" s="204"/>
      <c r="W339" s="204"/>
      <c r="X339" s="210"/>
      <c r="Y339" s="198"/>
      <c r="Z339" s="236">
        <f>(F31+H31+J31+L31+N31)/AB31</f>
        <v>1</v>
      </c>
      <c r="AA339" s="198"/>
      <c r="AB339" s="40"/>
      <c r="AC339" s="43"/>
      <c r="AD339" s="22"/>
    </row>
    <row r="340" spans="1:30" s="23" customFormat="1" x14ac:dyDescent="0.3">
      <c r="A340" s="18"/>
      <c r="B340" s="20"/>
      <c r="C340" s="20"/>
      <c r="D340" s="214"/>
      <c r="E340" s="214"/>
      <c r="F340" s="214"/>
      <c r="G340" s="214"/>
      <c r="H340" s="214"/>
      <c r="I340" s="214"/>
      <c r="J340" s="214"/>
      <c r="K340" s="214"/>
      <c r="L340" s="214"/>
      <c r="M340" s="214"/>
      <c r="N340" s="214"/>
      <c r="O340" s="214"/>
      <c r="P340" s="214"/>
      <c r="Q340" s="214"/>
      <c r="R340" s="214"/>
      <c r="S340" s="214"/>
      <c r="T340" s="214"/>
      <c r="U340" s="214"/>
      <c r="V340" s="214"/>
      <c r="W340" s="214"/>
      <c r="X340" s="214"/>
      <c r="Y340" s="214"/>
      <c r="Z340" s="215"/>
      <c r="AA340" s="214"/>
      <c r="AB340" s="20"/>
      <c r="AC340" s="21"/>
      <c r="AD340" s="22"/>
    </row>
    <row r="341" spans="1:30" s="23" customFormat="1" x14ac:dyDescent="0.3">
      <c r="A341" s="18"/>
      <c r="B341" s="19" t="s">
        <v>62</v>
      </c>
      <c r="C341" s="20"/>
      <c r="D341" s="216" t="s">
        <v>66</v>
      </c>
      <c r="E341" s="19"/>
      <c r="F341" s="19" t="s">
        <v>67</v>
      </c>
      <c r="G341" s="20"/>
      <c r="H341" s="19"/>
      <c r="I341" s="20"/>
      <c r="J341" s="20"/>
      <c r="K341" s="20"/>
      <c r="L341" s="20"/>
      <c r="M341" s="20"/>
      <c r="N341" s="20"/>
      <c r="O341" s="20"/>
      <c r="P341" s="20"/>
      <c r="Q341" s="20"/>
      <c r="R341" s="20"/>
      <c r="S341" s="20"/>
      <c r="T341" s="20"/>
      <c r="U341" s="20"/>
      <c r="V341" s="20"/>
      <c r="W341" s="20"/>
      <c r="X341" s="20"/>
      <c r="Y341" s="20"/>
      <c r="Z341" s="20"/>
      <c r="AA341" s="20"/>
      <c r="AB341" s="20"/>
      <c r="AC341" s="21"/>
      <c r="AD341" s="22"/>
    </row>
    <row r="342" spans="1:30" s="23" customFormat="1" x14ac:dyDescent="0.3">
      <c r="A342" s="18"/>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1"/>
      <c r="AD342" s="22"/>
    </row>
    <row r="343" spans="1:30" s="23" customFormat="1" x14ac:dyDescent="0.3">
      <c r="A343" s="18"/>
      <c r="B343" s="19" t="s">
        <v>152</v>
      </c>
      <c r="C343" s="19"/>
      <c r="D343" s="217" t="s">
        <v>122</v>
      </c>
      <c r="E343" s="19"/>
      <c r="F343" s="19" t="s">
        <v>169</v>
      </c>
      <c r="G343" s="19"/>
      <c r="H343" s="19"/>
      <c r="I343" s="20"/>
      <c r="J343" s="20"/>
      <c r="K343" s="20"/>
      <c r="L343" s="20"/>
      <c r="M343" s="20"/>
      <c r="N343" s="20"/>
      <c r="O343" s="20"/>
      <c r="P343" s="20"/>
      <c r="Q343" s="20"/>
      <c r="R343" s="20"/>
      <c r="S343" s="20"/>
      <c r="T343" s="20"/>
      <c r="U343" s="20"/>
      <c r="V343" s="20"/>
      <c r="W343" s="20"/>
      <c r="X343" s="20"/>
      <c r="Y343" s="20"/>
      <c r="Z343" s="20"/>
      <c r="AA343" s="20"/>
      <c r="AB343" s="20"/>
      <c r="AC343" s="21"/>
      <c r="AD343" s="22"/>
    </row>
    <row r="344" spans="1:30" s="23" customFormat="1" x14ac:dyDescent="0.3">
      <c r="A344" s="18"/>
      <c r="B344" s="19" t="s">
        <v>153</v>
      </c>
      <c r="C344" s="19"/>
      <c r="D344" s="217" t="s">
        <v>98</v>
      </c>
      <c r="E344" s="19"/>
      <c r="F344" s="19" t="s">
        <v>170</v>
      </c>
      <c r="G344" s="19"/>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s="23" customFormat="1" x14ac:dyDescent="0.3">
      <c r="A345" s="18"/>
      <c r="B345" s="19"/>
      <c r="C345" s="19"/>
      <c r="D345" s="217"/>
      <c r="E345" s="19"/>
      <c r="F345" s="19"/>
      <c r="G345" s="19"/>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ht="18" x14ac:dyDescent="0.35">
      <c r="A346" s="218"/>
      <c r="B346" s="259" t="s">
        <v>109</v>
      </c>
      <c r="C346" s="219"/>
      <c r="D346" s="220"/>
      <c r="E346" s="220"/>
      <c r="F346" s="220"/>
      <c r="G346" s="220"/>
      <c r="H346" s="220"/>
      <c r="I346" s="220"/>
      <c r="J346" s="220"/>
      <c r="K346" s="220"/>
      <c r="L346" s="220"/>
      <c r="M346" s="220"/>
      <c r="N346" s="220"/>
      <c r="O346" s="220"/>
      <c r="P346" s="260" t="s">
        <v>168</v>
      </c>
      <c r="Q346" s="220"/>
      <c r="R346" s="220"/>
      <c r="S346" s="220"/>
      <c r="T346" s="220"/>
      <c r="U346" s="220"/>
      <c r="V346" s="220"/>
      <c r="W346" s="220"/>
      <c r="X346" s="220"/>
      <c r="Y346" s="220"/>
      <c r="Z346" s="220"/>
      <c r="AA346" s="220"/>
      <c r="AB346" s="220"/>
      <c r="AC346" s="221"/>
      <c r="AD346" s="5"/>
    </row>
    <row r="347" spans="1:30" ht="18" x14ac:dyDescent="0.35">
      <c r="A347" s="218"/>
      <c r="B347" s="259"/>
      <c r="C347" s="219"/>
      <c r="D347" s="220"/>
      <c r="E347" s="220"/>
      <c r="F347" s="220"/>
      <c r="G347" s="220"/>
      <c r="H347" s="220"/>
      <c r="I347" s="220"/>
      <c r="J347" s="220"/>
      <c r="K347" s="220"/>
      <c r="L347" s="220"/>
      <c r="M347" s="220"/>
      <c r="N347" s="220"/>
      <c r="O347" s="220"/>
      <c r="P347" s="260"/>
      <c r="Q347" s="220"/>
      <c r="R347" s="220"/>
      <c r="S347" s="220"/>
      <c r="T347" s="220"/>
      <c r="U347" s="220"/>
      <c r="V347" s="220"/>
      <c r="W347" s="220"/>
      <c r="X347" s="220"/>
      <c r="Y347" s="220"/>
      <c r="Z347" s="220"/>
      <c r="AA347" s="220"/>
      <c r="AB347" s="220"/>
      <c r="AC347" s="221"/>
      <c r="AD347" s="5"/>
    </row>
    <row r="348" spans="1:30" ht="18.600000000000001" thickBot="1" x14ac:dyDescent="0.4">
      <c r="A348" s="218"/>
      <c r="B348" s="222" t="str">
        <f>B234</f>
        <v>PM27 INVESTOR REPORT QUARTER ENDING SEPTEMBER 2022</v>
      </c>
      <c r="C348" s="219"/>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c r="AA348" s="220"/>
      <c r="AB348" s="220"/>
      <c r="AC348" s="223"/>
      <c r="AD348" s="5"/>
    </row>
    <row r="349" spans="1:30" x14ac:dyDescent="0.3">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c r="Y349" s="224"/>
      <c r="Z349" s="224"/>
      <c r="AA349" s="224"/>
      <c r="AB349" s="224"/>
      <c r="AC349" s="224"/>
    </row>
    <row r="350" spans="1:30" x14ac:dyDescent="0.3">
      <c r="B350" s="278" t="s">
        <v>351</v>
      </c>
    </row>
    <row r="351" spans="1:30" x14ac:dyDescent="0.3">
      <c r="B351" s="270" t="s">
        <v>352</v>
      </c>
    </row>
    <row r="352" spans="1:30" x14ac:dyDescent="0.3">
      <c r="B352" s="298" t="s">
        <v>353</v>
      </c>
    </row>
  </sheetData>
  <hyperlinks>
    <hyperlink ref="K9" r:id="rId1" display="http://www.paragon-group.co.uk" xr:uid="{003758E3-4B16-479C-A8E3-EB8B01BAB7B9}"/>
    <hyperlink ref="P346" r:id="rId2" xr:uid="{D808B9CF-B332-43FB-8999-B58F2AC7D1C6}"/>
    <hyperlink ref="P274" r:id="rId3" xr:uid="{4601CE6B-D2AD-46F5-867F-4806E482CE5D}"/>
    <hyperlink ref="B352" r:id="rId4" display="https://investorreporting.paragonbankinggroup.co.uk/bondinvestor_viewer/resources/bondinvestor/pdf/investornews/2021/libor-mortgages-transition-july-19" xr:uid="{41A3CE7E-AFE4-458C-A056-F7A3351DAA3B}"/>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1" max="18" man="1"/>
    <brk id="234" max="18" man="1"/>
  </rowBreaks>
  <colBreaks count="1" manualBreakCount="1">
    <brk id="29" max="299" man="1"/>
  </colBreaks>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A0AAB-F293-4A42-8F6C-0F713786DE06}">
  <sheetPr>
    <tabColor rgb="FF89CB31"/>
  </sheetPr>
  <dimension ref="A1:JB355"/>
  <sheetViews>
    <sheetView showGridLines="0" showOutlineSymbols="0" zoomScale="70" zoomScaleNormal="70" workbookViewId="0"/>
  </sheetViews>
  <sheetFormatPr defaultColWidth="9.81640625" defaultRowHeight="15.6" x14ac:dyDescent="0.3"/>
  <cols>
    <col min="1" max="1" width="4" style="6" customWidth="1"/>
    <col min="2" max="2" width="71.08984375" style="6" customWidth="1"/>
    <col min="3" max="3" width="2.08984375" style="6" customWidth="1"/>
    <col min="4" max="4" width="16.08984375" style="6" customWidth="1"/>
    <col min="5" max="5" width="2.81640625" style="6" customWidth="1"/>
    <col min="6" max="6" width="16.08984375" style="6" customWidth="1"/>
    <col min="7" max="7" width="2.08984375" style="6" customWidth="1"/>
    <col min="8" max="8" width="17.81640625" style="6" customWidth="1"/>
    <col min="9" max="9" width="2.08984375" style="6" customWidth="1"/>
    <col min="10" max="10" width="14.8164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302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168</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301</v>
      </c>
      <c r="AC14" s="21"/>
      <c r="AD14" s="22"/>
    </row>
    <row r="15" spans="1:30" s="23" customFormat="1" x14ac:dyDescent="0.3">
      <c r="A15" s="18"/>
      <c r="B15" s="19" t="s">
        <v>278</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323</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3.6400000000000002E-2</v>
      </c>
      <c r="Z16" s="29" t="s">
        <v>264</v>
      </c>
      <c r="AA16" s="29">
        <v>0.96360000000000001</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3.0049285730812308E-2</v>
      </c>
      <c r="Z17" s="29" t="s">
        <v>264</v>
      </c>
      <c r="AA17" s="29">
        <v>0.96995071426918766</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6">
        <v>43951</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44946</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304</v>
      </c>
      <c r="G23" s="35"/>
      <c r="H23" s="35" t="s">
        <v>140</v>
      </c>
      <c r="I23" s="35"/>
      <c r="J23" s="35" t="s">
        <v>141</v>
      </c>
      <c r="K23" s="35"/>
      <c r="L23" s="35" t="s">
        <v>171</v>
      </c>
      <c r="M23" s="35"/>
      <c r="N23" s="35" t="s">
        <v>161</v>
      </c>
      <c r="O23" s="35"/>
      <c r="P23" s="35" t="s">
        <v>181</v>
      </c>
      <c r="Q23" s="35"/>
      <c r="R23" s="35" t="s">
        <v>182</v>
      </c>
      <c r="S23" s="35"/>
      <c r="T23" s="35" t="s">
        <v>183</v>
      </c>
      <c r="U23" s="35"/>
      <c r="V23" s="35" t="s">
        <v>184</v>
      </c>
      <c r="W23" s="35"/>
      <c r="X23" s="35" t="s">
        <v>185</v>
      </c>
      <c r="Y23" s="35" t="s">
        <v>186</v>
      </c>
      <c r="Z23" s="35"/>
      <c r="AA23" s="34"/>
      <c r="AB23" s="34"/>
      <c r="AC23" s="36"/>
      <c r="AD23" s="5"/>
    </row>
    <row r="24" spans="1:33" s="23" customFormat="1" x14ac:dyDescent="0.3">
      <c r="A24" s="18"/>
      <c r="B24" s="37" t="s">
        <v>158</v>
      </c>
      <c r="C24" s="38"/>
      <c r="D24" s="228"/>
      <c r="E24" s="228"/>
      <c r="F24" s="228" t="s">
        <v>220</v>
      </c>
      <c r="G24" s="228"/>
      <c r="H24" s="228" t="s">
        <v>221</v>
      </c>
      <c r="I24" s="228"/>
      <c r="J24" s="228" t="s">
        <v>269</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c r="E25" s="227"/>
      <c r="F25" s="227" t="s">
        <v>222</v>
      </c>
      <c r="G25" s="227"/>
      <c r="H25" s="227" t="s">
        <v>223</v>
      </c>
      <c r="I25" s="227"/>
      <c r="J25" s="227" t="s">
        <v>270</v>
      </c>
      <c r="K25" s="227"/>
      <c r="L25" s="227" t="s">
        <v>324</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159</v>
      </c>
      <c r="C26" s="41"/>
      <c r="D26" s="229"/>
      <c r="E26" s="229"/>
      <c r="F26" s="229" t="s">
        <v>220</v>
      </c>
      <c r="G26" s="229"/>
      <c r="H26" s="229" t="s">
        <v>220</v>
      </c>
      <c r="I26" s="229"/>
      <c r="J26" s="229" t="s">
        <v>355</v>
      </c>
      <c r="K26" s="229"/>
      <c r="L26" s="229" t="s">
        <v>356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c r="E27" s="229"/>
      <c r="F27" s="229" t="s">
        <v>222</v>
      </c>
      <c r="G27" s="229"/>
      <c r="H27" s="229" t="s">
        <v>223</v>
      </c>
      <c r="I27" s="229"/>
      <c r="J27" s="229" t="s">
        <v>270</v>
      </c>
      <c r="K27" s="229"/>
      <c r="L27" s="229" t="s">
        <v>324</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c r="E28" s="227"/>
      <c r="F28" s="227" t="s">
        <v>313</v>
      </c>
      <c r="G28" s="227"/>
      <c r="H28" s="227" t="s">
        <v>314</v>
      </c>
      <c r="I28" s="227"/>
      <c r="J28" s="227" t="s">
        <v>315</v>
      </c>
      <c r="K28" s="227"/>
      <c r="L28" s="227" t="s">
        <v>316</v>
      </c>
      <c r="M28" s="227"/>
      <c r="N28" s="227" t="s">
        <v>317</v>
      </c>
      <c r="O28" s="227"/>
      <c r="P28" s="227" t="s">
        <v>318</v>
      </c>
      <c r="Q28" s="227"/>
      <c r="R28" s="227" t="s">
        <v>83</v>
      </c>
      <c r="S28" s="227"/>
      <c r="T28" s="227" t="s">
        <v>319</v>
      </c>
      <c r="U28" s="227"/>
      <c r="V28" s="227" t="s">
        <v>320</v>
      </c>
      <c r="W28" s="227"/>
      <c r="X28" s="227" t="s">
        <v>321</v>
      </c>
      <c r="Y28" s="227" t="s">
        <v>322</v>
      </c>
      <c r="Z28" s="227"/>
      <c r="AA28" s="49"/>
      <c r="AB28" s="50"/>
      <c r="AC28" s="51"/>
      <c r="AD28" s="22"/>
      <c r="AE28" s="45"/>
      <c r="AG28" s="46"/>
    </row>
    <row r="29" spans="1:33" s="23" customFormat="1" x14ac:dyDescent="0.3">
      <c r="A29" s="39"/>
      <c r="B29" s="40" t="s">
        <v>91</v>
      </c>
      <c r="C29" s="52"/>
      <c r="D29" s="54"/>
      <c r="E29" s="53"/>
      <c r="F29" s="54">
        <v>648307</v>
      </c>
      <c r="G29" s="55"/>
      <c r="H29" s="54">
        <v>41826</v>
      </c>
      <c r="I29" s="55"/>
      <c r="J29" s="54">
        <v>22814</v>
      </c>
      <c r="K29" s="55"/>
      <c r="L29" s="54">
        <v>22814</v>
      </c>
      <c r="M29" s="50"/>
      <c r="N29" s="54">
        <v>24717</v>
      </c>
      <c r="O29" s="54"/>
      <c r="P29" s="231">
        <v>11637</v>
      </c>
      <c r="Q29" s="231"/>
      <c r="R29" s="231">
        <v>4175</v>
      </c>
      <c r="S29" s="54"/>
      <c r="T29" s="54" t="s">
        <v>83</v>
      </c>
      <c r="U29" s="54"/>
      <c r="V29" s="54" t="s">
        <v>83</v>
      </c>
      <c r="W29" s="54"/>
      <c r="X29" s="54" t="s">
        <v>83</v>
      </c>
      <c r="Y29" s="54" t="s">
        <v>83</v>
      </c>
      <c r="Z29" s="54"/>
      <c r="AA29" s="52"/>
      <c r="AB29" s="50">
        <f>SUM(F29:N29)</f>
        <v>760478</v>
      </c>
      <c r="AC29" s="51"/>
      <c r="AD29" s="22"/>
    </row>
    <row r="30" spans="1:33" s="23" customFormat="1" x14ac:dyDescent="0.3">
      <c r="A30" s="47"/>
      <c r="B30" s="40" t="s">
        <v>90</v>
      </c>
      <c r="C30" s="49"/>
      <c r="D30" s="54"/>
      <c r="E30" s="54"/>
      <c r="F30" s="54">
        <f>F29*F33</f>
        <v>551417.51884999999</v>
      </c>
      <c r="G30" s="54"/>
      <c r="H30" s="54">
        <f>H29</f>
        <v>41826</v>
      </c>
      <c r="I30" s="54"/>
      <c r="J30" s="54">
        <f>J29</f>
        <v>22814</v>
      </c>
      <c r="K30" s="54"/>
      <c r="L30" s="54">
        <f>L29</f>
        <v>22814</v>
      </c>
      <c r="M30" s="54"/>
      <c r="N30" s="54">
        <f>N29</f>
        <v>24717</v>
      </c>
      <c r="O30" s="54"/>
      <c r="P30" s="54">
        <f>P29*P33</f>
        <v>9715.9640400000008</v>
      </c>
      <c r="Q30" s="54"/>
      <c r="R30" s="54">
        <f>'December 2020'!R31</f>
        <v>0</v>
      </c>
      <c r="S30" s="54"/>
      <c r="T30" s="54" t="s">
        <v>83</v>
      </c>
      <c r="U30" s="54"/>
      <c r="V30" s="54" t="s">
        <v>83</v>
      </c>
      <c r="W30" s="54"/>
      <c r="X30" s="54" t="s">
        <v>83</v>
      </c>
      <c r="Y30" s="54" t="s">
        <v>83</v>
      </c>
      <c r="Z30" s="54"/>
      <c r="AA30" s="49"/>
      <c r="AB30" s="50">
        <f>SUM(F30:N30)</f>
        <v>663588.51884999999</v>
      </c>
      <c r="AC30" s="51"/>
      <c r="AD30" s="22"/>
    </row>
    <row r="31" spans="1:33" s="23" customFormat="1" x14ac:dyDescent="0.3">
      <c r="A31" s="47"/>
      <c r="B31" s="44" t="s">
        <v>92</v>
      </c>
      <c r="C31" s="49"/>
      <c r="D31" s="57"/>
      <c r="E31" s="57"/>
      <c r="F31" s="57">
        <f>F29*F32</f>
        <v>542652.40821000002</v>
      </c>
      <c r="G31" s="57"/>
      <c r="H31" s="57">
        <f>H29</f>
        <v>41826</v>
      </c>
      <c r="I31" s="57"/>
      <c r="J31" s="57">
        <f>J29</f>
        <v>22814</v>
      </c>
      <c r="K31" s="57"/>
      <c r="L31" s="57">
        <f>L29</f>
        <v>22814</v>
      </c>
      <c r="M31" s="57"/>
      <c r="N31" s="57">
        <f>N29</f>
        <v>24717</v>
      </c>
      <c r="O31" s="57"/>
      <c r="P31" s="57">
        <f>P29*P32</f>
        <v>9582.6040199999989</v>
      </c>
      <c r="Q31" s="57"/>
      <c r="R31" s="57">
        <v>0</v>
      </c>
      <c r="S31" s="57"/>
      <c r="T31" s="57" t="s">
        <v>83</v>
      </c>
      <c r="U31" s="57"/>
      <c r="V31" s="57" t="s">
        <v>83</v>
      </c>
      <c r="W31" s="57"/>
      <c r="X31" s="57" t="s">
        <v>83</v>
      </c>
      <c r="Y31" s="57" t="s">
        <v>83</v>
      </c>
      <c r="Z31" s="57"/>
      <c r="AA31" s="49"/>
      <c r="AB31" s="56">
        <f>SUM(F31:N31)+1</f>
        <v>654824.40821000002</v>
      </c>
      <c r="AC31" s="51"/>
      <c r="AD31" s="22"/>
      <c r="AE31" s="235"/>
    </row>
    <row r="32" spans="1:33" s="65" customFormat="1" x14ac:dyDescent="0.3">
      <c r="A32" s="58"/>
      <c r="B32" s="166" t="s">
        <v>88</v>
      </c>
      <c r="C32" s="61"/>
      <c r="D32" s="60"/>
      <c r="E32" s="60"/>
      <c r="F32" s="60">
        <v>0.83703000000000005</v>
      </c>
      <c r="G32" s="60"/>
      <c r="H32" s="60">
        <v>1</v>
      </c>
      <c r="I32" s="60"/>
      <c r="J32" s="60">
        <v>1</v>
      </c>
      <c r="K32" s="60"/>
      <c r="L32" s="60">
        <v>1</v>
      </c>
      <c r="M32" s="60"/>
      <c r="N32" s="60">
        <v>1</v>
      </c>
      <c r="O32" s="60"/>
      <c r="P32" s="60">
        <v>0.82345999999999997</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c r="E33" s="225"/>
      <c r="F33" s="60">
        <v>0.85055000000000003</v>
      </c>
      <c r="G33" s="60"/>
      <c r="H33" s="60">
        <v>1</v>
      </c>
      <c r="I33" s="60"/>
      <c r="J33" s="60">
        <v>1</v>
      </c>
      <c r="K33" s="60"/>
      <c r="L33" s="60">
        <v>1</v>
      </c>
      <c r="M33" s="60"/>
      <c r="N33" s="60">
        <v>1</v>
      </c>
      <c r="O33" s="60"/>
      <c r="P33" s="60">
        <v>0.83492</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c r="E34" s="48"/>
      <c r="F34" s="48" t="s">
        <v>305</v>
      </c>
      <c r="G34" s="48"/>
      <c r="H34" s="48" t="s">
        <v>306</v>
      </c>
      <c r="I34" s="48"/>
      <c r="J34" s="48" t="s">
        <v>273</v>
      </c>
      <c r="K34" s="48"/>
      <c r="L34" s="48" t="s">
        <v>307</v>
      </c>
      <c r="M34" s="48"/>
      <c r="N34" s="48" t="s">
        <v>308</v>
      </c>
      <c r="O34" s="48"/>
      <c r="P34" s="48" t="s">
        <v>254</v>
      </c>
      <c r="Q34" s="48"/>
      <c r="R34" s="48" t="s">
        <v>254</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c r="E35" s="241"/>
      <c r="F35" s="241">
        <v>3.9791600000000003E-2</v>
      </c>
      <c r="G35" s="241"/>
      <c r="H35" s="241">
        <v>4.37916E-2</v>
      </c>
      <c r="I35" s="241"/>
      <c r="J35" s="241">
        <v>4.6791600000000003E-2</v>
      </c>
      <c r="K35" s="241"/>
      <c r="L35" s="241">
        <v>4.9791599999999998E-2</v>
      </c>
      <c r="M35" s="241"/>
      <c r="N35" s="241">
        <v>5.97916E-2</v>
      </c>
      <c r="O35" s="241"/>
      <c r="P35" s="241">
        <v>6.8791599999999994E-2</v>
      </c>
      <c r="Q35" s="241"/>
      <c r="R35" s="241">
        <v>6.8791599999999994E-2</v>
      </c>
      <c r="S35" s="68"/>
      <c r="T35" s="68" t="s">
        <v>83</v>
      </c>
      <c r="U35" s="68"/>
      <c r="V35" s="68" t="s">
        <v>83</v>
      </c>
      <c r="W35" s="68"/>
      <c r="X35" s="68" t="s">
        <v>83</v>
      </c>
      <c r="Y35" s="68" t="s">
        <v>83</v>
      </c>
      <c r="Z35" s="68"/>
      <c r="AA35" s="40"/>
      <c r="AB35" s="67">
        <f>SUMPRODUCT(D35:N35,D30:N30)/AB30</f>
        <v>4.137312525275566E-2</v>
      </c>
      <c r="AC35" s="43"/>
      <c r="AD35" s="22"/>
    </row>
    <row r="36" spans="1:30" s="23" customFormat="1" x14ac:dyDescent="0.3">
      <c r="A36" s="47"/>
      <c r="B36" s="40" t="s">
        <v>10</v>
      </c>
      <c r="C36" s="69"/>
      <c r="D36" s="241"/>
      <c r="E36" s="241"/>
      <c r="F36" s="241">
        <v>2.7456999999999999E-2</v>
      </c>
      <c r="G36" s="241"/>
      <c r="H36" s="241">
        <v>3.1456999999999999E-2</v>
      </c>
      <c r="I36" s="241"/>
      <c r="J36" s="241">
        <v>3.4457000000000002E-2</v>
      </c>
      <c r="K36" s="241"/>
      <c r="L36" s="241">
        <v>3.7456999999999997E-2</v>
      </c>
      <c r="M36" s="241"/>
      <c r="N36" s="241">
        <v>4.7456999999999999E-2</v>
      </c>
      <c r="O36" s="241"/>
      <c r="P36" s="241">
        <v>5.6457E-2</v>
      </c>
      <c r="Q36" s="241"/>
      <c r="R36" s="241">
        <v>5.6457E-2</v>
      </c>
      <c r="S36" s="68"/>
      <c r="T36" s="68" t="s">
        <v>83</v>
      </c>
      <c r="U36" s="68"/>
      <c r="V36" s="68" t="s">
        <v>83</v>
      </c>
      <c r="W36" s="68"/>
      <c r="X36" s="68" t="s">
        <v>83</v>
      </c>
      <c r="Y36" s="68" t="s">
        <v>83</v>
      </c>
      <c r="Z36" s="68"/>
      <c r="AA36" s="40"/>
      <c r="AB36" s="40"/>
      <c r="AC36" s="43"/>
      <c r="AD36" s="22"/>
    </row>
    <row r="37" spans="1:30" s="23" customFormat="1" x14ac:dyDescent="0.3">
      <c r="A37" s="47"/>
      <c r="B37" s="40" t="s">
        <v>160</v>
      </c>
      <c r="C37" s="40"/>
      <c r="D37" s="69"/>
      <c r="E37" s="69"/>
      <c r="F37" s="69">
        <v>45945</v>
      </c>
      <c r="G37" s="69"/>
      <c r="H37" s="69">
        <v>45945</v>
      </c>
      <c r="I37" s="69"/>
      <c r="J37" s="69">
        <v>45945</v>
      </c>
      <c r="K37" s="69"/>
      <c r="L37" s="69">
        <v>45945</v>
      </c>
      <c r="M37" s="69"/>
      <c r="N37" s="69">
        <v>45945</v>
      </c>
      <c r="O37" s="69"/>
      <c r="P37" s="69">
        <v>45945</v>
      </c>
      <c r="Q37" s="69"/>
      <c r="R37" s="69">
        <v>45945</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c r="E38" s="69"/>
      <c r="F38" s="69">
        <v>45945</v>
      </c>
      <c r="G38" s="48"/>
      <c r="H38" s="69">
        <v>45945</v>
      </c>
      <c r="I38" s="48"/>
      <c r="J38" s="69">
        <v>45945</v>
      </c>
      <c r="K38" s="48"/>
      <c r="L38" s="69">
        <v>45945</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c r="E39" s="48"/>
      <c r="F39" s="48" t="s">
        <v>309</v>
      </c>
      <c r="G39" s="48"/>
      <c r="H39" s="48" t="s">
        <v>272</v>
      </c>
      <c r="I39" s="48"/>
      <c r="J39" s="48" t="s">
        <v>310</v>
      </c>
      <c r="K39" s="48"/>
      <c r="L39" s="48" t="s">
        <v>308</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7" t="s">
        <v>110</v>
      </c>
      <c r="AC40" s="43"/>
      <c r="AD40" s="22"/>
    </row>
    <row r="41" spans="1:30" s="23" customFormat="1" x14ac:dyDescent="0.3">
      <c r="A41" s="47"/>
      <c r="B41" s="40" t="s">
        <v>253</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32">
        <f>SUM(G29:N29)/F29</f>
        <v>0.17302142349226524</v>
      </c>
      <c r="AC41" s="43"/>
      <c r="AD41" s="22"/>
    </row>
    <row r="42" spans="1:30" s="23" customFormat="1" x14ac:dyDescent="0.3">
      <c r="A42" s="47"/>
      <c r="B42" s="40" t="s">
        <v>252</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32">
        <f>SUM(G31:N31)/F31</f>
        <v>0.20670874818377505</v>
      </c>
      <c r="AC42" s="43"/>
      <c r="AD42" s="22"/>
    </row>
    <row r="43" spans="1:30" s="23" customFormat="1" x14ac:dyDescent="0.3">
      <c r="A43" s="47"/>
      <c r="B43" s="40" t="s">
        <v>197</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1"/>
      <c r="AC44" s="43"/>
      <c r="AD44" s="22"/>
    </row>
    <row r="45" spans="1:30" s="23" customFormat="1" x14ac:dyDescent="0.3">
      <c r="A45" s="47"/>
      <c r="B45" s="40" t="s">
        <v>196</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2"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3"/>
      <c r="AA46" s="73"/>
      <c r="AB46" s="74">
        <v>44942</v>
      </c>
      <c r="AC46" s="43"/>
      <c r="AD46" s="22"/>
    </row>
    <row r="47" spans="1:30" s="23" customFormat="1" x14ac:dyDescent="0.3">
      <c r="A47" s="47"/>
      <c r="B47" s="40" t="s">
        <v>85</v>
      </c>
      <c r="C47" s="40"/>
      <c r="D47" s="75"/>
      <c r="E47" s="75"/>
      <c r="F47" s="75"/>
      <c r="G47" s="75"/>
      <c r="H47" s="75"/>
      <c r="I47" s="75"/>
      <c r="J47" s="75"/>
      <c r="K47" s="75"/>
      <c r="L47" s="75"/>
      <c r="M47" s="75"/>
      <c r="N47" s="75"/>
      <c r="O47" s="75"/>
      <c r="P47" s="75"/>
      <c r="Q47" s="75"/>
      <c r="R47" s="75"/>
      <c r="S47" s="75"/>
      <c r="T47" s="75"/>
      <c r="U47" s="75"/>
      <c r="V47" s="75"/>
      <c r="W47" s="75"/>
      <c r="X47" s="280">
        <f>+AB47-Z47+1</f>
        <v>94</v>
      </c>
      <c r="Y47" s="40"/>
      <c r="Z47" s="76">
        <v>44757</v>
      </c>
      <c r="AA47" s="77"/>
      <c r="AB47" s="76">
        <v>44850</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80">
        <f>+AB48-Z48+1</f>
        <v>90</v>
      </c>
      <c r="Y48" s="40"/>
      <c r="Z48" s="76">
        <v>44851</v>
      </c>
      <c r="AA48" s="77"/>
      <c r="AB48" s="76">
        <v>44940</v>
      </c>
      <c r="AC48" s="43"/>
      <c r="AD48" s="22"/>
    </row>
    <row r="49" spans="1:31" s="23" customFormat="1" x14ac:dyDescent="0.3">
      <c r="A49" s="47"/>
      <c r="B49" s="40" t="s">
        <v>187</v>
      </c>
      <c r="C49" s="40"/>
      <c r="D49" s="40"/>
      <c r="E49" s="40"/>
      <c r="F49" s="40"/>
      <c r="G49" s="40"/>
      <c r="H49" s="40"/>
      <c r="I49" s="40"/>
      <c r="J49" s="40"/>
      <c r="K49" s="40"/>
      <c r="L49" s="40"/>
      <c r="M49" s="40"/>
      <c r="N49" s="40"/>
      <c r="O49" s="40"/>
      <c r="P49" s="40"/>
      <c r="Q49" s="40"/>
      <c r="R49" s="40"/>
      <c r="S49" s="40"/>
      <c r="T49" s="40"/>
      <c r="U49" s="40"/>
      <c r="V49" s="40"/>
      <c r="W49" s="40"/>
      <c r="X49" s="40"/>
      <c r="Y49" s="40"/>
      <c r="Z49" s="76"/>
      <c r="AA49" s="77"/>
      <c r="AB49" s="76" t="s">
        <v>99</v>
      </c>
      <c r="AC49" s="43"/>
      <c r="AD49" s="22"/>
      <c r="AE49" s="78"/>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v>44939</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9"/>
      <c r="AA51" s="80"/>
      <c r="AB51" s="79"/>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1"/>
      <c r="AA52" s="82"/>
      <c r="AB52" s="81"/>
      <c r="AC52" s="21"/>
      <c r="AD52" s="22"/>
    </row>
    <row r="53" spans="1:31" s="23" customFormat="1" ht="18.600000000000001" thickBot="1" x14ac:dyDescent="0.4">
      <c r="A53" s="83"/>
      <c r="B53" s="84" t="s">
        <v>361</v>
      </c>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6"/>
      <c r="AC53" s="87"/>
      <c r="AD53" s="22"/>
    </row>
    <row r="54" spans="1:31" x14ac:dyDescent="0.3">
      <c r="A54" s="33"/>
      <c r="B54" s="88" t="s">
        <v>13</v>
      </c>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90"/>
      <c r="AC54" s="89"/>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1"/>
      <c r="AC55" s="10"/>
      <c r="AD55" s="5"/>
    </row>
    <row r="56" spans="1:31" s="65" customFormat="1" ht="46.8" x14ac:dyDescent="0.3">
      <c r="A56" s="92"/>
      <c r="B56" s="93" t="s">
        <v>14</v>
      </c>
      <c r="C56" s="94"/>
      <c r="D56" s="94"/>
      <c r="E56" s="94"/>
      <c r="F56" s="94"/>
      <c r="G56" s="94"/>
      <c r="H56" s="94"/>
      <c r="I56" s="94"/>
      <c r="J56" s="94"/>
      <c r="K56" s="94"/>
      <c r="L56" s="94"/>
      <c r="M56" s="94"/>
      <c r="N56" s="94"/>
      <c r="O56" s="94"/>
      <c r="P56" s="94" t="s">
        <v>63</v>
      </c>
      <c r="Q56" s="94"/>
      <c r="R56" s="94" t="s">
        <v>65</v>
      </c>
      <c r="S56" s="94"/>
      <c r="T56" s="94" t="s">
        <v>135</v>
      </c>
      <c r="U56" s="94"/>
      <c r="V56" s="94" t="s">
        <v>136</v>
      </c>
      <c r="W56" s="94"/>
      <c r="X56" s="94" t="s">
        <v>68</v>
      </c>
      <c r="Y56" s="94"/>
      <c r="Z56" s="94" t="s">
        <v>72</v>
      </c>
      <c r="AA56" s="94"/>
      <c r="AB56" s="95" t="s">
        <v>78</v>
      </c>
      <c r="AC56" s="96"/>
      <c r="AD56" s="64"/>
    </row>
    <row r="57" spans="1:31" s="23" customFormat="1" x14ac:dyDescent="0.3">
      <c r="A57" s="47"/>
      <c r="B57" s="40" t="s">
        <v>15</v>
      </c>
      <c r="C57" s="97"/>
      <c r="D57" s="97"/>
      <c r="E57" s="97"/>
      <c r="F57" s="97"/>
      <c r="G57" s="97"/>
      <c r="H57" s="98"/>
      <c r="I57" s="97"/>
      <c r="J57" s="98"/>
      <c r="K57" s="97"/>
      <c r="L57" s="97"/>
      <c r="M57" s="97"/>
      <c r="N57" s="97"/>
      <c r="O57" s="97"/>
      <c r="P57" s="238">
        <v>759666</v>
      </c>
      <c r="Q57" s="238"/>
      <c r="R57" s="237">
        <v>663586</v>
      </c>
      <c r="S57" s="238"/>
      <c r="T57" s="237">
        <f>316+19</f>
        <v>335</v>
      </c>
      <c r="U57" s="238"/>
      <c r="V57" s="238">
        <v>8431</v>
      </c>
      <c r="W57" s="238"/>
      <c r="X57" s="238">
        <v>0</v>
      </c>
      <c r="Y57" s="238"/>
      <c r="Z57" s="238">
        <v>0</v>
      </c>
      <c r="AA57" s="238"/>
      <c r="AB57" s="237">
        <f>R57-T57-V57+X57-Z57</f>
        <v>654820</v>
      </c>
      <c r="AC57" s="43"/>
      <c r="AD57" s="22"/>
      <c r="AE57" s="271"/>
    </row>
    <row r="58" spans="1:31" s="23" customFormat="1" x14ac:dyDescent="0.3">
      <c r="A58" s="47"/>
      <c r="B58" s="40" t="s">
        <v>16</v>
      </c>
      <c r="C58" s="97"/>
      <c r="D58" s="97"/>
      <c r="E58" s="97"/>
      <c r="F58" s="97"/>
      <c r="G58" s="97"/>
      <c r="H58" s="98"/>
      <c r="I58" s="97"/>
      <c r="J58" s="98"/>
      <c r="K58" s="97"/>
      <c r="L58" s="97"/>
      <c r="M58" s="97"/>
      <c r="N58" s="97"/>
      <c r="O58" s="97"/>
      <c r="P58" s="238">
        <v>0</v>
      </c>
      <c r="Q58" s="238"/>
      <c r="R58" s="237">
        <v>0</v>
      </c>
      <c r="S58" s="238"/>
      <c r="T58" s="237">
        <v>0</v>
      </c>
      <c r="U58" s="238"/>
      <c r="V58" s="238">
        <v>0</v>
      </c>
      <c r="W58" s="238"/>
      <c r="X58" s="238">
        <v>0</v>
      </c>
      <c r="Y58" s="238"/>
      <c r="Z58" s="238">
        <v>0</v>
      </c>
      <c r="AA58" s="238"/>
      <c r="AB58" s="237">
        <f>F58-J58-L58</f>
        <v>0</v>
      </c>
      <c r="AC58" s="43"/>
      <c r="AD58" s="22"/>
    </row>
    <row r="59" spans="1:31" s="23" customFormat="1" x14ac:dyDescent="0.3">
      <c r="A59" s="47"/>
      <c r="B59" s="40"/>
      <c r="C59" s="97"/>
      <c r="D59" s="97"/>
      <c r="E59" s="97"/>
      <c r="F59" s="97"/>
      <c r="G59" s="97"/>
      <c r="H59" s="98"/>
      <c r="I59" s="97"/>
      <c r="J59" s="98"/>
      <c r="K59" s="97"/>
      <c r="L59" s="97"/>
      <c r="M59" s="97"/>
      <c r="N59" s="97"/>
      <c r="O59" s="97"/>
      <c r="P59" s="238"/>
      <c r="Q59" s="238"/>
      <c r="R59" s="237"/>
      <c r="S59" s="238"/>
      <c r="T59" s="237"/>
      <c r="U59" s="238"/>
      <c r="V59" s="238"/>
      <c r="W59" s="238"/>
      <c r="X59" s="238"/>
      <c r="Y59" s="238"/>
      <c r="Z59" s="238"/>
      <c r="AA59" s="238"/>
      <c r="AB59" s="237"/>
      <c r="AC59" s="43"/>
      <c r="AD59" s="22"/>
    </row>
    <row r="60" spans="1:31" s="23" customFormat="1" x14ac:dyDescent="0.3">
      <c r="A60" s="47"/>
      <c r="B60" s="40" t="s">
        <v>17</v>
      </c>
      <c r="C60" s="97"/>
      <c r="D60" s="97"/>
      <c r="E60" s="97"/>
      <c r="F60" s="97"/>
      <c r="G60" s="97"/>
      <c r="H60" s="97"/>
      <c r="I60" s="97"/>
      <c r="J60" s="97"/>
      <c r="K60" s="97"/>
      <c r="L60" s="97"/>
      <c r="M60" s="97"/>
      <c r="N60" s="97"/>
      <c r="O60" s="97"/>
      <c r="P60" s="238">
        <f>SUM(P57:P59)</f>
        <v>759666</v>
      </c>
      <c r="Q60" s="238"/>
      <c r="R60" s="238">
        <f>R57+R58</f>
        <v>663586</v>
      </c>
      <c r="S60" s="238"/>
      <c r="T60" s="238">
        <f>T57+T58</f>
        <v>335</v>
      </c>
      <c r="U60" s="238"/>
      <c r="V60" s="238">
        <f>SUM(V57:V59)</f>
        <v>8431</v>
      </c>
      <c r="W60" s="238"/>
      <c r="X60" s="238">
        <f>SUM(X57:X59)</f>
        <v>0</v>
      </c>
      <c r="Y60" s="238"/>
      <c r="Z60" s="238">
        <f>SUM(Z57:Z59)</f>
        <v>0</v>
      </c>
      <c r="AA60" s="238"/>
      <c r="AB60" s="238">
        <f>SUM(AB57:AB59)</f>
        <v>654820</v>
      </c>
      <c r="AC60" s="43"/>
      <c r="AD60" s="22"/>
    </row>
    <row r="61" spans="1:31" s="23" customFormat="1" ht="32.1" customHeight="1" x14ac:dyDescent="0.3">
      <c r="A61" s="47"/>
      <c r="B61" s="40"/>
      <c r="C61" s="97"/>
      <c r="D61" s="97"/>
      <c r="E61" s="97"/>
      <c r="F61" s="97"/>
      <c r="G61" s="97"/>
      <c r="H61" s="97"/>
      <c r="I61" s="97"/>
      <c r="J61" s="97"/>
      <c r="K61" s="97"/>
      <c r="L61" s="97"/>
      <c r="M61" s="97"/>
      <c r="N61" s="97"/>
      <c r="O61" s="97"/>
      <c r="P61" s="238"/>
      <c r="Q61" s="238"/>
      <c r="R61" s="238"/>
      <c r="S61" s="238"/>
      <c r="T61" s="238"/>
      <c r="U61" s="238"/>
      <c r="V61" s="238"/>
      <c r="W61" s="238"/>
      <c r="X61" s="238"/>
      <c r="Y61" s="238"/>
      <c r="Z61" s="238"/>
      <c r="AA61" s="238"/>
      <c r="AB61" s="238"/>
      <c r="AC61" s="43"/>
      <c r="AD61" s="22"/>
    </row>
    <row r="62" spans="1:31" s="23" customFormat="1" x14ac:dyDescent="0.3">
      <c r="A62" s="47"/>
      <c r="B62" s="40" t="s">
        <v>18</v>
      </c>
      <c r="C62" s="97"/>
      <c r="D62" s="97"/>
      <c r="E62" s="97"/>
      <c r="F62" s="97"/>
      <c r="G62" s="97"/>
      <c r="H62" s="97"/>
      <c r="I62" s="97"/>
      <c r="J62" s="97"/>
      <c r="K62" s="97"/>
      <c r="L62" s="97"/>
      <c r="M62" s="97"/>
      <c r="N62" s="97"/>
      <c r="O62" s="97"/>
      <c r="P62" s="238">
        <v>0</v>
      </c>
      <c r="Q62" s="238"/>
      <c r="R62" s="238">
        <v>0</v>
      </c>
      <c r="S62" s="238"/>
      <c r="T62" s="238"/>
      <c r="U62" s="238"/>
      <c r="V62" s="238"/>
      <c r="W62" s="238"/>
      <c r="X62" s="238"/>
      <c r="Y62" s="238"/>
      <c r="Z62" s="238"/>
      <c r="AA62" s="238"/>
      <c r="AB62" s="237">
        <v>0</v>
      </c>
      <c r="AC62" s="43"/>
      <c r="AD62" s="22"/>
    </row>
    <row r="63" spans="1:31" s="23" customFormat="1" x14ac:dyDescent="0.3">
      <c r="A63" s="47"/>
      <c r="B63" s="40" t="s">
        <v>274</v>
      </c>
      <c r="C63" s="97"/>
      <c r="D63" s="97"/>
      <c r="E63" s="97"/>
      <c r="F63" s="97"/>
      <c r="G63" s="97"/>
      <c r="H63" s="97"/>
      <c r="I63" s="97"/>
      <c r="J63" s="97"/>
      <c r="K63" s="97"/>
      <c r="L63" s="97"/>
      <c r="M63" s="97"/>
      <c r="N63" s="97"/>
      <c r="O63" s="97"/>
      <c r="P63" s="238">
        <v>0</v>
      </c>
      <c r="Q63" s="238"/>
      <c r="R63" s="238">
        <v>3</v>
      </c>
      <c r="S63" s="238"/>
      <c r="T63" s="238">
        <v>0</v>
      </c>
      <c r="U63" s="238"/>
      <c r="V63" s="238">
        <v>1</v>
      </c>
      <c r="W63" s="238"/>
      <c r="X63" s="238"/>
      <c r="Y63" s="238"/>
      <c r="Z63" s="238"/>
      <c r="AA63" s="238"/>
      <c r="AB63" s="238">
        <f>R63+V63</f>
        <v>4</v>
      </c>
      <c r="AC63" s="43"/>
      <c r="AD63" s="22"/>
    </row>
    <row r="64" spans="1:31" s="23" customFormat="1" x14ac:dyDescent="0.3">
      <c r="A64" s="47"/>
      <c r="B64" s="40" t="s">
        <v>172</v>
      </c>
      <c r="C64" s="97"/>
      <c r="D64" s="97"/>
      <c r="E64" s="97"/>
      <c r="F64" s="97"/>
      <c r="G64" s="97"/>
      <c r="H64" s="97"/>
      <c r="I64" s="97"/>
      <c r="J64" s="97"/>
      <c r="K64" s="97"/>
      <c r="L64" s="97"/>
      <c r="M64" s="97"/>
      <c r="N64" s="97"/>
      <c r="O64" s="97"/>
      <c r="P64" s="238">
        <v>812</v>
      </c>
      <c r="Q64" s="238"/>
      <c r="R64" s="238">
        <v>0</v>
      </c>
      <c r="S64" s="238"/>
      <c r="T64" s="238"/>
      <c r="U64" s="238"/>
      <c r="V64" s="238"/>
      <c r="W64" s="238"/>
      <c r="X64" s="238">
        <v>0</v>
      </c>
      <c r="Y64" s="238"/>
      <c r="Z64" s="238"/>
      <c r="AA64" s="238"/>
      <c r="AB64" s="238">
        <f>+R64+X64</f>
        <v>0</v>
      </c>
      <c r="AC64" s="43"/>
      <c r="AD64" s="22"/>
    </row>
    <row r="65" spans="1:30" s="23" customFormat="1" x14ac:dyDescent="0.3">
      <c r="A65" s="47"/>
      <c r="B65" s="40" t="s">
        <v>19</v>
      </c>
      <c r="C65" s="97"/>
      <c r="D65" s="97"/>
      <c r="E65" s="97"/>
      <c r="F65" s="97"/>
      <c r="G65" s="97"/>
      <c r="H65" s="97"/>
      <c r="I65" s="97"/>
      <c r="J65" s="97"/>
      <c r="K65" s="97"/>
      <c r="L65" s="97"/>
      <c r="M65" s="97"/>
      <c r="N65" s="97"/>
      <c r="O65" s="97"/>
      <c r="P65" s="238">
        <v>0</v>
      </c>
      <c r="Q65" s="238"/>
      <c r="R65" s="238">
        <v>0</v>
      </c>
      <c r="S65" s="238"/>
      <c r="T65" s="238"/>
      <c r="U65" s="238"/>
      <c r="V65" s="238"/>
      <c r="W65" s="238"/>
      <c r="X65" s="238"/>
      <c r="Y65" s="238"/>
      <c r="Z65" s="238"/>
      <c r="AA65" s="238"/>
      <c r="AB65" s="238">
        <v>0</v>
      </c>
      <c r="AC65" s="43"/>
      <c r="AD65" s="22"/>
    </row>
    <row r="66" spans="1:30" s="23" customFormat="1" x14ac:dyDescent="0.3">
      <c r="A66" s="47"/>
      <c r="B66" s="40" t="s">
        <v>20</v>
      </c>
      <c r="C66" s="97"/>
      <c r="D66" s="97"/>
      <c r="E66" s="97"/>
      <c r="F66" s="97"/>
      <c r="G66" s="97"/>
      <c r="H66" s="97"/>
      <c r="I66" s="97"/>
      <c r="J66" s="97"/>
      <c r="K66" s="97"/>
      <c r="L66" s="97"/>
      <c r="M66" s="97"/>
      <c r="N66" s="97"/>
      <c r="O66" s="97"/>
      <c r="P66" s="238">
        <f>SUM(P60:P65)</f>
        <v>760478</v>
      </c>
      <c r="Q66" s="238"/>
      <c r="R66" s="238">
        <f>SUM(R60:R65)</f>
        <v>663589</v>
      </c>
      <c r="S66" s="238"/>
      <c r="T66" s="238"/>
      <c r="U66" s="238"/>
      <c r="V66" s="238"/>
      <c r="W66" s="238"/>
      <c r="X66" s="238"/>
      <c r="Y66" s="238"/>
      <c r="Z66" s="238"/>
      <c r="AA66" s="238"/>
      <c r="AB66" s="238">
        <f>SUM(AB60:AB65)</f>
        <v>654824</v>
      </c>
      <c r="AC66" s="43"/>
      <c r="AD66" s="22"/>
    </row>
    <row r="67" spans="1:30" x14ac:dyDescent="0.3">
      <c r="A67" s="7"/>
      <c r="B67" s="99"/>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1"/>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2" t="s">
        <v>21</v>
      </c>
      <c r="C69" s="102"/>
      <c r="D69" s="103"/>
      <c r="E69" s="103"/>
      <c r="F69" s="103"/>
      <c r="G69" s="103"/>
      <c r="H69" s="104"/>
      <c r="I69" s="103"/>
      <c r="J69" s="105"/>
      <c r="K69" s="103"/>
      <c r="L69" s="103"/>
      <c r="M69" s="103"/>
      <c r="N69" s="103"/>
      <c r="O69" s="103"/>
      <c r="P69" s="103"/>
      <c r="Q69" s="103"/>
      <c r="R69" s="104" t="s">
        <v>64</v>
      </c>
      <c r="S69" s="103"/>
      <c r="T69" s="105">
        <f>+Z235</f>
        <v>44925</v>
      </c>
      <c r="U69" s="103"/>
      <c r="V69" s="103"/>
      <c r="W69" s="103"/>
      <c r="X69" s="103"/>
      <c r="Y69" s="103"/>
      <c r="Z69" s="103" t="s">
        <v>73</v>
      </c>
      <c r="AA69" s="103"/>
      <c r="AB69" s="103"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100">
        <f>+R63</f>
        <v>3</v>
      </c>
      <c r="AA70" s="37"/>
      <c r="AB70" s="107">
        <v>0</v>
      </c>
      <c r="AC70" s="21"/>
      <c r="AD70" s="22"/>
    </row>
    <row r="71" spans="1:30" s="23" customFormat="1" x14ac:dyDescent="0.3">
      <c r="A71" s="47"/>
      <c r="B71" s="40" t="s">
        <v>218</v>
      </c>
      <c r="C71" s="40"/>
      <c r="D71" s="70"/>
      <c r="E71" s="70"/>
      <c r="F71" s="70"/>
      <c r="G71" s="108"/>
      <c r="H71" s="70"/>
      <c r="I71" s="40"/>
      <c r="J71" s="109"/>
      <c r="K71" s="40"/>
      <c r="L71" s="40"/>
      <c r="M71" s="40"/>
      <c r="N71" s="40"/>
      <c r="O71" s="40"/>
      <c r="P71" s="40"/>
      <c r="Q71" s="40"/>
      <c r="R71" s="40"/>
      <c r="S71" s="40"/>
      <c r="T71" s="40"/>
      <c r="U71" s="40"/>
      <c r="V71" s="40"/>
      <c r="W71" s="40"/>
      <c r="X71" s="40"/>
      <c r="Y71" s="40"/>
      <c r="Z71" s="238">
        <f>-X64</f>
        <v>0</v>
      </c>
      <c r="AA71" s="40"/>
      <c r="AB71" s="98"/>
      <c r="AC71" s="43"/>
      <c r="AD71" s="22"/>
    </row>
    <row r="72" spans="1:30" s="23" customFormat="1" x14ac:dyDescent="0.3">
      <c r="A72" s="47"/>
      <c r="B72" s="40" t="s">
        <v>217</v>
      </c>
      <c r="C72" s="40"/>
      <c r="D72" s="70"/>
      <c r="E72" s="70"/>
      <c r="F72" s="70"/>
      <c r="G72" s="108"/>
      <c r="H72" s="70"/>
      <c r="I72" s="40"/>
      <c r="J72" s="109"/>
      <c r="K72" s="40"/>
      <c r="L72" s="40"/>
      <c r="M72" s="40"/>
      <c r="N72" s="40"/>
      <c r="O72" s="40"/>
      <c r="P72" s="40"/>
      <c r="Q72" s="40"/>
      <c r="R72" s="40"/>
      <c r="S72" s="40"/>
      <c r="T72" s="40"/>
      <c r="U72" s="40"/>
      <c r="V72" s="40"/>
      <c r="W72" s="40"/>
      <c r="X72" s="40"/>
      <c r="Y72" s="40"/>
      <c r="Z72" s="238">
        <f>-Z209</f>
        <v>0</v>
      </c>
      <c r="AA72" s="40"/>
      <c r="AB72" s="98"/>
      <c r="AC72" s="43"/>
      <c r="AD72" s="22"/>
    </row>
    <row r="73" spans="1:30" s="23" customFormat="1" x14ac:dyDescent="0.3">
      <c r="A73" s="47"/>
      <c r="B73" s="40" t="s">
        <v>23</v>
      </c>
      <c r="C73" s="40"/>
      <c r="D73" s="70"/>
      <c r="E73" s="70"/>
      <c r="F73" s="70"/>
      <c r="G73" s="108"/>
      <c r="H73" s="70"/>
      <c r="I73" s="40"/>
      <c r="J73" s="109"/>
      <c r="K73" s="40"/>
      <c r="L73" s="40"/>
      <c r="M73" s="40"/>
      <c r="N73" s="40"/>
      <c r="O73" s="40"/>
      <c r="P73" s="40"/>
      <c r="Q73" s="40"/>
      <c r="R73" s="40"/>
      <c r="S73" s="40"/>
      <c r="T73" s="40"/>
      <c r="U73" s="40"/>
      <c r="V73" s="40"/>
      <c r="W73" s="40"/>
      <c r="X73" s="40"/>
      <c r="Y73" s="40"/>
      <c r="Z73" s="238">
        <f>+T57+V57+Z57</f>
        <v>8766</v>
      </c>
      <c r="AA73" s="40"/>
      <c r="AB73" s="98"/>
      <c r="AC73" s="43"/>
      <c r="AD73" s="22"/>
    </row>
    <row r="74" spans="1:30" s="23" customFormat="1" x14ac:dyDescent="0.3">
      <c r="A74" s="47"/>
      <c r="B74" s="40" t="s">
        <v>115</v>
      </c>
      <c r="C74" s="40"/>
      <c r="D74" s="70"/>
      <c r="E74" s="70"/>
      <c r="F74" s="70"/>
      <c r="G74" s="108"/>
      <c r="H74" s="70"/>
      <c r="I74" s="40"/>
      <c r="J74" s="109"/>
      <c r="K74" s="40"/>
      <c r="L74" s="40"/>
      <c r="M74" s="40"/>
      <c r="N74" s="40"/>
      <c r="O74" s="40"/>
      <c r="P74" s="40"/>
      <c r="Q74" s="40"/>
      <c r="R74" s="40"/>
      <c r="S74" s="40"/>
      <c r="T74" s="40"/>
      <c r="U74" s="40"/>
      <c r="V74" s="40"/>
      <c r="W74" s="40"/>
      <c r="X74" s="40"/>
      <c r="Y74" s="40"/>
      <c r="Z74" s="238"/>
      <c r="AA74" s="40"/>
      <c r="AB74" s="98">
        <f>6294+205-345-19</f>
        <v>6135</v>
      </c>
      <c r="AC74" s="43"/>
      <c r="AD74" s="22"/>
    </row>
    <row r="75" spans="1:30" s="23" customFormat="1" x14ac:dyDescent="0.3">
      <c r="A75" s="47"/>
      <c r="B75" s="40" t="s">
        <v>113</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272+2</f>
        <v>274</v>
      </c>
      <c r="AC75" s="43"/>
      <c r="AD75" s="22"/>
    </row>
    <row r="76" spans="1:30" s="23" customFormat="1" x14ac:dyDescent="0.3">
      <c r="A76" s="47"/>
      <c r="B76" s="40" t="s">
        <v>114</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v>96</v>
      </c>
      <c r="AC76" s="43"/>
      <c r="AD76" s="22"/>
    </row>
    <row r="77" spans="1:30" s="23" customFormat="1" x14ac:dyDescent="0.3">
      <c r="A77" s="47"/>
      <c r="B77" s="40" t="s">
        <v>120</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59" t="s">
        <v>224</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133</v>
      </c>
      <c r="AC78" s="43"/>
      <c r="AD78" s="22"/>
    </row>
    <row r="79" spans="1:30" s="23" customFormat="1" x14ac:dyDescent="0.3">
      <c r="A79" s="47"/>
      <c r="B79" s="59" t="s">
        <v>225</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0</v>
      </c>
      <c r="AC79" s="43"/>
      <c r="AD79" s="22"/>
    </row>
    <row r="80" spans="1:30" s="23" customFormat="1" x14ac:dyDescent="0.3">
      <c r="A80" s="47"/>
      <c r="B80" s="40" t="s">
        <v>232</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f>+AB167</f>
        <v>0</v>
      </c>
      <c r="AC80" s="43"/>
      <c r="AD80" s="22"/>
    </row>
    <row r="81" spans="1:30" s="23" customFormat="1" x14ac:dyDescent="0.3">
      <c r="A81" s="47"/>
      <c r="B81" s="40" t="s">
        <v>246</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v>0</v>
      </c>
      <c r="AC81" s="43"/>
      <c r="AD81" s="22"/>
    </row>
    <row r="82" spans="1:30" s="23" customFormat="1" x14ac:dyDescent="0.3">
      <c r="A82" s="47"/>
      <c r="B82" s="59" t="s">
        <v>233</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2672</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8">
        <f>SUM(Z70:Z82)</f>
        <v>8769</v>
      </c>
      <c r="AA83" s="40"/>
      <c r="AB83" s="97">
        <f>SUM(AB70:AB82)</f>
        <v>9310</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8">
        <f>-AB84</f>
        <v>0</v>
      </c>
      <c r="AA84" s="40"/>
      <c r="AB84" s="98">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8"/>
      <c r="AA85" s="40"/>
      <c r="AB85" s="98">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8">
        <f>Z83+Z84</f>
        <v>8769</v>
      </c>
      <c r="AA86" s="40"/>
      <c r="AB86" s="97">
        <f>AB83+AB84+AB85</f>
        <v>9310</v>
      </c>
      <c r="AC86" s="43"/>
      <c r="AD86" s="22"/>
    </row>
    <row r="87" spans="1:30" x14ac:dyDescent="0.3">
      <c r="A87" s="110"/>
      <c r="B87" s="111" t="s">
        <v>27</v>
      </c>
      <c r="C87" s="59"/>
      <c r="D87" s="59"/>
      <c r="E87" s="59"/>
      <c r="F87" s="59"/>
      <c r="G87" s="59"/>
      <c r="H87" s="59"/>
      <c r="I87" s="59"/>
      <c r="J87" s="59"/>
      <c r="K87" s="59"/>
      <c r="L87" s="59"/>
      <c r="M87" s="59"/>
      <c r="N87" s="59"/>
      <c r="O87" s="59"/>
      <c r="P87" s="59"/>
      <c r="Q87" s="59"/>
      <c r="R87" s="59"/>
      <c r="S87" s="59"/>
      <c r="T87" s="59"/>
      <c r="U87" s="59"/>
      <c r="V87" s="59"/>
      <c r="W87" s="59"/>
      <c r="X87" s="59"/>
      <c r="Y87" s="59"/>
      <c r="Z87" s="238"/>
      <c r="AA87" s="112"/>
      <c r="AB87" s="113"/>
      <c r="AC87" s="114"/>
      <c r="AD87" s="5"/>
    </row>
    <row r="88" spans="1:30" x14ac:dyDescent="0.3">
      <c r="A88" s="110">
        <v>1</v>
      </c>
      <c r="B88" s="59" t="s">
        <v>138</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98">
        <v>0</v>
      </c>
      <c r="AC88" s="114"/>
      <c r="AD88" s="5"/>
    </row>
    <row r="89" spans="1:30" x14ac:dyDescent="0.3">
      <c r="A89" s="110">
        <v>2</v>
      </c>
      <c r="B89" s="59" t="s">
        <v>275</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-2</v>
      </c>
      <c r="AC89" s="114"/>
      <c r="AD89" s="5"/>
    </row>
    <row r="90" spans="1:30" x14ac:dyDescent="0.3">
      <c r="A90" s="110">
        <v>3</v>
      </c>
      <c r="B90" s="59" t="s">
        <v>247</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f>-335-6-10</f>
        <v>-351</v>
      </c>
      <c r="AC90" s="114"/>
      <c r="AD90" s="5"/>
    </row>
    <row r="91" spans="1:30" x14ac:dyDescent="0.3">
      <c r="A91" s="110">
        <v>4</v>
      </c>
      <c r="B91" s="59" t="s">
        <v>82</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v>3728</v>
      </c>
      <c r="AC91" s="114"/>
      <c r="AD91" s="5"/>
    </row>
    <row r="92" spans="1:30" x14ac:dyDescent="0.3">
      <c r="A92" s="110">
        <v>5</v>
      </c>
      <c r="B92" s="59" t="s">
        <v>129</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-5470</v>
      </c>
      <c r="AC92" s="114"/>
      <c r="AD92" s="5"/>
    </row>
    <row r="93" spans="1:30" x14ac:dyDescent="0.3">
      <c r="A93" s="110">
        <v>6</v>
      </c>
      <c r="B93" s="59" t="s">
        <v>150</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-457</v>
      </c>
      <c r="AC93" s="114"/>
      <c r="AD93" s="5"/>
    </row>
    <row r="94" spans="1:30" x14ac:dyDescent="0.3">
      <c r="A94" s="110">
        <v>7</v>
      </c>
      <c r="B94" s="59" t="s">
        <v>201</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0</v>
      </c>
      <c r="AC94" s="114"/>
      <c r="AD94" s="5"/>
    </row>
    <row r="95" spans="1:30" x14ac:dyDescent="0.3">
      <c r="A95" s="110">
        <v>8</v>
      </c>
      <c r="B95" s="59" t="s">
        <v>151</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-266</v>
      </c>
      <c r="AC95" s="114"/>
      <c r="AD95" s="5"/>
    </row>
    <row r="96" spans="1:30" x14ac:dyDescent="0.3">
      <c r="A96" s="110">
        <v>9</v>
      </c>
      <c r="B96" s="59" t="s">
        <v>180</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-283</v>
      </c>
      <c r="AC96" s="114"/>
      <c r="AD96" s="5"/>
    </row>
    <row r="97" spans="1:30" x14ac:dyDescent="0.3">
      <c r="A97" s="110">
        <v>10</v>
      </c>
      <c r="B97" s="59" t="s">
        <v>130</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0</v>
      </c>
      <c r="AC97" s="114"/>
      <c r="AD97" s="5"/>
    </row>
    <row r="98" spans="1:30" x14ac:dyDescent="0.3">
      <c r="A98" s="110">
        <v>11</v>
      </c>
      <c r="B98" s="59" t="s">
        <v>200</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0</v>
      </c>
      <c r="AC98" s="114"/>
      <c r="AD98" s="5"/>
    </row>
    <row r="99" spans="1:30" x14ac:dyDescent="0.3">
      <c r="A99" s="110">
        <v>12</v>
      </c>
      <c r="B99" s="59" t="s">
        <v>33</v>
      </c>
      <c r="C99" s="59"/>
      <c r="D99" s="59"/>
      <c r="E99" s="59"/>
      <c r="F99" s="59"/>
      <c r="G99" s="59"/>
      <c r="H99" s="59"/>
      <c r="I99" s="59"/>
      <c r="J99" s="59"/>
      <c r="K99" s="59"/>
      <c r="L99" s="59"/>
      <c r="M99" s="59"/>
      <c r="N99" s="59"/>
      <c r="O99" s="59"/>
      <c r="P99" s="59"/>
      <c r="Q99" s="59"/>
      <c r="R99" s="59"/>
      <c r="S99" s="59"/>
      <c r="T99" s="59"/>
      <c r="U99" s="59"/>
      <c r="V99" s="59"/>
      <c r="W99" s="59"/>
      <c r="X99" s="59"/>
      <c r="Y99" s="59"/>
      <c r="Z99" s="238">
        <f>-AB99</f>
        <v>0</v>
      </c>
      <c r="AA99" s="112"/>
      <c r="AB99" s="98">
        <v>0</v>
      </c>
      <c r="AC99" s="114"/>
      <c r="AD99" s="5"/>
    </row>
    <row r="100" spans="1:30" x14ac:dyDescent="0.3">
      <c r="A100" s="110">
        <v>13</v>
      </c>
      <c r="B100" s="59" t="s">
        <v>276</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14</v>
      </c>
      <c r="B101" s="59" t="s">
        <v>277</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c r="AA101" s="112"/>
      <c r="AB101" s="98">
        <v>-3000</v>
      </c>
      <c r="AC101" s="114"/>
      <c r="AD101" s="5"/>
    </row>
    <row r="102" spans="1:30" x14ac:dyDescent="0.3">
      <c r="A102" s="110">
        <v>15</v>
      </c>
      <c r="B102" s="59" t="s">
        <v>28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-26</v>
      </c>
      <c r="AC102" s="114"/>
      <c r="AD102" s="5"/>
    </row>
    <row r="103" spans="1:30" x14ac:dyDescent="0.3">
      <c r="A103" s="110">
        <v>16</v>
      </c>
      <c r="B103" s="59" t="s">
        <v>118</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0</v>
      </c>
      <c r="AC103" s="114"/>
      <c r="AD103" s="5"/>
    </row>
    <row r="104" spans="1:30" x14ac:dyDescent="0.3">
      <c r="A104" s="110">
        <v>17</v>
      </c>
      <c r="B104" s="59" t="s">
        <v>188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0</v>
      </c>
      <c r="AC104" s="114"/>
      <c r="AD104" s="5"/>
    </row>
    <row r="105" spans="1:30" x14ac:dyDescent="0.3">
      <c r="A105" s="110">
        <v>18</v>
      </c>
      <c r="B105" s="59" t="s">
        <v>162</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-369</v>
      </c>
      <c r="AC105" s="114"/>
      <c r="AD105" s="5"/>
    </row>
    <row r="106" spans="1:30" x14ac:dyDescent="0.3">
      <c r="A106" s="110">
        <v>19</v>
      </c>
      <c r="B106" s="59" t="s">
        <v>257</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-167</v>
      </c>
      <c r="AC106" s="114"/>
      <c r="AD106" s="5"/>
    </row>
    <row r="107" spans="1:30" x14ac:dyDescent="0.3">
      <c r="A107" s="110">
        <v>20</v>
      </c>
      <c r="B107" s="59" t="s">
        <v>258</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-133</v>
      </c>
      <c r="AC107" s="114"/>
      <c r="AD107" s="5"/>
    </row>
    <row r="108" spans="1:30" x14ac:dyDescent="0.3">
      <c r="A108" s="110">
        <v>21</v>
      </c>
      <c r="B108" s="59" t="s">
        <v>259</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0</v>
      </c>
      <c r="AC108" s="114"/>
      <c r="AD108" s="5"/>
    </row>
    <row r="109" spans="1:30" x14ac:dyDescent="0.3">
      <c r="A109" s="110">
        <v>22</v>
      </c>
      <c r="B109" s="59" t="s">
        <v>260</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0</v>
      </c>
      <c r="AC109" s="114"/>
      <c r="AD109" s="5"/>
    </row>
    <row r="110" spans="1:30" x14ac:dyDescent="0.3">
      <c r="A110" s="110">
        <v>23</v>
      </c>
      <c r="B110" s="59" t="s">
        <v>131</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24</v>
      </c>
      <c r="B111" s="59" t="s">
        <v>137</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f>-15-71</f>
        <v>-86</v>
      </c>
      <c r="AC111" s="114"/>
      <c r="AD111" s="5"/>
    </row>
    <row r="112" spans="1:30" x14ac:dyDescent="0.3">
      <c r="A112" s="110">
        <v>25</v>
      </c>
      <c r="B112" s="59" t="s">
        <v>255</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-5</v>
      </c>
      <c r="AC112" s="114"/>
      <c r="AD112" s="5"/>
    </row>
    <row r="113" spans="1:30" x14ac:dyDescent="0.3">
      <c r="A113" s="110">
        <v>26</v>
      </c>
      <c r="B113" s="59" t="s">
        <v>226</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-2423</v>
      </c>
      <c r="AC113" s="114"/>
      <c r="AD113" s="5"/>
    </row>
    <row r="114" spans="1:30" x14ac:dyDescent="0.3">
      <c r="A114" s="110"/>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113"/>
      <c r="AC114" s="114"/>
      <c r="AD114" s="5"/>
    </row>
    <row r="115" spans="1:30" x14ac:dyDescent="0.3">
      <c r="A115" s="110"/>
      <c r="B115" s="111" t="s">
        <v>29</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112"/>
      <c r="AB115" s="116"/>
      <c r="AC115" s="114"/>
      <c r="AD115" s="5"/>
    </row>
    <row r="116" spans="1:30" x14ac:dyDescent="0.3">
      <c r="A116" s="110"/>
      <c r="B116" s="40" t="s">
        <v>227</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v>0</v>
      </c>
      <c r="AA116" s="112"/>
      <c r="AB116" s="116"/>
      <c r="AC116" s="114"/>
      <c r="AD116" s="5"/>
    </row>
    <row r="117" spans="1:30" s="23" customFormat="1" x14ac:dyDescent="0.3">
      <c r="A117" s="47"/>
      <c r="B117" s="40" t="s">
        <v>156</v>
      </c>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238">
        <v>0</v>
      </c>
      <c r="AA117" s="97"/>
      <c r="AB117" s="98"/>
      <c r="AC117" s="43"/>
      <c r="AD117" s="22"/>
    </row>
    <row r="118" spans="1:30" s="23" customFormat="1" x14ac:dyDescent="0.3">
      <c r="A118" s="47"/>
      <c r="B118" s="40" t="s">
        <v>157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8">
        <v>0</v>
      </c>
      <c r="AA118" s="97"/>
      <c r="AB118" s="98"/>
      <c r="AC118" s="43"/>
      <c r="AD118" s="22"/>
    </row>
    <row r="119" spans="1:30" s="23" customFormat="1" x14ac:dyDescent="0.3">
      <c r="A119" s="47"/>
      <c r="B119" s="40" t="s">
        <v>262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263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312</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-8765</v>
      </c>
      <c r="AA121" s="97"/>
      <c r="AB121" s="98"/>
      <c r="AC121" s="43"/>
      <c r="AD121" s="22"/>
    </row>
    <row r="122" spans="1:30" s="23" customFormat="1" x14ac:dyDescent="0.3">
      <c r="A122" s="47"/>
      <c r="B122" s="40" t="s">
        <v>142</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143</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0</v>
      </c>
      <c r="AA123" s="97"/>
      <c r="AB123" s="98"/>
      <c r="AC123" s="43"/>
      <c r="AD123" s="22"/>
    </row>
    <row r="124" spans="1:30" s="23" customFormat="1" x14ac:dyDescent="0.3">
      <c r="A124" s="47"/>
      <c r="B124" s="40" t="s">
        <v>173</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163</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189</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30</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f>SUM(Z116:Z126)</f>
        <v>-8765</v>
      </c>
      <c r="AA127" s="97"/>
      <c r="AB127" s="97">
        <f>SUM(AB87:AB125)</f>
        <v>-9310</v>
      </c>
      <c r="AC127" s="43"/>
      <c r="AD127" s="22"/>
    </row>
    <row r="128" spans="1:30" s="23" customFormat="1" x14ac:dyDescent="0.3">
      <c r="A128" s="47"/>
      <c r="B128" s="40" t="s">
        <v>31</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f>Z86+Z127+Z99</f>
        <v>4</v>
      </c>
      <c r="AA128" s="97"/>
      <c r="AB128" s="97">
        <f>AB86+AB127</f>
        <v>0</v>
      </c>
      <c r="AC128" s="43"/>
      <c r="AD128" s="22"/>
    </row>
    <row r="129" spans="1:30" s="23" customFormat="1" x14ac:dyDescent="0.3">
      <c r="A129" s="18"/>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106"/>
      <c r="AA129" s="106"/>
      <c r="AB129" s="106"/>
      <c r="AC129" s="21"/>
      <c r="AD129" s="22"/>
    </row>
    <row r="130" spans="1:30" s="23" customFormat="1" x14ac:dyDescent="0.3">
      <c r="A130" s="18"/>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117"/>
      <c r="AC130" s="21"/>
      <c r="AD130" s="22"/>
    </row>
    <row r="131" spans="1:30" s="23" customFormat="1" ht="18.600000000000001" thickBot="1" x14ac:dyDescent="0.4">
      <c r="A131" s="83"/>
      <c r="B131" s="84" t="str">
        <f>B53</f>
        <v>PM27 INVESTOR REPORT QUARTER ENDING DECEMBER 2022</v>
      </c>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118"/>
      <c r="AC131" s="87"/>
      <c r="AD131" s="22"/>
    </row>
    <row r="132" spans="1:30" x14ac:dyDescent="0.3">
      <c r="A132" s="119"/>
      <c r="B132" s="120" t="s">
        <v>32</v>
      </c>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2"/>
      <c r="AC132" s="123"/>
      <c r="AD132" s="5"/>
    </row>
    <row r="133" spans="1:30" x14ac:dyDescent="0.3">
      <c r="A133" s="7"/>
      <c r="B133" s="124"/>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1"/>
      <c r="AC133" s="10"/>
      <c r="AD133" s="5"/>
    </row>
    <row r="134" spans="1:30" x14ac:dyDescent="0.3">
      <c r="A134" s="7"/>
      <c r="B134" s="125" t="s">
        <v>192</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1"/>
      <c r="AC134" s="10"/>
      <c r="AD134" s="5"/>
    </row>
    <row r="135" spans="1:30" s="23" customFormat="1" x14ac:dyDescent="0.3">
      <c r="A135" s="47"/>
      <c r="B135" s="40" t="s">
        <v>199</v>
      </c>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98">
        <f>SUM(F29:H29)*1.5%</f>
        <v>10351.994999999999</v>
      </c>
      <c r="AC135" s="43"/>
      <c r="AD135" s="22"/>
    </row>
    <row r="136" spans="1:30" s="23" customFormat="1" x14ac:dyDescent="0.3">
      <c r="A136" s="47"/>
      <c r="B136" s="40" t="s">
        <v>204</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8">
        <f>+'September 2022'!AB143</f>
        <v>9031.994999999999</v>
      </c>
      <c r="AC136" s="43"/>
      <c r="AD136" s="22"/>
    </row>
    <row r="137" spans="1:30" s="23" customFormat="1" x14ac:dyDescent="0.3">
      <c r="A137" s="47"/>
      <c r="B137" s="40" t="s">
        <v>248</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8"/>
      <c r="AC137" s="43"/>
      <c r="AD137" s="22"/>
    </row>
    <row r="138" spans="1:30" s="23" customFormat="1" x14ac:dyDescent="0.3">
      <c r="A138" s="47"/>
      <c r="B138" s="40" t="s">
        <v>250</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v>0</v>
      </c>
      <c r="AC138" s="43"/>
      <c r="AD138" s="22"/>
    </row>
    <row r="139" spans="1:30" s="23" customFormat="1" x14ac:dyDescent="0.3">
      <c r="A139" s="47"/>
      <c r="B139" s="40" t="s">
        <v>198</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v>0</v>
      </c>
      <c r="AC139" s="43"/>
      <c r="AD139" s="22"/>
    </row>
    <row r="140" spans="1:30" s="23" customFormat="1" x14ac:dyDescent="0.3">
      <c r="A140" s="47"/>
      <c r="B140" s="40" t="s">
        <v>150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v>0</v>
      </c>
      <c r="AC140" s="43"/>
      <c r="AD140" s="22"/>
    </row>
    <row r="141" spans="1:30" s="23" customFormat="1" x14ac:dyDescent="0.3">
      <c r="A141" s="47"/>
      <c r="B141" s="40" t="s">
        <v>87</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251</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-133</v>
      </c>
      <c r="AC142" s="43"/>
      <c r="AD142" s="22"/>
    </row>
    <row r="143" spans="1:30" s="23" customFormat="1" x14ac:dyDescent="0.3">
      <c r="A143" s="47"/>
      <c r="B143" s="40" t="s">
        <v>203</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f>SUM(AB136:AB142)</f>
        <v>8898.994999999999</v>
      </c>
      <c r="AC143" s="43"/>
      <c r="AD143" s="22"/>
    </row>
    <row r="144" spans="1:30" x14ac:dyDescent="0.3">
      <c r="A144" s="7"/>
      <c r="B144" s="124"/>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1"/>
      <c r="AC144" s="10"/>
      <c r="AD144" s="5"/>
    </row>
    <row r="145" spans="1:30" x14ac:dyDescent="0.3">
      <c r="A145" s="7"/>
      <c r="B145" s="125" t="s">
        <v>190</v>
      </c>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1"/>
      <c r="AC145" s="10"/>
      <c r="AD145" s="5"/>
    </row>
    <row r="146" spans="1:30" s="23" customFormat="1" x14ac:dyDescent="0.3">
      <c r="A146" s="47"/>
      <c r="B146" s="59" t="s">
        <v>191</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SUM(J29:L29)*1.5%</f>
        <v>684.42</v>
      </c>
      <c r="AC146" s="43"/>
      <c r="AD146" s="22"/>
    </row>
    <row r="147" spans="1:30" s="23" customFormat="1" x14ac:dyDescent="0.3">
      <c r="A147" s="47"/>
      <c r="B147" s="59" t="s">
        <v>205</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8">
        <f>SUM(J29:L29)*0.015</f>
        <v>684.42</v>
      </c>
      <c r="AC147" s="43"/>
      <c r="AD147" s="22"/>
    </row>
    <row r="148" spans="1:30" s="23" customFormat="1" x14ac:dyDescent="0.3">
      <c r="A148" s="47"/>
      <c r="B148" s="59" t="s">
        <v>93</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8"/>
      <c r="AC148" s="43"/>
      <c r="AD148" s="22"/>
    </row>
    <row r="149" spans="1:30" s="23" customFormat="1" x14ac:dyDescent="0.3">
      <c r="A149" s="47"/>
      <c r="B149" s="40" t="s">
        <v>250</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v>0</v>
      </c>
      <c r="AC149" s="43"/>
      <c r="AD149" s="22"/>
    </row>
    <row r="150" spans="1:30" s="23" customFormat="1" x14ac:dyDescent="0.3">
      <c r="A150" s="47"/>
      <c r="B150" s="59" t="s">
        <v>129</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v>0</v>
      </c>
      <c r="AC150" s="43"/>
      <c r="AD150" s="22"/>
    </row>
    <row r="151" spans="1:30" s="23" customFormat="1" x14ac:dyDescent="0.3">
      <c r="A151" s="47"/>
      <c r="B151" s="59" t="s">
        <v>150</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v>0</v>
      </c>
      <c r="AC151" s="43"/>
      <c r="AD151" s="22"/>
    </row>
    <row r="152" spans="1:30" s="23" customFormat="1" x14ac:dyDescent="0.3">
      <c r="A152" s="47"/>
      <c r="B152" s="59" t="s">
        <v>151</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0" s="23" customFormat="1" x14ac:dyDescent="0.3">
      <c r="A153" s="47"/>
      <c r="B153" s="59" t="s">
        <v>180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0" s="23" customFormat="1" x14ac:dyDescent="0.3">
      <c r="A154" s="47"/>
      <c r="B154" s="59" t="s">
        <v>87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0" s="23" customFormat="1" x14ac:dyDescent="0.3">
      <c r="A155" s="47"/>
      <c r="B155" s="40" t="s">
        <v>251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0" s="23" customFormat="1" x14ac:dyDescent="0.3">
      <c r="A156" s="47"/>
      <c r="B156" s="59" t="s">
        <v>202</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f>SUM(AB147:AB155)</f>
        <v>684.42</v>
      </c>
      <c r="AC156" s="43"/>
      <c r="AD156" s="22"/>
    </row>
    <row r="157" spans="1:30" x14ac:dyDescent="0.3">
      <c r="A157" s="7"/>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126"/>
      <c r="AC157" s="10"/>
      <c r="AD157" s="5"/>
    </row>
    <row r="158" spans="1:30" x14ac:dyDescent="0.3">
      <c r="A158" s="7"/>
      <c r="B158" s="125" t="s">
        <v>174</v>
      </c>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8"/>
      <c r="AC158" s="10"/>
      <c r="AD158" s="5"/>
    </row>
    <row r="159" spans="1:30" s="23" customFormat="1" x14ac:dyDescent="0.3">
      <c r="A159" s="129"/>
      <c r="B159" s="230" t="s">
        <v>281</v>
      </c>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1">
        <f>+'September 2022'!AB162</f>
        <v>0</v>
      </c>
      <c r="AC159" s="132"/>
      <c r="AD159" s="22"/>
    </row>
    <row r="160" spans="1:30" s="23" customFormat="1" x14ac:dyDescent="0.3">
      <c r="A160" s="129"/>
      <c r="B160" s="230" t="s">
        <v>175</v>
      </c>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1">
        <f>X64</f>
        <v>0</v>
      </c>
      <c r="AC160" s="132"/>
      <c r="AD160" s="22"/>
    </row>
    <row r="161" spans="1:262" s="23" customFormat="1" x14ac:dyDescent="0.3">
      <c r="A161" s="129"/>
      <c r="B161" s="230" t="s">
        <v>249</v>
      </c>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1">
        <v>0</v>
      </c>
      <c r="AC161" s="132"/>
      <c r="AD161" s="22"/>
    </row>
    <row r="162" spans="1:262" s="23" customFormat="1" x14ac:dyDescent="0.3">
      <c r="A162" s="129"/>
      <c r="B162" s="230" t="s">
        <v>176</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AB159+AB160+AB161</f>
        <v>0</v>
      </c>
      <c r="AC162" s="132"/>
      <c r="AD162" s="22"/>
    </row>
    <row r="163" spans="1:262" x14ac:dyDescent="0.3">
      <c r="A163" s="7"/>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126"/>
      <c r="AC163" s="10"/>
      <c r="AD163" s="5"/>
    </row>
    <row r="164" spans="1:262" x14ac:dyDescent="0.3">
      <c r="A164" s="7"/>
      <c r="B164" s="125" t="s">
        <v>34</v>
      </c>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133"/>
      <c r="AC164" s="10"/>
      <c r="AD164" s="5"/>
    </row>
    <row r="165" spans="1:262" s="23" customFormat="1" x14ac:dyDescent="0.3">
      <c r="A165" s="47"/>
      <c r="B165" s="40" t="s">
        <v>35</v>
      </c>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98">
        <v>0</v>
      </c>
      <c r="AC165" s="43"/>
      <c r="AD165" s="22"/>
    </row>
    <row r="166" spans="1:262" s="23" customFormat="1" x14ac:dyDescent="0.3">
      <c r="A166" s="47"/>
      <c r="B166" s="40" t="s">
        <v>36</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8">
        <v>0</v>
      </c>
      <c r="AC166" s="43"/>
      <c r="AD166" s="22"/>
    </row>
    <row r="167" spans="1:262" s="23" customFormat="1" x14ac:dyDescent="0.3">
      <c r="A167" s="47"/>
      <c r="B167" s="40" t="s">
        <v>219</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8">
        <v>0</v>
      </c>
      <c r="AC167" s="43"/>
      <c r="AD167" s="22"/>
    </row>
    <row r="168" spans="1:262" s="23" customFormat="1" x14ac:dyDescent="0.3">
      <c r="A168" s="47"/>
      <c r="B168" s="40" t="s">
        <v>37</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+AB165+AB166+AB167</f>
        <v>0</v>
      </c>
      <c r="AC168" s="43"/>
      <c r="AD168" s="22"/>
    </row>
    <row r="169" spans="1:262" s="23" customFormat="1" x14ac:dyDescent="0.3">
      <c r="A169" s="47"/>
      <c r="B169" s="40" t="s">
        <v>268</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f>+AB99</f>
        <v>0</v>
      </c>
      <c r="AC169" s="43"/>
      <c r="AD169" s="22"/>
    </row>
    <row r="170" spans="1:262" s="23" customFormat="1" x14ac:dyDescent="0.3">
      <c r="A170" s="47"/>
      <c r="B170" s="40" t="s">
        <v>38</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f>AB168+AB169</f>
        <v>0</v>
      </c>
      <c r="AC170" s="43"/>
      <c r="AD170" s="22"/>
    </row>
    <row r="171" spans="1:262" s="23" customFormat="1" x14ac:dyDescent="0.3">
      <c r="A171" s="47"/>
      <c r="B171" s="40" t="s">
        <v>124</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-AB85</f>
        <v>0</v>
      </c>
      <c r="AC171" s="43"/>
      <c r="AD171" s="22"/>
    </row>
    <row r="172" spans="1:262" ht="16.2" thickBot="1" x14ac:dyDescent="0.35">
      <c r="A172" s="7"/>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126"/>
      <c r="AC172" s="10"/>
      <c r="AD172" s="5"/>
    </row>
    <row r="173" spans="1:262" x14ac:dyDescent="0.3">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134"/>
      <c r="AC173" s="4"/>
      <c r="AD173" s="5"/>
    </row>
    <row r="174" spans="1:262" s="136" customFormat="1" x14ac:dyDescent="0.3">
      <c r="A174" s="7"/>
      <c r="B174" s="125" t="s">
        <v>193</v>
      </c>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135"/>
      <c r="AC174" s="10"/>
      <c r="AD174" s="5"/>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row>
    <row r="175" spans="1:262" s="137" customFormat="1" x14ac:dyDescent="0.3">
      <c r="A175" s="47"/>
      <c r="B175" s="40" t="s">
        <v>332</v>
      </c>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98">
        <v>0</v>
      </c>
      <c r="AC175" s="43"/>
      <c r="AD175" s="22"/>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row>
    <row r="176" spans="1:262" s="137" customFormat="1" x14ac:dyDescent="0.3">
      <c r="A176" s="47"/>
      <c r="B176" s="40" t="s">
        <v>210</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8">
        <f>+'September 2022'!AB179</f>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7" customFormat="1" x14ac:dyDescent="0.3">
      <c r="A177" s="47"/>
      <c r="B177" s="40" t="s">
        <v>234</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8">
        <f>-AB185</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7" customFormat="1" x14ac:dyDescent="0.3">
      <c r="A178" s="47"/>
      <c r="B178" s="40" t="s">
        <v>236</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f>+AB81</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207</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+AB176+AB177-AB178</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9" customFormat="1" ht="16.2" thickBot="1" x14ac:dyDescent="0.35">
      <c r="A180" s="138"/>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126"/>
      <c r="AC180" s="10"/>
      <c r="AD180" s="5"/>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row>
    <row r="181" spans="1:262" x14ac:dyDescent="0.3">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134"/>
      <c r="AC181" s="4"/>
      <c r="AD181" s="5"/>
    </row>
    <row r="182" spans="1:262" s="136" customFormat="1" x14ac:dyDescent="0.3">
      <c r="A182" s="7"/>
      <c r="B182" s="125" t="s">
        <v>206</v>
      </c>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135"/>
      <c r="AC182" s="10"/>
      <c r="AD182" s="5"/>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row>
    <row r="183" spans="1:262" s="137" customFormat="1" x14ac:dyDescent="0.3">
      <c r="A183" s="47"/>
      <c r="B183" s="40" t="s">
        <v>208</v>
      </c>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98">
        <v>300</v>
      </c>
      <c r="AC183" s="43"/>
      <c r="AD183" s="22"/>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row>
    <row r="184" spans="1:262" s="137" customFormat="1" x14ac:dyDescent="0.3">
      <c r="A184" s="47"/>
      <c r="B184" s="40" t="s">
        <v>211</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98">
        <f>+'September 2022'!AB187</f>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7" customFormat="1" x14ac:dyDescent="0.3">
      <c r="A185" s="47"/>
      <c r="B185" s="59" t="s">
        <v>228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8">
        <v>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7" customFormat="1" x14ac:dyDescent="0.3">
      <c r="A186" s="47"/>
      <c r="B186" s="59" t="s">
        <v>229</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f>-AB100</f>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209</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AB183-AB185+AB186</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9" customFormat="1" ht="16.2" thickBot="1" x14ac:dyDescent="0.35">
      <c r="A188" s="138"/>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126"/>
      <c r="AC188" s="10"/>
      <c r="AD188" s="5"/>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row>
    <row r="189" spans="1:262" x14ac:dyDescent="0.3">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134"/>
      <c r="AC189" s="4"/>
      <c r="AD189" s="5"/>
    </row>
    <row r="190" spans="1:262" s="136" customFormat="1" x14ac:dyDescent="0.3">
      <c r="A190" s="7"/>
      <c r="B190" s="125" t="s">
        <v>212</v>
      </c>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135"/>
      <c r="AC190" s="10"/>
      <c r="AD190" s="5"/>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row>
    <row r="191" spans="1:262" s="137" customFormat="1" x14ac:dyDescent="0.3">
      <c r="A191" s="47"/>
      <c r="B191" s="40" t="s">
        <v>334</v>
      </c>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98">
        <v>0</v>
      </c>
      <c r="AC191" s="43"/>
      <c r="AD191" s="22"/>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row>
    <row r="192" spans="1:262" s="137" customFormat="1" x14ac:dyDescent="0.3">
      <c r="A192" s="47"/>
      <c r="B192" s="40" t="s">
        <v>213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98">
        <f>+'September 2022'!AB195</f>
        <v>813</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7" customFormat="1" x14ac:dyDescent="0.3">
      <c r="A193" s="47"/>
      <c r="B193" s="40" t="s">
        <v>235</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8">
        <f>AB201</f>
        <v>2512</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7"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f>AB82</f>
        <v>2672</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346</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AB192+AB193-AB194</f>
        <v>653</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9" customFormat="1" ht="16.2" thickBot="1" x14ac:dyDescent="0.35">
      <c r="A196" s="138"/>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126"/>
      <c r="AC196" s="10"/>
      <c r="AD196" s="5"/>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row>
    <row r="197" spans="1:262" x14ac:dyDescent="0.3">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134"/>
      <c r="AC197" s="4"/>
      <c r="AD197" s="5"/>
    </row>
    <row r="198" spans="1:262" s="136" customFormat="1" x14ac:dyDescent="0.3">
      <c r="A198" s="7"/>
      <c r="B198" s="125" t="s">
        <v>333</v>
      </c>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135"/>
      <c r="AC198" s="10"/>
      <c r="AD198" s="5"/>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row>
    <row r="199" spans="1:262" s="137" customFormat="1" x14ac:dyDescent="0.3">
      <c r="A199" s="47"/>
      <c r="B199" s="40" t="s">
        <v>214</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v>301</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7" customFormat="1" x14ac:dyDescent="0.3">
      <c r="A200" s="47"/>
      <c r="B200" s="40" t="s">
        <v>215</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98">
        <f>+'September 2022'!AB203</f>
        <v>2520</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7" customFormat="1" x14ac:dyDescent="0.3">
      <c r="A201" s="47"/>
      <c r="B201" s="59" t="s">
        <v>256</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8">
        <v>2512</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7" customFormat="1" x14ac:dyDescent="0.3">
      <c r="A202" s="47"/>
      <c r="B202" s="59" t="s">
        <v>231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f>-AB101</f>
        <v>3000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AB200-AB201+AB202</f>
        <v>3008</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9" customFormat="1" ht="16.2" thickBot="1" x14ac:dyDescent="0.35">
      <c r="A204" s="138"/>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126"/>
      <c r="AC204" s="10"/>
      <c r="AD204" s="5"/>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row>
    <row r="205" spans="1:262" x14ac:dyDescent="0.3">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134"/>
      <c r="AC205" s="4"/>
      <c r="AD205" s="5"/>
    </row>
    <row r="206" spans="1:262" s="136" customFormat="1" x14ac:dyDescent="0.3">
      <c r="A206" s="7"/>
      <c r="B206" s="125" t="s">
        <v>237</v>
      </c>
      <c r="C206" s="99"/>
      <c r="D206" s="99"/>
      <c r="E206" s="99"/>
      <c r="F206" s="99"/>
      <c r="G206" s="99"/>
      <c r="H206" s="99"/>
      <c r="I206" s="99"/>
      <c r="J206" s="99"/>
      <c r="K206" s="99"/>
      <c r="L206" s="99"/>
      <c r="M206" s="99"/>
      <c r="N206" s="99"/>
      <c r="O206" s="99"/>
      <c r="P206" s="99"/>
      <c r="Q206" s="99"/>
      <c r="R206" s="99"/>
      <c r="S206" s="99"/>
      <c r="T206" s="99"/>
      <c r="U206" s="99"/>
      <c r="V206" s="99"/>
      <c r="W206" s="99"/>
      <c r="X206" s="99"/>
      <c r="Y206" s="233" t="s">
        <v>243</v>
      </c>
      <c r="Z206" s="233" t="s">
        <v>244</v>
      </c>
      <c r="AA206" s="12"/>
      <c r="AB206" s="234" t="s">
        <v>80</v>
      </c>
      <c r="AC206" s="10"/>
      <c r="AD206" s="5"/>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row>
    <row r="207" spans="1:262" s="137" customFormat="1" x14ac:dyDescent="0.3">
      <c r="A207" s="47"/>
      <c r="B207" s="40" t="s">
        <v>238</v>
      </c>
      <c r="C207" s="40"/>
      <c r="D207" s="40"/>
      <c r="E207" s="40"/>
      <c r="F207" s="40"/>
      <c r="G207" s="40"/>
      <c r="H207" s="40"/>
      <c r="I207" s="40"/>
      <c r="J207" s="40"/>
      <c r="K207" s="40"/>
      <c r="L207" s="40"/>
      <c r="M207" s="40"/>
      <c r="N207" s="40"/>
      <c r="O207" s="40"/>
      <c r="P207" s="40"/>
      <c r="Q207" s="40"/>
      <c r="R207" s="40"/>
      <c r="S207" s="40"/>
      <c r="T207" s="40"/>
      <c r="U207" s="40"/>
      <c r="V207" s="40"/>
      <c r="W207" s="40"/>
      <c r="X207" s="40"/>
      <c r="Y207" s="98">
        <f>SUM(F29:R29)*0.16</f>
        <v>124206.40000000001</v>
      </c>
      <c r="Z207" s="70"/>
      <c r="AA207" s="40"/>
      <c r="AB207" s="98"/>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7" customFormat="1" x14ac:dyDescent="0.3">
      <c r="A208" s="47"/>
      <c r="B208" s="40" t="s">
        <v>239</v>
      </c>
      <c r="C208" s="40"/>
      <c r="D208" s="40"/>
      <c r="E208" s="40"/>
      <c r="F208" s="40"/>
      <c r="G208" s="40"/>
      <c r="H208" s="40"/>
      <c r="I208" s="40"/>
      <c r="J208" s="40"/>
      <c r="K208" s="40"/>
      <c r="L208" s="40"/>
      <c r="M208" s="40"/>
      <c r="N208" s="40"/>
      <c r="O208" s="40"/>
      <c r="P208" s="40"/>
      <c r="Q208" s="40"/>
      <c r="R208" s="40"/>
      <c r="S208" s="40"/>
      <c r="T208" s="40"/>
      <c r="U208" s="40"/>
      <c r="V208" s="40"/>
      <c r="W208" s="40"/>
      <c r="X208" s="40"/>
      <c r="Y208" s="98">
        <f>+'September 2022'!Y210</f>
        <v>0</v>
      </c>
      <c r="Z208" s="98">
        <f>+'September 2022'!Z210</f>
        <v>382</v>
      </c>
      <c r="AA208" s="40"/>
      <c r="AB208" s="98">
        <f>Y208+Z208</f>
        <v>382</v>
      </c>
      <c r="AC208" s="43"/>
      <c r="AD208" s="22"/>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row>
    <row r="209" spans="1:262" s="137" customFormat="1" x14ac:dyDescent="0.3">
      <c r="A209" s="47"/>
      <c r="B209" s="40" t="s">
        <v>240</v>
      </c>
      <c r="C209" s="40"/>
      <c r="D209" s="40"/>
      <c r="E209" s="40"/>
      <c r="F209" s="40"/>
      <c r="G209" s="40"/>
      <c r="H209" s="40"/>
      <c r="I209" s="40"/>
      <c r="J209" s="40"/>
      <c r="K209" s="40"/>
      <c r="L209" s="40"/>
      <c r="M209" s="40"/>
      <c r="N209" s="40"/>
      <c r="O209" s="40"/>
      <c r="P209" s="40"/>
      <c r="Q209" s="40"/>
      <c r="R209" s="40"/>
      <c r="S209" s="40"/>
      <c r="T209" s="40"/>
      <c r="U209" s="40"/>
      <c r="V209" s="40"/>
      <c r="W209" s="40"/>
      <c r="X209" s="40"/>
      <c r="Y209" s="97">
        <v>0</v>
      </c>
      <c r="Z209" s="97">
        <v>0</v>
      </c>
      <c r="AA209" s="40"/>
      <c r="AB209" s="98">
        <f>Y209+Z209</f>
        <v>0</v>
      </c>
      <c r="AC209" s="43"/>
      <c r="AD209" s="22"/>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row>
    <row r="210" spans="1:262" s="137" customFormat="1" x14ac:dyDescent="0.3">
      <c r="A210" s="47"/>
      <c r="B210" s="40" t="s">
        <v>241</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Y208+Y209</f>
        <v>0</v>
      </c>
      <c r="Z210" s="98">
        <f>Z209+Z208</f>
        <v>382</v>
      </c>
      <c r="AA210" s="40"/>
      <c r="AB210" s="98">
        <f>Y210+Z210</f>
        <v>382</v>
      </c>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242</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Y207-Y210-Z210</f>
        <v>123824.40000000001</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9" customFormat="1" ht="16.2" thickBot="1" x14ac:dyDescent="0.35">
      <c r="A212" s="138"/>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126"/>
      <c r="AC212" s="10"/>
      <c r="AD212" s="5"/>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row>
    <row r="213" spans="1:262" x14ac:dyDescent="0.3">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134"/>
      <c r="AC213" s="4"/>
      <c r="AD213" s="5"/>
    </row>
    <row r="214" spans="1:262" s="136" customFormat="1" x14ac:dyDescent="0.3">
      <c r="A214" s="7"/>
      <c r="B214" s="125" t="s">
        <v>267</v>
      </c>
      <c r="C214" s="99"/>
      <c r="D214" s="99"/>
      <c r="E214" s="99"/>
      <c r="F214" s="99"/>
      <c r="G214" s="99"/>
      <c r="H214" s="99"/>
      <c r="I214" s="99"/>
      <c r="J214" s="99"/>
      <c r="K214" s="99"/>
      <c r="L214" s="99"/>
      <c r="M214" s="99"/>
      <c r="N214" s="99"/>
      <c r="O214" s="99"/>
      <c r="P214" s="99"/>
      <c r="Q214" s="99"/>
      <c r="R214" s="99"/>
      <c r="S214" s="99"/>
      <c r="T214" s="99"/>
      <c r="U214" s="99"/>
      <c r="V214" s="99"/>
      <c r="W214" s="99"/>
      <c r="X214" s="99"/>
      <c r="Y214" s="233"/>
      <c r="Z214" s="233"/>
      <c r="AA214" s="12"/>
      <c r="AB214" s="234" t="s">
        <v>80</v>
      </c>
      <c r="AC214" s="10"/>
      <c r="AD214" s="5"/>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row>
    <row r="215" spans="1:262" s="137" customFormat="1" x14ac:dyDescent="0.3">
      <c r="A215" s="47"/>
      <c r="B215" s="40" t="s">
        <v>265</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c r="Z215" s="70"/>
      <c r="AA215" s="40"/>
      <c r="AB215" s="237">
        <v>651000</v>
      </c>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7" customFormat="1" x14ac:dyDescent="0.3">
      <c r="A216" s="47"/>
      <c r="B216" s="40" t="s">
        <v>325</v>
      </c>
      <c r="C216" s="40"/>
      <c r="D216" s="40"/>
      <c r="E216" s="40"/>
      <c r="F216" s="40"/>
      <c r="G216" s="40"/>
      <c r="H216" s="40"/>
      <c r="I216" s="40"/>
      <c r="J216" s="40"/>
      <c r="K216" s="40"/>
      <c r="L216" s="40"/>
      <c r="M216" s="40"/>
      <c r="N216" s="40"/>
      <c r="O216" s="40"/>
      <c r="P216" s="40"/>
      <c r="Q216" s="40"/>
      <c r="R216" s="40"/>
      <c r="S216" s="40"/>
      <c r="T216" s="40"/>
      <c r="U216" s="40"/>
      <c r="V216" s="40"/>
      <c r="W216" s="40"/>
      <c r="X216" s="40"/>
      <c r="Y216" s="98"/>
      <c r="Z216" s="98"/>
      <c r="AA216" s="40"/>
      <c r="AB216" s="237">
        <v>646857</v>
      </c>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7" customFormat="1" x14ac:dyDescent="0.3">
      <c r="A217" s="47"/>
      <c r="B217" s="40" t="s">
        <v>266</v>
      </c>
      <c r="C217" s="40"/>
      <c r="D217" s="40"/>
      <c r="E217" s="40"/>
      <c r="F217" s="40"/>
      <c r="G217" s="40"/>
      <c r="H217" s="40"/>
      <c r="I217" s="40"/>
      <c r="J217" s="40"/>
      <c r="K217" s="40"/>
      <c r="L217" s="40"/>
      <c r="M217" s="40"/>
      <c r="N217" s="40"/>
      <c r="O217" s="40"/>
      <c r="P217" s="40"/>
      <c r="Q217" s="40"/>
      <c r="R217" s="40"/>
      <c r="S217" s="40"/>
      <c r="T217" s="40"/>
      <c r="U217" s="40"/>
      <c r="V217" s="40"/>
      <c r="W217" s="40"/>
      <c r="X217" s="40"/>
      <c r="Y217" s="98"/>
      <c r="Z217" s="98"/>
      <c r="AA217" s="40"/>
      <c r="AB217" s="98">
        <f>AB215-AB216</f>
        <v>4143</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7" customFormat="1" x14ac:dyDescent="0.3">
      <c r="A218" s="47"/>
      <c r="B218" s="40" t="s">
        <v>279</v>
      </c>
      <c r="C218" s="40"/>
      <c r="D218" s="40"/>
      <c r="E218" s="40"/>
      <c r="F218" s="40"/>
      <c r="G218" s="40"/>
      <c r="H218" s="40"/>
      <c r="I218" s="40"/>
      <c r="J218" s="40"/>
      <c r="K218" s="40"/>
      <c r="L218" s="40"/>
      <c r="M218" s="40"/>
      <c r="N218" s="40"/>
      <c r="O218" s="40"/>
      <c r="P218" s="40"/>
      <c r="Q218" s="40"/>
      <c r="R218" s="40"/>
      <c r="S218" s="40"/>
      <c r="T218" s="40"/>
      <c r="U218" s="40"/>
      <c r="V218" s="40"/>
      <c r="W218" s="40"/>
      <c r="X218" s="40"/>
      <c r="Y218" s="97"/>
      <c r="Z218" s="97"/>
      <c r="AA218" s="40"/>
      <c r="AB218" s="240">
        <v>5.8248694316436296E-3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9" customFormat="1" ht="16.2" thickBot="1" x14ac:dyDescent="0.35">
      <c r="A219" s="138"/>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126"/>
      <c r="AC219" s="10"/>
      <c r="AD219" s="5"/>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row>
    <row r="220" spans="1:262" x14ac:dyDescent="0.3">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134"/>
      <c r="AC220" s="4"/>
      <c r="AD220" s="5"/>
    </row>
    <row r="221" spans="1:262" x14ac:dyDescent="0.3">
      <c r="A221" s="7"/>
      <c r="B221" s="125" t="s">
        <v>39</v>
      </c>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140"/>
      <c r="AC221" s="10"/>
      <c r="AD221" s="5"/>
    </row>
    <row r="222" spans="1:262" s="23" customFormat="1" x14ac:dyDescent="0.3">
      <c r="A222" s="47"/>
      <c r="B222" s="40" t="s">
        <v>40</v>
      </c>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142">
        <f>(AB86+AB88+AB89+AB90+AB91)/-AB92</f>
        <v>2.3190127970749543</v>
      </c>
      <c r="AC222" s="43" t="s">
        <v>81</v>
      </c>
      <c r="AD222" s="22"/>
    </row>
    <row r="223" spans="1:262" s="23" customFormat="1" x14ac:dyDescent="0.3">
      <c r="A223" s="47"/>
      <c r="B223" s="40" t="s">
        <v>41</v>
      </c>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142">
        <v>2.83</v>
      </c>
      <c r="AC223" s="43" t="s">
        <v>81</v>
      </c>
      <c r="AD223" s="22"/>
    </row>
    <row r="224" spans="1:262" s="23" customFormat="1" x14ac:dyDescent="0.3">
      <c r="A224" s="47"/>
      <c r="B224" s="40" t="s">
        <v>144</v>
      </c>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141">
        <f>(AB86+AB88+AB89+AB90+AB91+AB92)/-(AB93)</f>
        <v>15.787746170678338</v>
      </c>
      <c r="AC224" s="43" t="s">
        <v>81</v>
      </c>
      <c r="AD224" s="22"/>
    </row>
    <row r="225" spans="1:30" s="23" customFormat="1" x14ac:dyDescent="0.3">
      <c r="A225" s="47"/>
      <c r="B225" s="40" t="s">
        <v>145</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v>21.1</v>
      </c>
      <c r="AC225" s="43" t="s">
        <v>81</v>
      </c>
      <c r="AD225" s="22"/>
    </row>
    <row r="226" spans="1:30" s="23" customFormat="1" x14ac:dyDescent="0.3">
      <c r="A226" s="47"/>
      <c r="B226" s="40" t="s">
        <v>146</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1">
        <f>(AB86+AB88+AB89+AB90+AB91+AB92+AB93)/-(AB95)</f>
        <v>25.406015037593985</v>
      </c>
      <c r="AC226" s="43" t="s">
        <v>81</v>
      </c>
      <c r="AD226" s="22"/>
    </row>
    <row r="227" spans="1:30" s="23" customFormat="1" x14ac:dyDescent="0.3">
      <c r="A227" s="47"/>
      <c r="B227" s="40" t="s">
        <v>147</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32.24</v>
      </c>
      <c r="AC227" s="43" t="s">
        <v>81</v>
      </c>
      <c r="AD227" s="22"/>
    </row>
    <row r="228" spans="1:30" s="23" customFormat="1" x14ac:dyDescent="0.3">
      <c r="A228" s="47"/>
      <c r="B228" s="40" t="s">
        <v>177</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(AB86+AB88+AB89+AB90+AB91+AB92+AB93+AB95)/-(AB96)</f>
        <v>22.939929328621908</v>
      </c>
      <c r="AC228" s="43" t="s">
        <v>81</v>
      </c>
      <c r="AD228" s="22"/>
    </row>
    <row r="229" spans="1:30" s="23" customFormat="1" x14ac:dyDescent="0.3">
      <c r="A229" s="47"/>
      <c r="B229" s="40" t="s">
        <v>178</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27.73</v>
      </c>
      <c r="AC229" s="43" t="s">
        <v>81</v>
      </c>
      <c r="AD229" s="22"/>
    </row>
    <row r="230" spans="1:30" s="23" customFormat="1" x14ac:dyDescent="0.3">
      <c r="A230" s="47"/>
      <c r="B230" s="40" t="s">
        <v>164</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(AB86+AB88+AB89+AB90+AB91+AB92+AB93+AB95+AB96)/-(AB105)</f>
        <v>16.826558265582655</v>
      </c>
      <c r="AC230" s="43" t="s">
        <v>81</v>
      </c>
      <c r="AD230" s="22"/>
    </row>
    <row r="231" spans="1:30" s="23" customFormat="1" x14ac:dyDescent="0.3">
      <c r="A231" s="47"/>
      <c r="B231" s="40" t="s">
        <v>165</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17.97</v>
      </c>
      <c r="AC231" s="43" t="s">
        <v>81</v>
      </c>
      <c r="AD231" s="22"/>
    </row>
    <row r="232" spans="1:30" s="23" customFormat="1" x14ac:dyDescent="0.3">
      <c r="A232" s="18"/>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21"/>
      <c r="AD232" s="22"/>
    </row>
    <row r="233" spans="1:30" s="23" customFormat="1" x14ac:dyDescent="0.3">
      <c r="A233" s="18"/>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1"/>
      <c r="AD233" s="22"/>
    </row>
    <row r="234" spans="1:30" s="23" customFormat="1" ht="18.600000000000001" thickBot="1" x14ac:dyDescent="0.4">
      <c r="A234" s="83"/>
      <c r="B234" s="84" t="str">
        <f>B131</f>
        <v>PM27 INVESTOR REPORT QUARTER ENDING DECEMBER 2022</v>
      </c>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7"/>
      <c r="AD234" s="22"/>
    </row>
    <row r="235" spans="1:30" x14ac:dyDescent="0.3">
      <c r="A235" s="119"/>
      <c r="B235" s="120" t="s">
        <v>42</v>
      </c>
      <c r="C235" s="143"/>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v>44925</v>
      </c>
      <c r="AA235" s="121"/>
      <c r="AB235" s="121"/>
      <c r="AC235" s="123"/>
      <c r="AD235" s="5"/>
    </row>
    <row r="236" spans="1:30" x14ac:dyDescent="0.3">
      <c r="A236" s="145"/>
      <c r="B236" s="146"/>
      <c r="C236" s="147"/>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9"/>
      <c r="AB236" s="9"/>
      <c r="AC236" s="10"/>
      <c r="AD236" s="5"/>
    </row>
    <row r="237" spans="1:30" s="23" customFormat="1" x14ac:dyDescent="0.3">
      <c r="A237" s="47"/>
      <c r="B237" s="40" t="s">
        <v>43</v>
      </c>
      <c r="C237" s="149"/>
      <c r="D237" s="73"/>
      <c r="E237" s="73"/>
      <c r="F237" s="73"/>
      <c r="G237" s="73"/>
      <c r="H237" s="73"/>
      <c r="I237" s="73"/>
      <c r="J237" s="73"/>
      <c r="K237" s="73"/>
      <c r="L237" s="73"/>
      <c r="M237" s="73"/>
      <c r="N237" s="73"/>
      <c r="O237" s="73"/>
      <c r="P237" s="73"/>
      <c r="Q237" s="73"/>
      <c r="R237" s="73"/>
      <c r="S237" s="73"/>
      <c r="T237" s="73"/>
      <c r="U237" s="73"/>
      <c r="V237" s="73"/>
      <c r="W237" s="73"/>
      <c r="X237" s="73"/>
      <c r="Y237" s="73"/>
      <c r="Z237" s="67">
        <v>3.5749999999999997E-2</v>
      </c>
      <c r="AA237" s="40"/>
      <c r="AB237" s="40"/>
      <c r="AC237" s="43"/>
      <c r="AD237" s="22"/>
    </row>
    <row r="238" spans="1:30" s="23" customFormat="1" x14ac:dyDescent="0.3">
      <c r="A238" s="47"/>
      <c r="B238" s="40" t="s">
        <v>132</v>
      </c>
      <c r="C238" s="149"/>
      <c r="D238" s="73"/>
      <c r="E238" s="73"/>
      <c r="F238" s="73"/>
      <c r="G238" s="73"/>
      <c r="H238" s="73"/>
      <c r="I238" s="73"/>
      <c r="J238" s="73"/>
      <c r="K238" s="73"/>
      <c r="L238" s="73"/>
      <c r="M238" s="73"/>
      <c r="N238" s="73"/>
      <c r="O238" s="73"/>
      <c r="P238" s="73"/>
      <c r="Q238" s="73"/>
      <c r="R238" s="73"/>
      <c r="S238" s="73"/>
      <c r="T238" s="73"/>
      <c r="U238" s="73"/>
      <c r="V238" s="73"/>
      <c r="W238" s="73"/>
      <c r="X238" s="73"/>
      <c r="Y238" s="73"/>
      <c r="Z238" s="67">
        <v>1.3036129402559968E-2</v>
      </c>
      <c r="AA238" s="40"/>
      <c r="AB238" s="40"/>
      <c r="AC238" s="43"/>
      <c r="AD238" s="22"/>
    </row>
    <row r="239" spans="1:30" s="23" customFormat="1" x14ac:dyDescent="0.3">
      <c r="A239" s="47"/>
      <c r="B239" s="40" t="s">
        <v>44</v>
      </c>
      <c r="C239" s="149"/>
      <c r="D239" s="73"/>
      <c r="E239" s="73"/>
      <c r="F239" s="73"/>
      <c r="G239" s="73"/>
      <c r="H239" s="73"/>
      <c r="I239" s="73"/>
      <c r="J239" s="73"/>
      <c r="K239" s="73"/>
      <c r="L239" s="73"/>
      <c r="M239" s="73"/>
      <c r="N239" s="73"/>
      <c r="O239" s="73"/>
      <c r="P239" s="73"/>
      <c r="Q239" s="73"/>
      <c r="R239" s="73"/>
      <c r="S239" s="73"/>
      <c r="T239" s="73"/>
      <c r="U239" s="73"/>
      <c r="V239" s="73"/>
      <c r="W239" s="73"/>
      <c r="X239" s="73"/>
      <c r="Y239" s="73"/>
      <c r="Z239" s="67">
        <f>Z237-Z238</f>
        <v>2.2713870597440029E-2</v>
      </c>
      <c r="AA239" s="40"/>
      <c r="AB239" s="40"/>
      <c r="AC239" s="43"/>
      <c r="AD239" s="22"/>
    </row>
    <row r="240" spans="1:30" s="23" customFormat="1" x14ac:dyDescent="0.3">
      <c r="A240" s="47"/>
      <c r="B240" s="40" t="s">
        <v>45</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3.6971969886752019E-2</v>
      </c>
      <c r="AA240" s="40"/>
      <c r="AB240" s="40"/>
      <c r="AC240" s="43"/>
      <c r="AD240" s="22"/>
    </row>
    <row r="241" spans="1:30" s="23" customFormat="1" x14ac:dyDescent="0.3">
      <c r="A241" s="47"/>
      <c r="B241" s="40" t="s">
        <v>133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f>+AB35</f>
        <v>4.137312525275566E-2</v>
      </c>
      <c r="AA241" s="40"/>
      <c r="AB241" s="40"/>
      <c r="AC241" s="43"/>
      <c r="AD241" s="22"/>
    </row>
    <row r="242" spans="1:30" s="23" customFormat="1" x14ac:dyDescent="0.3">
      <c r="A242" s="47"/>
      <c r="B242" s="40" t="s">
        <v>363</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v>0</v>
      </c>
      <c r="AA242" s="40"/>
      <c r="AB242" s="40"/>
      <c r="AC242" s="43"/>
      <c r="AD242" s="22"/>
    </row>
    <row r="243" spans="1:30" s="23" customFormat="1" x14ac:dyDescent="0.3">
      <c r="A243" s="47"/>
      <c r="B243" s="40" t="s">
        <v>119</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(+AB86+AB88+AB91)/R66</f>
        <v>1.9647703623779177E-2</v>
      </c>
      <c r="AA243" s="40"/>
      <c r="AB243" s="40"/>
      <c r="AC243" s="43"/>
      <c r="AD243" s="22"/>
    </row>
    <row r="244" spans="1:30" s="23" customFormat="1" x14ac:dyDescent="0.3">
      <c r="A244" s="47"/>
      <c r="B244" s="40" t="s">
        <v>112</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150">
        <v>53797</v>
      </c>
      <c r="AA244" s="40"/>
      <c r="AB244" s="40"/>
      <c r="AC244" s="43"/>
      <c r="AD244" s="22"/>
    </row>
    <row r="245" spans="1:30" s="23" customFormat="1" x14ac:dyDescent="0.3">
      <c r="A245" s="47"/>
      <c r="B245" s="40" t="s">
        <v>148</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150">
        <v>53797</v>
      </c>
      <c r="AA245" s="40"/>
      <c r="AB245" s="40"/>
      <c r="AC245" s="43"/>
      <c r="AD245" s="22"/>
    </row>
    <row r="246" spans="1:30" s="23" customFormat="1" x14ac:dyDescent="0.3">
      <c r="A246" s="47"/>
      <c r="B246" s="40" t="s">
        <v>149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150">
        <v>53797</v>
      </c>
      <c r="AA246" s="40"/>
      <c r="AB246" s="40"/>
      <c r="AC246" s="43"/>
      <c r="AD246" s="22"/>
    </row>
    <row r="247" spans="1:30" s="23" customFormat="1" x14ac:dyDescent="0.3">
      <c r="A247" s="47"/>
      <c r="B247" s="40" t="s">
        <v>179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53797</v>
      </c>
      <c r="AA247" s="40"/>
      <c r="AB247" s="40"/>
      <c r="AC247" s="43"/>
      <c r="AD247" s="22"/>
    </row>
    <row r="248" spans="1:30" s="23" customFormat="1" x14ac:dyDescent="0.3">
      <c r="A248" s="47"/>
      <c r="B248" s="40" t="s">
        <v>166</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53797</v>
      </c>
      <c r="AA248" s="40"/>
      <c r="AB248" s="40"/>
      <c r="AC248" s="43"/>
      <c r="AD248" s="22"/>
    </row>
    <row r="249" spans="1:30" s="23" customFormat="1" x14ac:dyDescent="0.3">
      <c r="A249" s="47"/>
      <c r="B249" s="40" t="s">
        <v>194</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53797</v>
      </c>
      <c r="AA249" s="40"/>
      <c r="AB249" s="40"/>
      <c r="AC249" s="43"/>
      <c r="AD249" s="22"/>
    </row>
    <row r="250" spans="1:30" s="23" customFormat="1" x14ac:dyDescent="0.3">
      <c r="A250" s="47"/>
      <c r="B250" s="40" t="s">
        <v>195</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53797</v>
      </c>
      <c r="AA250" s="40"/>
      <c r="AB250" s="40"/>
      <c r="AC250" s="43"/>
      <c r="AD250" s="22"/>
    </row>
    <row r="251" spans="1:30" s="23" customFormat="1" x14ac:dyDescent="0.3">
      <c r="A251" s="47"/>
      <c r="B251" s="40" t="s">
        <v>47</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71">
        <v>21.18</v>
      </c>
      <c r="AA251" s="40" t="s">
        <v>76</v>
      </c>
      <c r="AB251" s="40"/>
      <c r="AC251" s="43"/>
      <c r="AD251" s="22"/>
    </row>
    <row r="252" spans="1:30" s="23" customFormat="1" x14ac:dyDescent="0.3">
      <c r="A252" s="47"/>
      <c r="B252" s="40" t="s">
        <v>48</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71">
        <v>18.540716762581756</v>
      </c>
      <c r="AA252" s="40" t="s">
        <v>76</v>
      </c>
      <c r="AB252" s="40"/>
      <c r="AC252" s="43"/>
      <c r="AD252" s="22"/>
    </row>
    <row r="253" spans="1:30" s="23" customFormat="1" x14ac:dyDescent="0.3">
      <c r="A253" s="47"/>
      <c r="B253" s="40" t="s">
        <v>49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67">
        <f>(+T57+V57+Z57)/(R57+R63+R64)</f>
        <v>1.3209983890631098E-2</v>
      </c>
      <c r="AA253" s="40"/>
      <c r="AB253" s="40"/>
      <c r="AC253" s="43"/>
      <c r="AD253" s="22"/>
    </row>
    <row r="254" spans="1:30" s="23" customFormat="1" x14ac:dyDescent="0.3">
      <c r="A254" s="47"/>
      <c r="B254" s="40" t="s">
        <v>50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67">
        <v>5.3499999999999999E-2</v>
      </c>
      <c r="AA254" s="40"/>
      <c r="AB254" s="40"/>
      <c r="AC254" s="43"/>
      <c r="AD254" s="22"/>
    </row>
    <row r="255" spans="1:30" x14ac:dyDescent="0.3">
      <c r="A255" s="145"/>
      <c r="B255" s="151"/>
      <c r="C255" s="151"/>
      <c r="D255" s="99"/>
      <c r="E255" s="99"/>
      <c r="F255" s="99"/>
      <c r="G255" s="99"/>
      <c r="H255" s="99"/>
      <c r="I255" s="99"/>
      <c r="J255" s="99"/>
      <c r="K255" s="99"/>
      <c r="L255" s="99"/>
      <c r="M255" s="99"/>
      <c r="N255" s="99"/>
      <c r="O255" s="99"/>
      <c r="P255" s="99"/>
      <c r="Q255" s="99"/>
      <c r="R255" s="99"/>
      <c r="S255" s="99"/>
      <c r="T255" s="99"/>
      <c r="U255" s="99"/>
      <c r="V255" s="99"/>
      <c r="W255" s="99"/>
      <c r="X255" s="99"/>
      <c r="Y255" s="99"/>
      <c r="Z255" s="126"/>
      <c r="AA255" s="99"/>
      <c r="AB255" s="152"/>
      <c r="AC255" s="10"/>
      <c r="AD255" s="5"/>
    </row>
    <row r="256" spans="1:30" x14ac:dyDescent="0.3">
      <c r="A256" s="153"/>
      <c r="B256" s="102" t="s">
        <v>51</v>
      </c>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t="s">
        <v>69</v>
      </c>
      <c r="Z256" s="154" t="s">
        <v>74</v>
      </c>
      <c r="AA256" s="34"/>
      <c r="AB256" s="34"/>
      <c r="AC256" s="36"/>
      <c r="AD256" s="5"/>
    </row>
    <row r="257" spans="1:30" s="23" customFormat="1" x14ac:dyDescent="0.3">
      <c r="A257" s="155"/>
      <c r="B257" s="37" t="s">
        <v>52</v>
      </c>
      <c r="C257" s="10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v>0</v>
      </c>
      <c r="Z257" s="157">
        <v>0</v>
      </c>
      <c r="AA257" s="37"/>
      <c r="AB257" s="158"/>
      <c r="AC257" s="159"/>
      <c r="AD257" s="22"/>
    </row>
    <row r="258" spans="1:30" s="23" customFormat="1" x14ac:dyDescent="0.3">
      <c r="A258" s="160"/>
      <c r="B258" s="40" t="s">
        <v>97</v>
      </c>
      <c r="C258" s="97"/>
      <c r="D258" s="48"/>
      <c r="E258" s="48"/>
      <c r="F258" s="48"/>
      <c r="G258" s="48"/>
      <c r="H258" s="48"/>
      <c r="I258" s="48"/>
      <c r="J258" s="48"/>
      <c r="K258" s="48"/>
      <c r="L258" s="48"/>
      <c r="M258" s="48"/>
      <c r="N258" s="48"/>
      <c r="O258" s="48"/>
      <c r="P258" s="48"/>
      <c r="Q258" s="48"/>
      <c r="R258" s="48"/>
      <c r="S258" s="48"/>
      <c r="T258" s="48"/>
      <c r="U258" s="48"/>
      <c r="V258" s="48"/>
      <c r="W258" s="48"/>
      <c r="X258" s="48"/>
      <c r="Y258" s="161">
        <f>+X310</f>
        <v>0</v>
      </c>
      <c r="Z258" s="162">
        <f>+Z310</f>
        <v>0</v>
      </c>
      <c r="AA258" s="40"/>
      <c r="AB258" s="163"/>
      <c r="AC258" s="164"/>
      <c r="AD258" s="22"/>
    </row>
    <row r="259" spans="1:30" s="23" customFormat="1" x14ac:dyDescent="0.3">
      <c r="A259" s="160"/>
      <c r="B259" s="40" t="s">
        <v>53</v>
      </c>
      <c r="C259" s="97"/>
      <c r="D259" s="48"/>
      <c r="E259" s="48"/>
      <c r="F259" s="48"/>
      <c r="G259" s="48"/>
      <c r="H259" s="48"/>
      <c r="I259" s="48"/>
      <c r="J259" s="48"/>
      <c r="K259" s="48"/>
      <c r="L259" s="48"/>
      <c r="M259" s="48"/>
      <c r="N259" s="48"/>
      <c r="O259" s="48"/>
      <c r="P259" s="48"/>
      <c r="Q259" s="48"/>
      <c r="R259" s="48"/>
      <c r="S259" s="48"/>
      <c r="T259" s="48"/>
      <c r="U259" s="48"/>
      <c r="V259" s="48"/>
      <c r="W259" s="48"/>
      <c r="X259" s="48"/>
      <c r="Y259" s="161">
        <f>+X332</f>
        <v>0</v>
      </c>
      <c r="Z259" s="162">
        <f>+Z332</f>
        <v>0</v>
      </c>
      <c r="AA259" s="40"/>
      <c r="AB259" s="163"/>
      <c r="AC259" s="164"/>
      <c r="AD259" s="22"/>
    </row>
    <row r="260" spans="1:30" x14ac:dyDescent="0.3">
      <c r="A260" s="165"/>
      <c r="B260" s="166" t="s">
        <v>167</v>
      </c>
      <c r="C260" s="167"/>
      <c r="D260" s="59"/>
      <c r="E260" s="59"/>
      <c r="F260" s="59"/>
      <c r="G260" s="59"/>
      <c r="H260" s="59"/>
      <c r="I260" s="59"/>
      <c r="J260" s="59"/>
      <c r="K260" s="59"/>
      <c r="L260" s="59"/>
      <c r="M260" s="59"/>
      <c r="N260" s="59"/>
      <c r="O260" s="59"/>
      <c r="P260" s="59"/>
      <c r="Q260" s="59"/>
      <c r="R260" s="59"/>
      <c r="S260" s="59"/>
      <c r="T260" s="59"/>
      <c r="U260" s="59"/>
      <c r="V260" s="59"/>
      <c r="W260" s="59"/>
      <c r="X260" s="59"/>
      <c r="Y260" s="112"/>
      <c r="Z260" s="162">
        <f>Z57</f>
        <v>0</v>
      </c>
      <c r="AA260" s="59"/>
      <c r="AB260" s="168"/>
      <c r="AC260" s="169"/>
      <c r="AD260" s="5"/>
    </row>
    <row r="261" spans="1:30" x14ac:dyDescent="0.3">
      <c r="A261" s="165"/>
      <c r="B261" s="166" t="s">
        <v>261</v>
      </c>
      <c r="C261" s="167"/>
      <c r="D261" s="59"/>
      <c r="E261" s="59"/>
      <c r="F261" s="59"/>
      <c r="G261" s="59"/>
      <c r="H261" s="59"/>
      <c r="I261" s="59"/>
      <c r="J261" s="59"/>
      <c r="K261" s="59"/>
      <c r="L261" s="59"/>
      <c r="M261" s="59"/>
      <c r="N261" s="59"/>
      <c r="O261" s="59"/>
      <c r="P261" s="59"/>
      <c r="Q261" s="59"/>
      <c r="R261" s="59"/>
      <c r="S261" s="59"/>
      <c r="T261" s="59"/>
      <c r="U261" s="59"/>
      <c r="V261" s="59"/>
      <c r="W261" s="59"/>
      <c r="X261" s="59"/>
      <c r="Y261" s="112"/>
      <c r="Z261" s="162">
        <f>-T63</f>
        <v>0</v>
      </c>
      <c r="AA261" s="59"/>
      <c r="AB261" s="168"/>
      <c r="AC261" s="169"/>
      <c r="AD261" s="5"/>
    </row>
    <row r="262" spans="1:30" x14ac:dyDescent="0.3">
      <c r="A262" s="170"/>
      <c r="B262" s="166" t="s">
        <v>54</v>
      </c>
      <c r="C262" s="171"/>
      <c r="D262" s="59"/>
      <c r="E262" s="59"/>
      <c r="F262" s="59"/>
      <c r="G262" s="59"/>
      <c r="H262" s="59"/>
      <c r="I262" s="59"/>
      <c r="J262" s="59"/>
      <c r="K262" s="59"/>
      <c r="L262" s="59"/>
      <c r="M262" s="59"/>
      <c r="N262" s="59"/>
      <c r="O262" s="59"/>
      <c r="P262" s="59"/>
      <c r="Q262" s="59"/>
      <c r="R262" s="59"/>
      <c r="S262" s="59"/>
      <c r="T262" s="59"/>
      <c r="U262" s="59"/>
      <c r="V262" s="59"/>
      <c r="W262" s="59"/>
      <c r="X262" s="59"/>
      <c r="Y262" s="112"/>
      <c r="Z262" s="172"/>
      <c r="AA262" s="59"/>
      <c r="AB262" s="168"/>
      <c r="AC262" s="173"/>
      <c r="AD262" s="5"/>
    </row>
    <row r="263" spans="1:30" s="23" customFormat="1" x14ac:dyDescent="0.3">
      <c r="A263" s="174"/>
      <c r="B263" s="40" t="s">
        <v>55</v>
      </c>
      <c r="C263" s="40"/>
      <c r="D263" s="40"/>
      <c r="E263" s="40"/>
      <c r="F263" s="40"/>
      <c r="G263" s="40"/>
      <c r="H263" s="40"/>
      <c r="I263" s="40"/>
      <c r="J263" s="40"/>
      <c r="K263" s="40"/>
      <c r="L263" s="40"/>
      <c r="M263" s="40"/>
      <c r="N263" s="40"/>
      <c r="O263" s="40"/>
      <c r="P263" s="40"/>
      <c r="Q263" s="40"/>
      <c r="R263" s="40"/>
      <c r="S263" s="40"/>
      <c r="T263" s="40"/>
      <c r="U263" s="40"/>
      <c r="V263" s="40"/>
      <c r="W263" s="40"/>
      <c r="X263" s="40"/>
      <c r="Y263" s="48"/>
      <c r="Z263" s="162">
        <f>AB166</f>
        <v>0</v>
      </c>
      <c r="AA263" s="40"/>
      <c r="AB263" s="163"/>
      <c r="AC263" s="175"/>
      <c r="AD263" s="22"/>
    </row>
    <row r="264" spans="1:30" s="23" customFormat="1" x14ac:dyDescent="0.3">
      <c r="A264" s="160"/>
      <c r="B264" s="40" t="s">
        <v>56</v>
      </c>
      <c r="C264" s="97"/>
      <c r="D264" s="40"/>
      <c r="E264" s="40"/>
      <c r="F264" s="40"/>
      <c r="G264" s="40"/>
      <c r="H264" s="40"/>
      <c r="I264" s="40"/>
      <c r="J264" s="40"/>
      <c r="K264" s="40"/>
      <c r="L264" s="40"/>
      <c r="M264" s="40"/>
      <c r="N264" s="40"/>
      <c r="O264" s="40"/>
      <c r="P264" s="40"/>
      <c r="Q264" s="40"/>
      <c r="R264" s="40"/>
      <c r="S264" s="40"/>
      <c r="T264" s="40"/>
      <c r="U264" s="40"/>
      <c r="V264" s="40"/>
      <c r="W264" s="40"/>
      <c r="X264" s="40"/>
      <c r="Y264" s="48"/>
      <c r="Z264" s="162">
        <f>Z263+'September 2022'!Z264</f>
        <v>2</v>
      </c>
      <c r="AA264" s="40"/>
      <c r="AB264" s="163"/>
      <c r="AC264" s="175"/>
      <c r="AD264" s="22"/>
    </row>
    <row r="265" spans="1:30" x14ac:dyDescent="0.3">
      <c r="A265" s="170"/>
      <c r="B265" s="166" t="s">
        <v>125</v>
      </c>
      <c r="C265" s="171"/>
      <c r="D265" s="59"/>
      <c r="E265" s="59"/>
      <c r="F265" s="59"/>
      <c r="G265" s="59"/>
      <c r="H265" s="59"/>
      <c r="I265" s="59"/>
      <c r="J265" s="59"/>
      <c r="K265" s="59"/>
      <c r="L265" s="59"/>
      <c r="M265" s="59"/>
      <c r="N265" s="59"/>
      <c r="O265" s="59"/>
      <c r="P265" s="59"/>
      <c r="Q265" s="59"/>
      <c r="R265" s="59"/>
      <c r="S265" s="59"/>
      <c r="T265" s="59"/>
      <c r="U265" s="59"/>
      <c r="V265" s="59"/>
      <c r="W265" s="59"/>
      <c r="X265" s="59"/>
      <c r="Y265" s="176"/>
      <c r="Z265" s="172"/>
      <c r="AA265" s="59"/>
      <c r="AB265" s="168"/>
      <c r="AC265" s="173"/>
      <c r="AD265" s="5"/>
    </row>
    <row r="266" spans="1:30" s="23" customFormat="1" x14ac:dyDescent="0.3">
      <c r="A266" s="174"/>
      <c r="B266" s="40" t="s">
        <v>134</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v>0</v>
      </c>
      <c r="Z266" s="162">
        <v>0</v>
      </c>
      <c r="AA266" s="40"/>
      <c r="AB266" s="163"/>
      <c r="AC266" s="175"/>
      <c r="AD266" s="22"/>
    </row>
    <row r="267" spans="1:30" s="23" customFormat="1" x14ac:dyDescent="0.3">
      <c r="A267" s="160"/>
      <c r="B267" s="40" t="s">
        <v>57</v>
      </c>
      <c r="C267" s="70"/>
      <c r="D267" s="40"/>
      <c r="E267" s="40"/>
      <c r="F267" s="40"/>
      <c r="G267" s="40"/>
      <c r="H267" s="40"/>
      <c r="I267" s="40"/>
      <c r="J267" s="40"/>
      <c r="K267" s="40"/>
      <c r="L267" s="40"/>
      <c r="M267" s="40"/>
      <c r="N267" s="40"/>
      <c r="O267" s="40"/>
      <c r="P267" s="40"/>
      <c r="Q267" s="40"/>
      <c r="R267" s="40"/>
      <c r="S267" s="40"/>
      <c r="T267" s="40"/>
      <c r="U267" s="40"/>
      <c r="V267" s="40"/>
      <c r="W267" s="40"/>
      <c r="X267" s="40"/>
      <c r="Y267" s="40"/>
      <c r="Z267" s="177">
        <v>0</v>
      </c>
      <c r="AA267" s="40"/>
      <c r="AB267" s="163"/>
      <c r="AC267" s="175"/>
      <c r="AD267" s="22"/>
    </row>
    <row r="268" spans="1:30" s="23" customFormat="1" x14ac:dyDescent="0.3">
      <c r="A268" s="160"/>
      <c r="B268" s="40" t="s">
        <v>58</v>
      </c>
      <c r="C268" s="70"/>
      <c r="D268" s="40"/>
      <c r="E268" s="40"/>
      <c r="F268" s="40"/>
      <c r="G268" s="40"/>
      <c r="H268" s="40"/>
      <c r="I268" s="40"/>
      <c r="J268" s="40"/>
      <c r="K268" s="40"/>
      <c r="L268" s="40"/>
      <c r="M268" s="40"/>
      <c r="N268" s="40"/>
      <c r="O268" s="40"/>
      <c r="P268" s="40"/>
      <c r="Q268" s="40"/>
      <c r="R268" s="40"/>
      <c r="S268" s="40"/>
      <c r="T268" s="40"/>
      <c r="U268" s="40"/>
      <c r="V268" s="40"/>
      <c r="W268" s="40"/>
      <c r="X268" s="40"/>
      <c r="Y268" s="40"/>
      <c r="Z268" s="177">
        <v>0</v>
      </c>
      <c r="AA268" s="40"/>
      <c r="AB268" s="163"/>
      <c r="AC268" s="175"/>
      <c r="AD268" s="22"/>
    </row>
    <row r="269" spans="1:30" x14ac:dyDescent="0.3">
      <c r="A269" s="165"/>
      <c r="B269" s="166" t="s">
        <v>116</v>
      </c>
      <c r="C269" s="178"/>
      <c r="D269" s="59"/>
      <c r="E269" s="59"/>
      <c r="F269" s="59"/>
      <c r="G269" s="59"/>
      <c r="H269" s="59"/>
      <c r="I269" s="59"/>
      <c r="J269" s="59"/>
      <c r="K269" s="59"/>
      <c r="L269" s="59"/>
      <c r="M269" s="59"/>
      <c r="N269" s="59"/>
      <c r="O269" s="59"/>
      <c r="P269" s="59"/>
      <c r="Q269" s="59"/>
      <c r="R269" s="59"/>
      <c r="S269" s="59"/>
      <c r="T269" s="59"/>
      <c r="U269" s="59"/>
      <c r="V269" s="59"/>
      <c r="W269" s="59"/>
      <c r="X269" s="59"/>
      <c r="Y269" s="112"/>
      <c r="Z269" s="179"/>
      <c r="AA269" s="59"/>
      <c r="AB269" s="168"/>
      <c r="AC269" s="173"/>
      <c r="AD269" s="5"/>
    </row>
    <row r="270" spans="1:30" s="23" customFormat="1" x14ac:dyDescent="0.3">
      <c r="A270" s="160"/>
      <c r="B270" s="40" t="s">
        <v>134</v>
      </c>
      <c r="C270" s="7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0" s="23" customFormat="1" x14ac:dyDescent="0.3">
      <c r="A271" s="160"/>
      <c r="B271" s="40" t="s">
        <v>117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71"/>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x14ac:dyDescent="0.3">
      <c r="A273" s="165"/>
      <c r="B273" s="171"/>
      <c r="C273" s="178"/>
      <c r="D273" s="59"/>
      <c r="E273" s="59"/>
      <c r="F273" s="59"/>
      <c r="G273" s="59"/>
      <c r="H273" s="59"/>
      <c r="I273" s="59"/>
      <c r="J273" s="59"/>
      <c r="K273" s="59"/>
      <c r="L273" s="59"/>
      <c r="M273" s="59"/>
      <c r="N273" s="59"/>
      <c r="O273" s="59"/>
      <c r="P273" s="59"/>
      <c r="Q273" s="59"/>
      <c r="R273" s="59"/>
      <c r="S273" s="59"/>
      <c r="T273" s="59"/>
      <c r="U273" s="59"/>
      <c r="V273" s="59"/>
      <c r="W273" s="59"/>
      <c r="X273" s="59"/>
      <c r="Y273" s="59"/>
      <c r="Z273" s="180"/>
      <c r="AA273" s="59"/>
      <c r="AB273" s="168"/>
      <c r="AC273" s="173"/>
      <c r="AD273" s="5"/>
    </row>
    <row r="274" spans="1:30" ht="18" x14ac:dyDescent="0.35">
      <c r="A274" s="165"/>
      <c r="B274" s="181" t="s">
        <v>109</v>
      </c>
      <c r="C274" s="178"/>
      <c r="D274" s="59"/>
      <c r="E274" s="59"/>
      <c r="F274" s="59"/>
      <c r="G274" s="59"/>
      <c r="H274" s="59"/>
      <c r="I274" s="59"/>
      <c r="J274" s="59"/>
      <c r="K274" s="59"/>
      <c r="L274" s="182"/>
      <c r="M274" s="182"/>
      <c r="N274" s="182"/>
      <c r="O274" s="182"/>
      <c r="P274" s="261" t="s">
        <v>168</v>
      </c>
      <c r="Q274" s="182"/>
      <c r="R274" s="182"/>
      <c r="S274" s="182"/>
      <c r="T274" s="182"/>
      <c r="U274" s="182"/>
      <c r="V274" s="182"/>
      <c r="W274" s="59"/>
      <c r="X274" s="183"/>
      <c r="Y274" s="182"/>
      <c r="Z274" s="180"/>
      <c r="AA274" s="59"/>
      <c r="AB274" s="168"/>
      <c r="AC274" s="173"/>
      <c r="AD274" s="5"/>
    </row>
    <row r="275" spans="1:30" ht="18" x14ac:dyDescent="0.35">
      <c r="A275" s="184"/>
      <c r="B275" s="185"/>
      <c r="C275" s="186"/>
      <c r="D275" s="99"/>
      <c r="E275" s="99"/>
      <c r="F275" s="99"/>
      <c r="G275" s="99"/>
      <c r="H275" s="99"/>
      <c r="I275" s="99"/>
      <c r="J275" s="99"/>
      <c r="K275" s="99"/>
      <c r="L275" s="187"/>
      <c r="M275" s="187"/>
      <c r="N275" s="187"/>
      <c r="O275" s="187"/>
      <c r="P275" s="187"/>
      <c r="Q275" s="187"/>
      <c r="R275" s="187"/>
      <c r="S275" s="187"/>
      <c r="T275" s="187"/>
      <c r="U275" s="187"/>
      <c r="V275" s="187"/>
      <c r="W275" s="99"/>
      <c r="X275" s="99"/>
      <c r="Y275" s="99"/>
      <c r="Z275" s="188"/>
      <c r="AA275" s="99"/>
      <c r="AB275" s="152"/>
      <c r="AC275" s="189"/>
      <c r="AD275" s="5"/>
    </row>
    <row r="276" spans="1:30" x14ac:dyDescent="0.3">
      <c r="A276" s="33"/>
      <c r="B276" s="102" t="s">
        <v>126</v>
      </c>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54" t="s">
        <v>69</v>
      </c>
      <c r="Y276" s="103" t="s">
        <v>70</v>
      </c>
      <c r="Z276" s="154" t="s">
        <v>75</v>
      </c>
      <c r="AA276" s="103" t="s">
        <v>70</v>
      </c>
      <c r="AB276" s="34"/>
      <c r="AC276" s="190"/>
      <c r="AD276" s="5"/>
    </row>
    <row r="277" spans="1:30" s="23" customFormat="1" x14ac:dyDescent="0.3">
      <c r="A277" s="18"/>
      <c r="B277" s="106" t="s">
        <v>59</v>
      </c>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06">
        <f t="shared" ref="X277:X284" si="0">+X289+X301+X323</f>
        <v>3467</v>
      </c>
      <c r="Y277" s="192">
        <f>X277/$X$286</f>
        <v>0.99769784172661868</v>
      </c>
      <c r="Z277" s="107">
        <f t="shared" ref="Z277:Z284" si="1">+Z289+Z301+Z323</f>
        <v>653419</v>
      </c>
      <c r="AA277" s="192">
        <f>Z277/$Z$286</f>
        <v>0.99786048074279954</v>
      </c>
      <c r="AB277" s="158"/>
      <c r="AC277" s="193"/>
      <c r="AD277" s="22"/>
    </row>
    <row r="278" spans="1:30" s="23" customFormat="1" x14ac:dyDescent="0.3">
      <c r="A278" s="47"/>
      <c r="B278" s="97" t="s">
        <v>60</v>
      </c>
      <c r="C278" s="194"/>
      <c r="D278" s="194"/>
      <c r="E278" s="194"/>
      <c r="F278" s="194"/>
      <c r="G278" s="194"/>
      <c r="H278" s="194"/>
      <c r="I278" s="194"/>
      <c r="J278" s="194"/>
      <c r="K278" s="194"/>
      <c r="L278" s="194"/>
      <c r="M278" s="194"/>
      <c r="N278" s="194"/>
      <c r="O278" s="194"/>
      <c r="P278" s="194"/>
      <c r="Q278" s="194"/>
      <c r="R278" s="194"/>
      <c r="S278" s="194"/>
      <c r="T278" s="194"/>
      <c r="U278" s="194"/>
      <c r="V278" s="194"/>
      <c r="W278" s="194"/>
      <c r="X278" s="195">
        <f t="shared" si="0"/>
        <v>4</v>
      </c>
      <c r="Y278" s="196">
        <f t="shared" ref="Y278:Y284" si="2">X278/$X$286</f>
        <v>1.1510791366906475E-3</v>
      </c>
      <c r="Z278" s="197">
        <f t="shared" si="1"/>
        <v>760</v>
      </c>
      <c r="AA278" s="198">
        <f>Z278/$Z$286</f>
        <v>1.1606242936990317E-3</v>
      </c>
      <c r="AB278" s="163"/>
      <c r="AC278" s="175"/>
      <c r="AD278" s="22"/>
    </row>
    <row r="279" spans="1:30" s="23" customFormat="1" x14ac:dyDescent="0.3">
      <c r="A279" s="47"/>
      <c r="B279" s="97" t="s">
        <v>61</v>
      </c>
      <c r="C279" s="194"/>
      <c r="D279" s="194"/>
      <c r="E279" s="194"/>
      <c r="F279" s="194"/>
      <c r="G279" s="194"/>
      <c r="H279" s="194"/>
      <c r="I279" s="194"/>
      <c r="J279" s="194"/>
      <c r="K279" s="194"/>
      <c r="L279" s="194"/>
      <c r="M279" s="194"/>
      <c r="N279" s="194"/>
      <c r="O279" s="194"/>
      <c r="P279" s="194"/>
      <c r="Q279" s="194"/>
      <c r="R279" s="194"/>
      <c r="S279" s="194"/>
      <c r="T279" s="194"/>
      <c r="U279" s="194"/>
      <c r="V279" s="194"/>
      <c r="W279" s="194"/>
      <c r="X279" s="199">
        <f t="shared" si="0"/>
        <v>0</v>
      </c>
      <c r="Y279" s="200">
        <f t="shared" si="2"/>
        <v>0</v>
      </c>
      <c r="Z279" s="131">
        <f t="shared" si="1"/>
        <v>0</v>
      </c>
      <c r="AA279" s="198">
        <f t="shared" ref="AA279:AA284" si="3">Z279/$Z$286</f>
        <v>0</v>
      </c>
      <c r="AB279" s="163"/>
      <c r="AC279" s="175"/>
      <c r="AD279" s="22"/>
    </row>
    <row r="280" spans="1:30" s="23" customFormat="1" x14ac:dyDescent="0.3">
      <c r="A280" s="47"/>
      <c r="B280" s="97" t="s">
        <v>100</v>
      </c>
      <c r="C280" s="194"/>
      <c r="D280" s="194"/>
      <c r="E280" s="194"/>
      <c r="F280" s="194"/>
      <c r="G280" s="194"/>
      <c r="H280" s="194"/>
      <c r="I280" s="194"/>
      <c r="J280" s="194"/>
      <c r="K280" s="194"/>
      <c r="L280" s="194"/>
      <c r="M280" s="194"/>
      <c r="N280" s="194"/>
      <c r="O280" s="194"/>
      <c r="P280" s="194"/>
      <c r="Q280" s="194"/>
      <c r="R280" s="194"/>
      <c r="S280" s="194"/>
      <c r="T280" s="194"/>
      <c r="U280" s="194"/>
      <c r="V280" s="194"/>
      <c r="W280" s="194"/>
      <c r="X280" s="199">
        <f t="shared" si="0"/>
        <v>0</v>
      </c>
      <c r="Y280" s="200">
        <f t="shared" si="2"/>
        <v>0</v>
      </c>
      <c r="Z280" s="131">
        <f t="shared" si="1"/>
        <v>0</v>
      </c>
      <c r="AA280" s="198">
        <f t="shared" si="3"/>
        <v>0</v>
      </c>
      <c r="AB280" s="163"/>
      <c r="AC280" s="175"/>
      <c r="AD280" s="22"/>
    </row>
    <row r="281" spans="1:30" s="23" customFormat="1" x14ac:dyDescent="0.3">
      <c r="A281" s="47"/>
      <c r="B281" s="97" t="s">
        <v>101</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9">
        <f t="shared" si="0"/>
        <v>0</v>
      </c>
      <c r="Y281" s="200">
        <f t="shared" si="2"/>
        <v>0</v>
      </c>
      <c r="Z281" s="131">
        <f t="shared" si="1"/>
        <v>0</v>
      </c>
      <c r="AA281" s="198">
        <f t="shared" si="3"/>
        <v>0</v>
      </c>
      <c r="AB281" s="163"/>
      <c r="AC281" s="175"/>
      <c r="AD281" s="22"/>
    </row>
    <row r="282" spans="1:30" s="23" customFormat="1" x14ac:dyDescent="0.3">
      <c r="A282" s="47"/>
      <c r="B282" s="97" t="s">
        <v>102</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0"/>
        <v>0</v>
      </c>
      <c r="Y282" s="200">
        <f t="shared" si="2"/>
        <v>0</v>
      </c>
      <c r="Z282" s="131">
        <f t="shared" si="1"/>
        <v>0</v>
      </c>
      <c r="AA282" s="198">
        <f t="shared" si="3"/>
        <v>0</v>
      </c>
      <c r="AB282" s="163"/>
      <c r="AC282" s="175"/>
      <c r="AD282" s="22"/>
    </row>
    <row r="283" spans="1:30" s="23" customFormat="1" x14ac:dyDescent="0.3">
      <c r="A283" s="47"/>
      <c r="B283" s="97" t="s">
        <v>103</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201">
        <f t="shared" si="0"/>
        <v>4</v>
      </c>
      <c r="Y283" s="202">
        <f t="shared" si="2"/>
        <v>1.1510791366906475E-3</v>
      </c>
      <c r="Z283" s="203">
        <f t="shared" si="1"/>
        <v>641</v>
      </c>
      <c r="AA283" s="198">
        <f t="shared" si="3"/>
        <v>9.7889496350142026E-4</v>
      </c>
      <c r="AB283" s="163"/>
      <c r="AC283" s="175"/>
      <c r="AD283" s="22"/>
    </row>
    <row r="284" spans="1:30" s="23" customFormat="1" x14ac:dyDescent="0.3">
      <c r="A284" s="47"/>
      <c r="B284" s="97" t="s">
        <v>104</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06">
        <f t="shared" si="0"/>
        <v>0</v>
      </c>
      <c r="Y284" s="198">
        <f t="shared" si="2"/>
        <v>0</v>
      </c>
      <c r="Z284" s="107">
        <f t="shared" si="1"/>
        <v>0</v>
      </c>
      <c r="AA284" s="198">
        <f t="shared" si="3"/>
        <v>0</v>
      </c>
      <c r="AB284" s="163"/>
      <c r="AC284" s="175"/>
      <c r="AD284" s="22"/>
    </row>
    <row r="285" spans="1:30" s="23" customFormat="1" x14ac:dyDescent="0.3">
      <c r="A285" s="47"/>
      <c r="B285" s="97"/>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97"/>
      <c r="Y285" s="198"/>
      <c r="Z285" s="98"/>
      <c r="AA285" s="198"/>
      <c r="AB285" s="163"/>
      <c r="AC285" s="175"/>
      <c r="AD285" s="22"/>
    </row>
    <row r="286" spans="1:30" s="23" customFormat="1" x14ac:dyDescent="0.3">
      <c r="A286" s="47"/>
      <c r="B286" s="40" t="s">
        <v>80</v>
      </c>
      <c r="C286" s="40"/>
      <c r="D286" s="204"/>
      <c r="E286" s="204"/>
      <c r="F286" s="204"/>
      <c r="G286" s="204"/>
      <c r="H286" s="204"/>
      <c r="I286" s="204"/>
      <c r="J286" s="204"/>
      <c r="K286" s="204"/>
      <c r="L286" s="204"/>
      <c r="M286" s="204"/>
      <c r="N286" s="204"/>
      <c r="O286" s="204"/>
      <c r="P286" s="204"/>
      <c r="Q286" s="204"/>
      <c r="R286" s="204"/>
      <c r="S286" s="204"/>
      <c r="T286" s="204"/>
      <c r="U286" s="204"/>
      <c r="V286" s="204"/>
      <c r="W286" s="204"/>
      <c r="X286" s="97">
        <f>SUM(X277:X285)</f>
        <v>3475</v>
      </c>
      <c r="Y286" s="198">
        <f>SUM(Y277:Y285)</f>
        <v>1</v>
      </c>
      <c r="Z286" s="98">
        <f>SUM(Z277:Z285)</f>
        <v>654820</v>
      </c>
      <c r="AA286" s="198">
        <f>SUM(AA277:AA285)</f>
        <v>1</v>
      </c>
      <c r="AB286" s="40"/>
      <c r="AC286" s="43"/>
      <c r="AD286" s="22"/>
    </row>
    <row r="287" spans="1:30" x14ac:dyDescent="0.3">
      <c r="A287" s="7"/>
      <c r="B287" s="151"/>
      <c r="C287" s="186"/>
      <c r="D287" s="99"/>
      <c r="E287" s="99"/>
      <c r="F287" s="99"/>
      <c r="G287" s="99"/>
      <c r="H287" s="99"/>
      <c r="I287" s="99"/>
      <c r="J287" s="99"/>
      <c r="K287" s="99"/>
      <c r="L287" s="99"/>
      <c r="M287" s="99"/>
      <c r="N287" s="99"/>
      <c r="O287" s="99"/>
      <c r="P287" s="99"/>
      <c r="Q287" s="99"/>
      <c r="R287" s="99"/>
      <c r="S287" s="99"/>
      <c r="T287" s="99"/>
      <c r="U287" s="99"/>
      <c r="V287" s="99"/>
      <c r="W287" s="99"/>
      <c r="X287" s="99"/>
      <c r="Y287" s="99"/>
      <c r="Z287" s="188"/>
      <c r="AA287" s="99"/>
      <c r="AB287" s="99"/>
      <c r="AC287" s="10"/>
      <c r="AD287" s="5"/>
    </row>
    <row r="288" spans="1:30" x14ac:dyDescent="0.3">
      <c r="A288" s="33"/>
      <c r="B288" s="102" t="s">
        <v>105</v>
      </c>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54" t="s">
        <v>69</v>
      </c>
      <c r="Y288" s="103" t="s">
        <v>70</v>
      </c>
      <c r="Z288" s="154" t="s">
        <v>75</v>
      </c>
      <c r="AA288" s="103" t="s">
        <v>70</v>
      </c>
      <c r="AB288" s="34"/>
      <c r="AC288" s="190"/>
      <c r="AD288" s="5"/>
    </row>
    <row r="289" spans="1:31" s="23" customFormat="1" x14ac:dyDescent="0.3">
      <c r="A289" s="18"/>
      <c r="B289" s="106" t="s">
        <v>59</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06">
        <v>3467</v>
      </c>
      <c r="Y289" s="192">
        <f>X289/$X$298</f>
        <v>0.99769784172661868</v>
      </c>
      <c r="Z289" s="107">
        <v>653419</v>
      </c>
      <c r="AA289" s="192">
        <f>Z289/$Z$298</f>
        <v>0.99786048074279954</v>
      </c>
      <c r="AB289" s="158"/>
      <c r="AC289" s="193"/>
      <c r="AD289" s="22"/>
    </row>
    <row r="290" spans="1:31" s="23" customFormat="1" x14ac:dyDescent="0.3">
      <c r="A290" s="47"/>
      <c r="B290" s="97" t="s">
        <v>60</v>
      </c>
      <c r="C290" s="194"/>
      <c r="D290" s="194"/>
      <c r="E290" s="194"/>
      <c r="F290" s="194"/>
      <c r="G290" s="194"/>
      <c r="H290" s="194"/>
      <c r="I290" s="194"/>
      <c r="J290" s="194"/>
      <c r="K290" s="194"/>
      <c r="L290" s="194"/>
      <c r="M290" s="194"/>
      <c r="N290" s="194"/>
      <c r="O290" s="194"/>
      <c r="P290" s="194"/>
      <c r="Q290" s="194"/>
      <c r="R290" s="194"/>
      <c r="S290" s="194"/>
      <c r="T290" s="194"/>
      <c r="U290" s="194"/>
      <c r="V290" s="194"/>
      <c r="W290" s="194"/>
      <c r="X290" s="97">
        <v>4</v>
      </c>
      <c r="Y290" s="198">
        <f t="shared" ref="Y290:Y296" si="4">X290/$X$298</f>
        <v>1.1510791366906475E-3</v>
      </c>
      <c r="Z290" s="98">
        <v>760</v>
      </c>
      <c r="AA290" s="198">
        <f t="shared" ref="AA290:AA296" si="5">Z290/$Z$298</f>
        <v>1.1606242936990317E-3</v>
      </c>
      <c r="AB290" s="163"/>
      <c r="AC290" s="175"/>
      <c r="AD290" s="22"/>
      <c r="AE290" s="115"/>
    </row>
    <row r="291" spans="1:31" s="23" customFormat="1" x14ac:dyDescent="0.3">
      <c r="A291" s="47"/>
      <c r="B291" s="97" t="s">
        <v>61</v>
      </c>
      <c r="C291" s="194"/>
      <c r="D291" s="194"/>
      <c r="E291" s="194"/>
      <c r="F291" s="194"/>
      <c r="G291" s="194"/>
      <c r="H291" s="194"/>
      <c r="I291" s="194"/>
      <c r="J291" s="194"/>
      <c r="K291" s="194"/>
      <c r="L291" s="194"/>
      <c r="M291" s="194"/>
      <c r="N291" s="194"/>
      <c r="O291" s="194"/>
      <c r="P291" s="194"/>
      <c r="Q291" s="194"/>
      <c r="R291" s="194"/>
      <c r="S291" s="194"/>
      <c r="T291" s="194"/>
      <c r="U291" s="194"/>
      <c r="V291" s="194"/>
      <c r="W291" s="194"/>
      <c r="X291" s="97">
        <v>0</v>
      </c>
      <c r="Y291" s="198">
        <f t="shared" si="4"/>
        <v>0</v>
      </c>
      <c r="Z291" s="98">
        <v>0</v>
      </c>
      <c r="AA291" s="198">
        <f t="shared" si="5"/>
        <v>0</v>
      </c>
      <c r="AB291" s="163"/>
      <c r="AC291" s="175"/>
      <c r="AD291" s="22"/>
    </row>
    <row r="292" spans="1:31" s="23" customFormat="1" x14ac:dyDescent="0.3">
      <c r="A292" s="47"/>
      <c r="B292" s="97" t="s">
        <v>100</v>
      </c>
      <c r="C292" s="194"/>
      <c r="D292" s="194"/>
      <c r="E292" s="194"/>
      <c r="F292" s="194"/>
      <c r="G292" s="194"/>
      <c r="H292" s="194"/>
      <c r="I292" s="194"/>
      <c r="J292" s="194"/>
      <c r="K292" s="194"/>
      <c r="L292" s="194"/>
      <c r="M292" s="194"/>
      <c r="N292" s="194"/>
      <c r="O292" s="194"/>
      <c r="P292" s="194"/>
      <c r="Q292" s="194"/>
      <c r="R292" s="194"/>
      <c r="S292" s="194"/>
      <c r="T292" s="194"/>
      <c r="U292" s="194"/>
      <c r="V292" s="194"/>
      <c r="W292" s="194"/>
      <c r="X292" s="97">
        <v>0</v>
      </c>
      <c r="Y292" s="198">
        <f t="shared" si="4"/>
        <v>0</v>
      </c>
      <c r="Z292" s="98">
        <v>0</v>
      </c>
      <c r="AA292" s="198">
        <f t="shared" si="5"/>
        <v>0</v>
      </c>
      <c r="AB292" s="163"/>
      <c r="AC292" s="175"/>
      <c r="AD292" s="22"/>
      <c r="AE292" s="115"/>
    </row>
    <row r="293" spans="1:31" s="23" customFormat="1" x14ac:dyDescent="0.3">
      <c r="A293" s="47"/>
      <c r="B293" s="97" t="s">
        <v>101</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0</v>
      </c>
      <c r="Y293" s="198">
        <f t="shared" si="4"/>
        <v>0</v>
      </c>
      <c r="Z293" s="98">
        <v>0</v>
      </c>
      <c r="AA293" s="198">
        <f t="shared" si="5"/>
        <v>0</v>
      </c>
      <c r="AB293" s="163"/>
      <c r="AC293" s="175"/>
      <c r="AD293" s="22"/>
    </row>
    <row r="294" spans="1:31" s="23" customFormat="1" x14ac:dyDescent="0.3">
      <c r="A294" s="47"/>
      <c r="B294" s="97" t="s">
        <v>102</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4"/>
        <v>0</v>
      </c>
      <c r="Z294" s="98">
        <v>0</v>
      </c>
      <c r="AA294" s="198">
        <f t="shared" si="5"/>
        <v>0</v>
      </c>
      <c r="AB294" s="163"/>
      <c r="AC294" s="175"/>
      <c r="AD294" s="22"/>
      <c r="AE294" s="115"/>
    </row>
    <row r="295" spans="1:31" s="23" customFormat="1" x14ac:dyDescent="0.3">
      <c r="A295" s="47"/>
      <c r="B295" s="97" t="s">
        <v>103</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4</v>
      </c>
      <c r="Y295" s="198">
        <f>X295/$X$298</f>
        <v>1.1510791366906475E-3</v>
      </c>
      <c r="Z295" s="98">
        <v>641</v>
      </c>
      <c r="AA295" s="198">
        <f t="shared" si="5"/>
        <v>9.7889496350142026E-4</v>
      </c>
      <c r="AB295" s="163"/>
      <c r="AC295" s="175"/>
      <c r="AD295" s="22"/>
    </row>
    <row r="296" spans="1:31" s="23" customFormat="1" x14ac:dyDescent="0.3">
      <c r="A296" s="47"/>
      <c r="B296" s="97" t="s">
        <v>104</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4"/>
        <v>0</v>
      </c>
      <c r="Z296" s="98">
        <v>0</v>
      </c>
      <c r="AA296" s="198">
        <f t="shared" si="5"/>
        <v>0</v>
      </c>
      <c r="AB296" s="163"/>
      <c r="AC296" s="175"/>
      <c r="AD296" s="22"/>
      <c r="AE296" s="115"/>
    </row>
    <row r="297" spans="1:31" s="23" customFormat="1" x14ac:dyDescent="0.3">
      <c r="A297" s="47"/>
      <c r="B297" s="97"/>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c r="Y297" s="198"/>
      <c r="Z297" s="98"/>
      <c r="AA297" s="198"/>
      <c r="AB297" s="163"/>
      <c r="AC297" s="175"/>
      <c r="AD297" s="22"/>
    </row>
    <row r="298" spans="1:31" s="23" customFormat="1" x14ac:dyDescent="0.3">
      <c r="A298" s="47"/>
      <c r="B298" s="40" t="s">
        <v>80</v>
      </c>
      <c r="C298" s="40"/>
      <c r="D298" s="204"/>
      <c r="E298" s="204"/>
      <c r="F298" s="204"/>
      <c r="G298" s="204"/>
      <c r="H298" s="204"/>
      <c r="I298" s="204"/>
      <c r="J298" s="204"/>
      <c r="K298" s="204"/>
      <c r="L298" s="204"/>
      <c r="M298" s="204"/>
      <c r="N298" s="204"/>
      <c r="O298" s="204"/>
      <c r="P298" s="204"/>
      <c r="Q298" s="204"/>
      <c r="R298" s="204"/>
      <c r="S298" s="204"/>
      <c r="T298" s="204"/>
      <c r="U298" s="204"/>
      <c r="V298" s="204"/>
      <c r="W298" s="204"/>
      <c r="X298" s="97">
        <f>SUM(X289:X297)</f>
        <v>3475</v>
      </c>
      <c r="Y298" s="198">
        <f>SUM(Y289:Y297)</f>
        <v>1</v>
      </c>
      <c r="Z298" s="98">
        <f>SUM(Z289:Z297)</f>
        <v>654820</v>
      </c>
      <c r="AA298" s="198">
        <f>SUM(AA289:AA297)</f>
        <v>1</v>
      </c>
      <c r="AB298" s="40"/>
      <c r="AC298" s="43"/>
      <c r="AD298" s="22"/>
    </row>
    <row r="299" spans="1:31" x14ac:dyDescent="0.3">
      <c r="A299" s="7"/>
      <c r="B299" s="99"/>
      <c r="C299" s="99"/>
      <c r="D299" s="205"/>
      <c r="E299" s="205"/>
      <c r="F299" s="205"/>
      <c r="G299" s="205"/>
      <c r="H299" s="205"/>
      <c r="I299" s="205"/>
      <c r="J299" s="205"/>
      <c r="K299" s="205"/>
      <c r="L299" s="205"/>
      <c r="M299" s="205"/>
      <c r="N299" s="205"/>
      <c r="O299" s="205"/>
      <c r="P299" s="205"/>
      <c r="Q299" s="205"/>
      <c r="R299" s="205"/>
      <c r="S299" s="205"/>
      <c r="T299" s="205"/>
      <c r="U299" s="205"/>
      <c r="V299" s="205"/>
      <c r="W299" s="205"/>
      <c r="X299" s="100"/>
      <c r="Y299" s="206"/>
      <c r="Z299" s="207"/>
      <c r="AA299" s="206"/>
      <c r="AB299" s="99"/>
      <c r="AC299" s="10"/>
      <c r="AD299" s="5"/>
    </row>
    <row r="300" spans="1:31" x14ac:dyDescent="0.3">
      <c r="A300" s="33"/>
      <c r="B300" s="102" t="s">
        <v>121</v>
      </c>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54" t="s">
        <v>69</v>
      </c>
      <c r="Y300" s="103" t="s">
        <v>70</v>
      </c>
      <c r="Z300" s="154" t="s">
        <v>75</v>
      </c>
      <c r="AA300" s="103" t="s">
        <v>70</v>
      </c>
      <c r="AB300" s="34"/>
      <c r="AC300" s="36"/>
      <c r="AD300" s="5"/>
    </row>
    <row r="301" spans="1:31" s="23" customFormat="1" x14ac:dyDescent="0.3">
      <c r="A301" s="18"/>
      <c r="B301" s="106" t="s">
        <v>59</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06">
        <v>0</v>
      </c>
      <c r="Y301" s="192">
        <v>0</v>
      </c>
      <c r="Z301" s="107">
        <v>0</v>
      </c>
      <c r="AA301" s="192">
        <v>0</v>
      </c>
      <c r="AB301" s="37"/>
      <c r="AC301" s="21"/>
      <c r="AD301" s="22"/>
    </row>
    <row r="302" spans="1:31" s="23" customFormat="1" x14ac:dyDescent="0.3">
      <c r="A302" s="47"/>
      <c r="B302" s="97" t="s">
        <v>60</v>
      </c>
      <c r="C302" s="194"/>
      <c r="D302" s="194"/>
      <c r="E302" s="194"/>
      <c r="F302" s="194"/>
      <c r="G302" s="194"/>
      <c r="H302" s="194"/>
      <c r="I302" s="194"/>
      <c r="J302" s="194"/>
      <c r="K302" s="194"/>
      <c r="L302" s="194"/>
      <c r="M302" s="194"/>
      <c r="N302" s="194"/>
      <c r="O302" s="194"/>
      <c r="P302" s="194"/>
      <c r="Q302" s="194"/>
      <c r="R302" s="194"/>
      <c r="S302" s="194"/>
      <c r="T302" s="194"/>
      <c r="U302" s="194"/>
      <c r="V302" s="194"/>
      <c r="W302" s="194"/>
      <c r="X302" s="97">
        <v>0</v>
      </c>
      <c r="Y302" s="198">
        <v>0</v>
      </c>
      <c r="Z302" s="98">
        <v>0</v>
      </c>
      <c r="AA302" s="198">
        <v>0</v>
      </c>
      <c r="AB302" s="40"/>
      <c r="AC302" s="43"/>
      <c r="AD302" s="22"/>
    </row>
    <row r="303" spans="1:31" s="23" customFormat="1" x14ac:dyDescent="0.3">
      <c r="A303" s="47"/>
      <c r="B303" s="97" t="s">
        <v>61</v>
      </c>
      <c r="C303" s="194"/>
      <c r="D303" s="194"/>
      <c r="E303" s="194"/>
      <c r="F303" s="194"/>
      <c r="G303" s="194"/>
      <c r="H303" s="194"/>
      <c r="I303" s="194"/>
      <c r="J303" s="194"/>
      <c r="K303" s="194"/>
      <c r="L303" s="194"/>
      <c r="M303" s="194"/>
      <c r="N303" s="194"/>
      <c r="O303" s="194"/>
      <c r="P303" s="194"/>
      <c r="Q303" s="194"/>
      <c r="R303" s="194"/>
      <c r="S303" s="194"/>
      <c r="T303" s="194"/>
      <c r="U303" s="194"/>
      <c r="V303" s="194"/>
      <c r="W303" s="194"/>
      <c r="X303" s="97">
        <v>0</v>
      </c>
      <c r="Y303" s="198">
        <v>0</v>
      </c>
      <c r="Z303" s="98">
        <v>0</v>
      </c>
      <c r="AA303" s="198">
        <v>0</v>
      </c>
      <c r="AB303" s="40"/>
      <c r="AC303" s="43"/>
      <c r="AD303" s="22"/>
    </row>
    <row r="304" spans="1:31" s="23" customFormat="1" x14ac:dyDescent="0.3">
      <c r="A304" s="47"/>
      <c r="B304" s="97" t="s">
        <v>100</v>
      </c>
      <c r="C304" s="194"/>
      <c r="D304" s="194"/>
      <c r="E304" s="194"/>
      <c r="F304" s="194"/>
      <c r="G304" s="194"/>
      <c r="H304" s="194"/>
      <c r="I304" s="194"/>
      <c r="J304" s="194"/>
      <c r="K304" s="194"/>
      <c r="L304" s="194"/>
      <c r="M304" s="194"/>
      <c r="N304" s="194"/>
      <c r="O304" s="194"/>
      <c r="P304" s="194"/>
      <c r="Q304" s="194"/>
      <c r="R304" s="194"/>
      <c r="S304" s="194"/>
      <c r="T304" s="194"/>
      <c r="U304" s="194"/>
      <c r="V304" s="194"/>
      <c r="W304" s="194"/>
      <c r="X304" s="97">
        <v>0</v>
      </c>
      <c r="Y304" s="198">
        <v>0</v>
      </c>
      <c r="Z304" s="98">
        <v>0</v>
      </c>
      <c r="AA304" s="198">
        <v>0</v>
      </c>
      <c r="AB304" s="40"/>
      <c r="AC304" s="43"/>
      <c r="AD304" s="22"/>
    </row>
    <row r="305" spans="1:30" s="23" customFormat="1" x14ac:dyDescent="0.3">
      <c r="A305" s="47"/>
      <c r="B305" s="97" t="s">
        <v>101</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102</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103</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104</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c r="Y309" s="198"/>
      <c r="Z309" s="98"/>
      <c r="AA309" s="198"/>
      <c r="AB309" s="40"/>
      <c r="AC309" s="43"/>
      <c r="AD309" s="22"/>
    </row>
    <row r="310" spans="1:30" s="23" customFormat="1" x14ac:dyDescent="0.3">
      <c r="A310" s="47"/>
      <c r="B310" s="40" t="s">
        <v>80</v>
      </c>
      <c r="C310" s="40"/>
      <c r="D310" s="204"/>
      <c r="E310" s="204"/>
      <c r="F310" s="204"/>
      <c r="G310" s="204"/>
      <c r="H310" s="204"/>
      <c r="I310" s="204"/>
      <c r="J310" s="204"/>
      <c r="K310" s="204"/>
      <c r="L310" s="204"/>
      <c r="M310" s="204"/>
      <c r="N310" s="204"/>
      <c r="O310" s="204"/>
      <c r="P310" s="204"/>
      <c r="Q310" s="204"/>
      <c r="R310" s="204"/>
      <c r="S310" s="204"/>
      <c r="T310" s="204"/>
      <c r="U310" s="204"/>
      <c r="V310" s="204"/>
      <c r="W310" s="204"/>
      <c r="X310" s="97">
        <f>SUM(X301:X309)</f>
        <v>0</v>
      </c>
      <c r="Y310" s="198">
        <f>SUM(Y301:Y309)</f>
        <v>0</v>
      </c>
      <c r="Z310" s="98">
        <f>SUM(Z301:Z309)</f>
        <v>0</v>
      </c>
      <c r="AA310" s="198">
        <f>SUM(AA301:AA309)</f>
        <v>0</v>
      </c>
      <c r="AB310" s="40"/>
      <c r="AC310" s="43"/>
      <c r="AD310" s="22"/>
    </row>
    <row r="311" spans="1:30" s="23" customFormat="1" x14ac:dyDescent="0.3">
      <c r="A311" s="47"/>
      <c r="B311" s="40"/>
      <c r="C311" s="40"/>
      <c r="D311" s="204"/>
      <c r="E311" s="204"/>
      <c r="F311" s="204"/>
      <c r="G311" s="204"/>
      <c r="H311" s="204"/>
      <c r="I311" s="204"/>
      <c r="J311" s="204"/>
      <c r="K311" s="204"/>
      <c r="L311" s="204"/>
      <c r="M311" s="204"/>
      <c r="N311" s="204"/>
      <c r="O311" s="204"/>
      <c r="P311" s="204"/>
      <c r="Q311" s="204"/>
      <c r="R311" s="204"/>
      <c r="S311" s="204"/>
      <c r="T311" s="204"/>
      <c r="U311" s="204"/>
      <c r="V311" s="204"/>
      <c r="W311" s="204"/>
      <c r="X311" s="97"/>
      <c r="Y311" s="198"/>
      <c r="Z311" s="98"/>
      <c r="AA311" s="198"/>
      <c r="AB311" s="40"/>
      <c r="AC311" s="43"/>
      <c r="AD311" s="22"/>
    </row>
    <row r="312" spans="1:30" s="23" customFormat="1" x14ac:dyDescent="0.3">
      <c r="A312" s="242"/>
      <c r="B312" s="243" t="s">
        <v>299</v>
      </c>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62" t="s">
        <v>69</v>
      </c>
      <c r="Y312" s="263" t="s">
        <v>70</v>
      </c>
      <c r="Z312" s="262" t="s">
        <v>75</v>
      </c>
      <c r="AA312" s="263" t="s">
        <v>70</v>
      </c>
      <c r="AB312" s="243"/>
      <c r="AC312" s="243"/>
      <c r="AD312" s="22"/>
    </row>
    <row r="313" spans="1:30" s="23" customFormat="1" x14ac:dyDescent="0.3">
      <c r="A313" s="272"/>
      <c r="B313" s="273" t="s">
        <v>295</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275">
        <v>0</v>
      </c>
      <c r="Y313" s="276">
        <v>0</v>
      </c>
      <c r="Z313" s="277">
        <v>0</v>
      </c>
      <c r="AA313" s="276">
        <v>0</v>
      </c>
      <c r="AB313" s="40"/>
      <c r="AC313" s="43"/>
      <c r="AD313" s="22"/>
    </row>
    <row r="314" spans="1:30" s="23" customFormat="1" x14ac:dyDescent="0.3">
      <c r="A314" s="272"/>
      <c r="B314" s="273" t="s">
        <v>296</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275">
        <v>0</v>
      </c>
      <c r="Y314" s="276">
        <v>0</v>
      </c>
      <c r="Z314" s="277">
        <v>0</v>
      </c>
      <c r="AA314" s="276">
        <v>0</v>
      </c>
      <c r="AB314" s="40"/>
      <c r="AC314" s="43"/>
      <c r="AD314" s="22"/>
    </row>
    <row r="315" spans="1:30" s="23" customFormat="1" x14ac:dyDescent="0.3">
      <c r="A315" s="272"/>
      <c r="B315" s="273" t="s">
        <v>297</v>
      </c>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275">
        <v>0</v>
      </c>
      <c r="Y315" s="276">
        <v>0</v>
      </c>
      <c r="Z315" s="277">
        <v>0</v>
      </c>
      <c r="AA315" s="276">
        <v>0</v>
      </c>
      <c r="AB315" s="40"/>
      <c r="AC315" s="43"/>
      <c r="AD315" s="22"/>
    </row>
    <row r="316" spans="1:30" s="23" customFormat="1" x14ac:dyDescent="0.3">
      <c r="A316" s="272"/>
      <c r="B316" s="273" t="s">
        <v>298</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5">
        <v>0</v>
      </c>
      <c r="Y316" s="276">
        <v>0</v>
      </c>
      <c r="Z316" s="277">
        <v>0</v>
      </c>
      <c r="AA316" s="276">
        <v>0</v>
      </c>
      <c r="AB316" s="40"/>
      <c r="AC316" s="43"/>
      <c r="AD316" s="22"/>
    </row>
    <row r="317" spans="1:30" s="23" customFormat="1" x14ac:dyDescent="0.3">
      <c r="A317" s="272"/>
      <c r="B317" s="273" t="s">
        <v>368</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5">
        <v>0</v>
      </c>
      <c r="Y317" s="276">
        <v>0</v>
      </c>
      <c r="Z317" s="277">
        <v>0</v>
      </c>
      <c r="AA317" s="276">
        <v>0</v>
      </c>
      <c r="AB317" s="40"/>
      <c r="AC317" s="43"/>
      <c r="AD317" s="22"/>
    </row>
    <row r="318" spans="1:30" s="23" customFormat="1" x14ac:dyDescent="0.3">
      <c r="A318" s="272"/>
      <c r="B318" s="274" t="s">
        <v>300</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5">
        <v>0</v>
      </c>
      <c r="Y318" s="276">
        <v>0</v>
      </c>
      <c r="Z318" s="277">
        <v>0</v>
      </c>
      <c r="AA318" s="276">
        <v>0</v>
      </c>
      <c r="AB318" s="40"/>
      <c r="AC318" s="43"/>
      <c r="AD318" s="22"/>
    </row>
    <row r="319" spans="1:30" s="23" customFormat="1" x14ac:dyDescent="0.3">
      <c r="A319" s="272"/>
      <c r="B319" s="273"/>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5"/>
      <c r="Y319" s="276"/>
      <c r="Z319" s="277"/>
      <c r="AA319" s="276"/>
      <c r="AB319" s="40"/>
      <c r="AC319" s="43"/>
      <c r="AD319" s="22"/>
    </row>
    <row r="320" spans="1:30" s="23" customFormat="1" x14ac:dyDescent="0.3">
      <c r="A320" s="272"/>
      <c r="B320" s="273" t="s">
        <v>80</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5">
        <f>SUM(X313:X319)</f>
        <v>0</v>
      </c>
      <c r="Y320" s="276">
        <f>SUM(Y313:Y318)</f>
        <v>0</v>
      </c>
      <c r="Z320" s="277">
        <f>SUM(Z313:Z318)</f>
        <v>0</v>
      </c>
      <c r="AA320" s="276">
        <f>SUM(AA313:AA319)</f>
        <v>0</v>
      </c>
      <c r="AB320" s="40"/>
      <c r="AC320" s="43"/>
      <c r="AD320" s="22"/>
    </row>
    <row r="321" spans="1:30" x14ac:dyDescent="0.3">
      <c r="A321" s="7"/>
      <c r="B321" s="99"/>
      <c r="C321" s="99"/>
      <c r="D321" s="205"/>
      <c r="E321" s="205"/>
      <c r="F321" s="205"/>
      <c r="G321" s="205"/>
      <c r="H321" s="205"/>
      <c r="I321" s="205"/>
      <c r="J321" s="205"/>
      <c r="K321" s="205"/>
      <c r="L321" s="205"/>
      <c r="M321" s="205"/>
      <c r="N321" s="205"/>
      <c r="O321" s="205"/>
      <c r="P321" s="205"/>
      <c r="Q321" s="205"/>
      <c r="R321" s="205"/>
      <c r="S321" s="205"/>
      <c r="T321" s="205"/>
      <c r="U321" s="205"/>
      <c r="V321" s="205"/>
      <c r="W321" s="205"/>
      <c r="X321" s="100"/>
      <c r="Y321" s="206"/>
      <c r="Z321" s="207"/>
      <c r="AA321" s="206"/>
      <c r="AB321" s="99"/>
      <c r="AC321" s="10"/>
      <c r="AD321" s="5"/>
    </row>
    <row r="322" spans="1:30" x14ac:dyDescent="0.3">
      <c r="A322" s="33"/>
      <c r="B322" s="102" t="s">
        <v>106</v>
      </c>
      <c r="C322" s="34"/>
      <c r="D322" s="208"/>
      <c r="E322" s="208"/>
      <c r="F322" s="208"/>
      <c r="G322" s="208"/>
      <c r="H322" s="208"/>
      <c r="I322" s="208"/>
      <c r="J322" s="208"/>
      <c r="K322" s="208"/>
      <c r="L322" s="208"/>
      <c r="M322" s="208"/>
      <c r="N322" s="208"/>
      <c r="O322" s="208"/>
      <c r="P322" s="208"/>
      <c r="Q322" s="208"/>
      <c r="R322" s="208"/>
      <c r="S322" s="208"/>
      <c r="T322" s="208"/>
      <c r="U322" s="208"/>
      <c r="V322" s="208"/>
      <c r="W322" s="208"/>
      <c r="X322" s="154" t="s">
        <v>69</v>
      </c>
      <c r="Y322" s="103" t="s">
        <v>70</v>
      </c>
      <c r="Z322" s="154" t="s">
        <v>75</v>
      </c>
      <c r="AA322" s="103" t="s">
        <v>70</v>
      </c>
      <c r="AB322" s="34"/>
      <c r="AC322" s="36"/>
      <c r="AD322" s="5"/>
    </row>
    <row r="323" spans="1:30" s="23" customFormat="1" x14ac:dyDescent="0.3">
      <c r="A323" s="18"/>
      <c r="B323" s="106" t="s">
        <v>59</v>
      </c>
      <c r="C323" s="37"/>
      <c r="D323" s="209"/>
      <c r="E323" s="209"/>
      <c r="F323" s="209"/>
      <c r="G323" s="209"/>
      <c r="H323" s="209"/>
      <c r="I323" s="209"/>
      <c r="J323" s="209"/>
      <c r="K323" s="209"/>
      <c r="L323" s="209"/>
      <c r="M323" s="209"/>
      <c r="N323" s="209"/>
      <c r="O323" s="209"/>
      <c r="P323" s="209"/>
      <c r="Q323" s="209"/>
      <c r="R323" s="209"/>
      <c r="S323" s="209"/>
      <c r="T323" s="209"/>
      <c r="U323" s="209"/>
      <c r="V323" s="209"/>
      <c r="W323" s="209"/>
      <c r="X323" s="106">
        <v>0</v>
      </c>
      <c r="Y323" s="192">
        <v>0</v>
      </c>
      <c r="Z323" s="107">
        <v>0</v>
      </c>
      <c r="AA323" s="192">
        <v>0</v>
      </c>
      <c r="AB323" s="37"/>
      <c r="AC323" s="21"/>
      <c r="AD323" s="22"/>
    </row>
    <row r="324" spans="1:30" s="23" customFormat="1" x14ac:dyDescent="0.3">
      <c r="A324" s="47"/>
      <c r="B324" s="97" t="s">
        <v>60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97">
        <v>0</v>
      </c>
      <c r="Y324" s="198">
        <v>0</v>
      </c>
      <c r="Z324" s="98">
        <v>0</v>
      </c>
      <c r="AA324" s="198">
        <v>0</v>
      </c>
      <c r="AB324" s="40"/>
      <c r="AC324" s="43"/>
      <c r="AD324" s="22"/>
    </row>
    <row r="325" spans="1:30" s="23" customFormat="1" x14ac:dyDescent="0.3">
      <c r="A325" s="47"/>
      <c r="B325" s="97" t="s">
        <v>61</v>
      </c>
      <c r="C325" s="40"/>
      <c r="D325" s="204"/>
      <c r="E325" s="204"/>
      <c r="F325" s="204"/>
      <c r="G325" s="204"/>
      <c r="H325" s="204"/>
      <c r="I325" s="204"/>
      <c r="J325" s="204"/>
      <c r="K325" s="204"/>
      <c r="L325" s="204"/>
      <c r="M325" s="204"/>
      <c r="N325" s="204"/>
      <c r="O325" s="204"/>
      <c r="P325" s="204"/>
      <c r="Q325" s="204"/>
      <c r="R325" s="204"/>
      <c r="S325" s="204"/>
      <c r="T325" s="204"/>
      <c r="U325" s="204"/>
      <c r="V325" s="204"/>
      <c r="W325" s="204"/>
      <c r="X325" s="97">
        <v>0</v>
      </c>
      <c r="Y325" s="198">
        <v>0</v>
      </c>
      <c r="Z325" s="98">
        <v>0</v>
      </c>
      <c r="AA325" s="198">
        <v>0</v>
      </c>
      <c r="AB325" s="40"/>
      <c r="AC325" s="43"/>
      <c r="AD325" s="22"/>
    </row>
    <row r="326" spans="1:30" s="23" customFormat="1" x14ac:dyDescent="0.3">
      <c r="A326" s="47"/>
      <c r="B326" s="97" t="s">
        <v>100</v>
      </c>
      <c r="C326" s="40"/>
      <c r="D326" s="204"/>
      <c r="E326" s="204"/>
      <c r="F326" s="204"/>
      <c r="G326" s="204"/>
      <c r="H326" s="204"/>
      <c r="I326" s="204"/>
      <c r="J326" s="204"/>
      <c r="K326" s="204"/>
      <c r="L326" s="204"/>
      <c r="M326" s="204"/>
      <c r="N326" s="204"/>
      <c r="O326" s="204"/>
      <c r="P326" s="204"/>
      <c r="Q326" s="204"/>
      <c r="R326" s="204"/>
      <c r="S326" s="204"/>
      <c r="T326" s="204"/>
      <c r="U326" s="204"/>
      <c r="V326" s="204"/>
      <c r="W326" s="204"/>
      <c r="X326" s="97">
        <v>0</v>
      </c>
      <c r="Y326" s="198">
        <v>0</v>
      </c>
      <c r="Z326" s="98">
        <v>0</v>
      </c>
      <c r="AA326" s="198">
        <v>0</v>
      </c>
      <c r="AB326" s="40"/>
      <c r="AC326" s="43"/>
      <c r="AD326" s="22"/>
    </row>
    <row r="327" spans="1:30" s="23" customFormat="1" x14ac:dyDescent="0.3">
      <c r="A327" s="47"/>
      <c r="B327" s="97" t="s">
        <v>101</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102</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103</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104</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c r="Y331" s="198"/>
      <c r="Z331" s="98"/>
      <c r="AA331" s="198"/>
      <c r="AB331" s="40"/>
      <c r="AC331" s="43"/>
      <c r="AD331" s="22"/>
    </row>
    <row r="332" spans="1:30" s="23" customFormat="1" x14ac:dyDescent="0.3">
      <c r="A332" s="47"/>
      <c r="B332" s="40" t="s">
        <v>80</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f>SUM(X323:X330)</f>
        <v>0</v>
      </c>
      <c r="Y332" s="198">
        <f>SUM(Y323:Y330)</f>
        <v>0</v>
      </c>
      <c r="Z332" s="98">
        <f>SUM(Z323:Z330)</f>
        <v>0</v>
      </c>
      <c r="AA332" s="198">
        <f>SUM(AA323:AA330)</f>
        <v>0</v>
      </c>
      <c r="AB332" s="40"/>
      <c r="AC332" s="43"/>
      <c r="AD332" s="22"/>
    </row>
    <row r="333" spans="1:30" s="23" customFormat="1" x14ac:dyDescent="0.3">
      <c r="A333" s="47"/>
      <c r="B333" s="40"/>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c r="Y333" s="198"/>
      <c r="Z333" s="98"/>
      <c r="AA333" s="198"/>
      <c r="AB333" s="40"/>
      <c r="AC333" s="43"/>
      <c r="AD333" s="22"/>
    </row>
    <row r="334" spans="1:30" s="23" customFormat="1" x14ac:dyDescent="0.3">
      <c r="A334" s="47"/>
      <c r="B334" s="44" t="s">
        <v>139</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210">
        <f>X332+X310+X298</f>
        <v>3475</v>
      </c>
      <c r="Y334" s="198"/>
      <c r="Z334" s="211">
        <f>+Z332+Z310+Z298</f>
        <v>654820</v>
      </c>
      <c r="AA334" s="198"/>
      <c r="AB334" s="40"/>
      <c r="AC334" s="43"/>
      <c r="AD334" s="22"/>
    </row>
    <row r="335" spans="1:30" s="23" customFormat="1" x14ac:dyDescent="0.3">
      <c r="A335" s="47"/>
      <c r="B335" s="44" t="s">
        <v>280</v>
      </c>
      <c r="C335" s="44"/>
      <c r="D335" s="212"/>
      <c r="E335" s="212"/>
      <c r="F335" s="212"/>
      <c r="G335" s="212"/>
      <c r="H335" s="212"/>
      <c r="I335" s="212"/>
      <c r="J335" s="212"/>
      <c r="K335" s="212"/>
      <c r="L335" s="212"/>
      <c r="M335" s="212"/>
      <c r="N335" s="212"/>
      <c r="O335" s="212"/>
      <c r="P335" s="212"/>
      <c r="Q335" s="212"/>
      <c r="R335" s="212"/>
      <c r="S335" s="212"/>
      <c r="T335" s="212"/>
      <c r="U335" s="212"/>
      <c r="V335" s="212"/>
      <c r="W335" s="212"/>
      <c r="X335" s="210"/>
      <c r="Y335" s="213"/>
      <c r="Z335" s="211">
        <f>+AB64+AB63</f>
        <v>4</v>
      </c>
      <c r="AA335" s="198"/>
      <c r="AB335" s="40"/>
      <c r="AC335" s="43"/>
      <c r="AD335" s="22"/>
    </row>
    <row r="336" spans="1:30" s="23" customFormat="1" x14ac:dyDescent="0.3">
      <c r="A336" s="47"/>
      <c r="B336" s="44" t="s">
        <v>107</v>
      </c>
      <c r="C336" s="44"/>
      <c r="D336" s="212"/>
      <c r="E336" s="212"/>
      <c r="F336" s="212"/>
      <c r="G336" s="212"/>
      <c r="H336" s="212"/>
      <c r="I336" s="212"/>
      <c r="J336" s="212"/>
      <c r="K336" s="212"/>
      <c r="L336" s="212"/>
      <c r="M336" s="212"/>
      <c r="N336" s="212"/>
      <c r="O336" s="212"/>
      <c r="P336" s="212"/>
      <c r="Q336" s="212"/>
      <c r="R336" s="212"/>
      <c r="S336" s="212"/>
      <c r="T336" s="212"/>
      <c r="U336" s="212"/>
      <c r="V336" s="212"/>
      <c r="W336" s="212"/>
      <c r="X336" s="210"/>
      <c r="Y336" s="213"/>
      <c r="Z336" s="211">
        <f>+Z334+Z335</f>
        <v>654824</v>
      </c>
      <c r="AA336" s="198"/>
      <c r="AB336" s="40"/>
      <c r="AC336" s="43"/>
      <c r="AD336" s="22"/>
    </row>
    <row r="337" spans="1:30" s="23" customFormat="1" x14ac:dyDescent="0.3">
      <c r="A337" s="47"/>
      <c r="B337" s="44" t="s">
        <v>245</v>
      </c>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210"/>
      <c r="Y337" s="198"/>
      <c r="Z337" s="211">
        <f>+AB66</f>
        <v>654824</v>
      </c>
      <c r="AA337" s="198"/>
      <c r="AB337" s="40"/>
      <c r="AC337" s="43"/>
      <c r="AD337" s="22"/>
    </row>
    <row r="338" spans="1:30" s="23" customFormat="1" x14ac:dyDescent="0.3">
      <c r="A338" s="47"/>
      <c r="B338" s="44"/>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c r="Y338" s="198"/>
      <c r="Z338" s="211"/>
      <c r="AA338" s="198"/>
      <c r="AB338" s="40"/>
      <c r="AC338" s="43"/>
      <c r="AD338" s="22"/>
    </row>
    <row r="339" spans="1:30" s="23" customFormat="1" x14ac:dyDescent="0.3">
      <c r="A339" s="47"/>
      <c r="B339" s="44" t="s">
        <v>327</v>
      </c>
      <c r="C339" s="40"/>
      <c r="D339" s="204"/>
      <c r="E339" s="204"/>
      <c r="F339" s="204"/>
      <c r="G339" s="204"/>
      <c r="H339" s="204"/>
      <c r="I339" s="204"/>
      <c r="J339" s="204"/>
      <c r="K339" s="204"/>
      <c r="L339" s="204"/>
      <c r="M339" s="204"/>
      <c r="N339" s="204"/>
      <c r="O339" s="204"/>
      <c r="P339" s="204"/>
      <c r="Q339" s="204"/>
      <c r="R339" s="204"/>
      <c r="S339" s="204"/>
      <c r="T339" s="204"/>
      <c r="U339" s="204"/>
      <c r="V339" s="204"/>
      <c r="W339" s="204"/>
      <c r="X339" s="210"/>
      <c r="Y339" s="198"/>
      <c r="Z339" s="236">
        <f>(F31+H31+J31+L31+N31)/AB31</f>
        <v>0.99999847287305199</v>
      </c>
      <c r="AA339" s="198"/>
      <c r="AB339" s="40"/>
      <c r="AC339" s="43"/>
      <c r="AD339" s="22"/>
    </row>
    <row r="340" spans="1:30" s="23" customFormat="1" x14ac:dyDescent="0.3">
      <c r="A340" s="18"/>
      <c r="B340" s="20"/>
      <c r="C340" s="20"/>
      <c r="D340" s="214"/>
      <c r="E340" s="214"/>
      <c r="F340" s="214"/>
      <c r="G340" s="214"/>
      <c r="H340" s="214"/>
      <c r="I340" s="214"/>
      <c r="J340" s="214"/>
      <c r="K340" s="214"/>
      <c r="L340" s="214"/>
      <c r="M340" s="214"/>
      <c r="N340" s="214"/>
      <c r="O340" s="214"/>
      <c r="P340" s="214"/>
      <c r="Q340" s="214"/>
      <c r="R340" s="214"/>
      <c r="S340" s="214"/>
      <c r="T340" s="214"/>
      <c r="U340" s="214"/>
      <c r="V340" s="214"/>
      <c r="W340" s="214"/>
      <c r="X340" s="214"/>
      <c r="Y340" s="214"/>
      <c r="Z340" s="215"/>
      <c r="AA340" s="214"/>
      <c r="AB340" s="20"/>
      <c r="AC340" s="21"/>
      <c r="AD340" s="22"/>
    </row>
    <row r="341" spans="1:30" s="23" customFormat="1" x14ac:dyDescent="0.3">
      <c r="A341" s="18"/>
      <c r="B341" s="19" t="s">
        <v>62</v>
      </c>
      <c r="C341" s="20"/>
      <c r="D341" s="216" t="s">
        <v>66</v>
      </c>
      <c r="E341" s="19"/>
      <c r="F341" s="19" t="s">
        <v>67</v>
      </c>
      <c r="G341" s="20"/>
      <c r="H341" s="19"/>
      <c r="I341" s="20"/>
      <c r="J341" s="20"/>
      <c r="K341" s="20"/>
      <c r="L341" s="20"/>
      <c r="M341" s="20"/>
      <c r="N341" s="20"/>
      <c r="O341" s="20"/>
      <c r="P341" s="20"/>
      <c r="Q341" s="20"/>
      <c r="R341" s="20"/>
      <c r="S341" s="20"/>
      <c r="T341" s="20"/>
      <c r="U341" s="20"/>
      <c r="V341" s="20"/>
      <c r="W341" s="20"/>
      <c r="X341" s="20"/>
      <c r="Y341" s="20"/>
      <c r="Z341" s="20"/>
      <c r="AA341" s="20"/>
      <c r="AB341" s="20"/>
      <c r="AC341" s="21"/>
      <c r="AD341" s="22"/>
    </row>
    <row r="342" spans="1:30" s="23" customFormat="1" x14ac:dyDescent="0.3">
      <c r="A342" s="18"/>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1"/>
      <c r="AD342" s="22"/>
    </row>
    <row r="343" spans="1:30" s="23" customFormat="1" x14ac:dyDescent="0.3">
      <c r="A343" s="18"/>
      <c r="B343" s="19" t="s">
        <v>152</v>
      </c>
      <c r="C343" s="19"/>
      <c r="D343" s="217" t="s">
        <v>122</v>
      </c>
      <c r="E343" s="19"/>
      <c r="F343" s="19" t="s">
        <v>169</v>
      </c>
      <c r="G343" s="19"/>
      <c r="H343" s="19"/>
      <c r="I343" s="20"/>
      <c r="J343" s="20"/>
      <c r="K343" s="20"/>
      <c r="L343" s="20"/>
      <c r="M343" s="20"/>
      <c r="N343" s="20"/>
      <c r="O343" s="20"/>
      <c r="P343" s="20"/>
      <c r="Q343" s="20"/>
      <c r="R343" s="20"/>
      <c r="S343" s="20"/>
      <c r="T343" s="20"/>
      <c r="U343" s="20"/>
      <c r="V343" s="20"/>
      <c r="W343" s="20"/>
      <c r="X343" s="20"/>
      <c r="Y343" s="20"/>
      <c r="Z343" s="20"/>
      <c r="AA343" s="20"/>
      <c r="AB343" s="20"/>
      <c r="AC343" s="21"/>
      <c r="AD343" s="22"/>
    </row>
    <row r="344" spans="1:30" s="23" customFormat="1" x14ac:dyDescent="0.3">
      <c r="A344" s="18"/>
      <c r="B344" s="19" t="s">
        <v>153</v>
      </c>
      <c r="C344" s="19"/>
      <c r="D344" s="217" t="s">
        <v>98</v>
      </c>
      <c r="E344" s="19"/>
      <c r="F344" s="19" t="s">
        <v>170</v>
      </c>
      <c r="G344" s="19"/>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s="23" customFormat="1" x14ac:dyDescent="0.3">
      <c r="A345" s="18"/>
      <c r="B345" s="19"/>
      <c r="C345" s="19"/>
      <c r="D345" s="217"/>
      <c r="E345" s="19"/>
      <c r="F345" s="19"/>
      <c r="G345" s="19"/>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ht="18" x14ac:dyDescent="0.35">
      <c r="A346" s="218"/>
      <c r="B346" s="259" t="s">
        <v>109</v>
      </c>
      <c r="C346" s="219"/>
      <c r="D346" s="220"/>
      <c r="E346" s="220"/>
      <c r="F346" s="220"/>
      <c r="G346" s="220"/>
      <c r="H346" s="220"/>
      <c r="I346" s="220"/>
      <c r="J346" s="220"/>
      <c r="K346" s="220"/>
      <c r="L346" s="220"/>
      <c r="M346" s="220"/>
      <c r="N346" s="220"/>
      <c r="O346" s="220"/>
      <c r="P346" s="260" t="s">
        <v>168</v>
      </c>
      <c r="Q346" s="220"/>
      <c r="R346" s="220"/>
      <c r="S346" s="220"/>
      <c r="T346" s="220"/>
      <c r="U346" s="220"/>
      <c r="V346" s="220"/>
      <c r="W346" s="220"/>
      <c r="X346" s="220"/>
      <c r="Y346" s="220"/>
      <c r="Z346" s="220"/>
      <c r="AA346" s="220"/>
      <c r="AB346" s="220"/>
      <c r="AC346" s="221"/>
      <c r="AD346" s="5"/>
    </row>
    <row r="347" spans="1:30" ht="18" x14ac:dyDescent="0.35">
      <c r="A347" s="218"/>
      <c r="B347" s="259"/>
      <c r="C347" s="219"/>
      <c r="D347" s="220"/>
      <c r="E347" s="220"/>
      <c r="F347" s="220"/>
      <c r="G347" s="220"/>
      <c r="H347" s="220"/>
      <c r="I347" s="220"/>
      <c r="J347" s="220"/>
      <c r="K347" s="220"/>
      <c r="L347" s="220"/>
      <c r="M347" s="220"/>
      <c r="N347" s="220"/>
      <c r="O347" s="220"/>
      <c r="P347" s="260"/>
      <c r="Q347" s="220"/>
      <c r="R347" s="220"/>
      <c r="S347" s="220"/>
      <c r="T347" s="220"/>
      <c r="U347" s="220"/>
      <c r="V347" s="220"/>
      <c r="W347" s="220"/>
      <c r="X347" s="220"/>
      <c r="Y347" s="220"/>
      <c r="Z347" s="220"/>
      <c r="AA347" s="220"/>
      <c r="AB347" s="220"/>
      <c r="AC347" s="221"/>
      <c r="AD347" s="5"/>
    </row>
    <row r="348" spans="1:30" ht="18.600000000000001" thickBot="1" x14ac:dyDescent="0.4">
      <c r="A348" s="218"/>
      <c r="B348" s="222" t="str">
        <f>B234</f>
        <v>PM27 INVESTOR REPORT QUARTER ENDING DECEMBER 2022</v>
      </c>
      <c r="C348" s="219"/>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c r="AA348" s="220"/>
      <c r="AB348" s="220"/>
      <c r="AC348" s="223"/>
      <c r="AD348" s="5"/>
    </row>
    <row r="349" spans="1:30" x14ac:dyDescent="0.3">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c r="Y349" s="224"/>
      <c r="Z349" s="224"/>
      <c r="AA349" s="224"/>
      <c r="AB349" s="224"/>
      <c r="AC349" s="224"/>
    </row>
    <row r="350" spans="1:30" x14ac:dyDescent="0.3">
      <c r="B350" s="278" t="s">
        <v>351</v>
      </c>
    </row>
    <row r="351" spans="1:30" x14ac:dyDescent="0.3">
      <c r="B351" s="270" t="s">
        <v>352</v>
      </c>
    </row>
    <row r="352" spans="1:30" x14ac:dyDescent="0.3">
      <c r="B352" s="298" t="s">
        <v>353</v>
      </c>
    </row>
    <row r="354" spans="2:2" x14ac:dyDescent="0.3">
      <c r="B354" s="270" t="s">
        <v>365</v>
      </c>
    </row>
    <row r="355" spans="2:2" x14ac:dyDescent="0.3">
      <c r="B355" s="270" t="s">
        <v>364</v>
      </c>
    </row>
  </sheetData>
  <hyperlinks>
    <hyperlink ref="K9" r:id="rId1" display="http://www.paragon-group.co.uk" xr:uid="{120D8158-88D3-42B9-868E-BE6A58E587C3}"/>
    <hyperlink ref="P346" r:id="rId2" xr:uid="{9D6F860B-D698-4B65-A106-5C656A9E5BB3}"/>
    <hyperlink ref="P274" r:id="rId3" xr:uid="{5B66F138-C681-47A8-8067-D4431700B24E}"/>
    <hyperlink ref="B352" r:id="rId4" display="https://investorreporting.paragonbankinggroup.co.uk/bondinvestor_viewer/resources/bondinvestor/pdf/investornews/2021/libor-mortgages-transition-july-19" xr:uid="{3FCFF426-4CE1-40D1-9DEC-CD77B1050B87}"/>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1" max="18" man="1"/>
    <brk id="234" max="18" man="1"/>
  </rowBreaks>
  <colBreaks count="1" manualBreakCount="1">
    <brk id="29" max="299" man="1"/>
  </colBreaks>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C8638-850F-4292-99F5-11C119AB953F}">
  <sheetPr>
    <tabColor rgb="FF2D2926"/>
  </sheetPr>
  <dimension ref="A1:JB355"/>
  <sheetViews>
    <sheetView showGridLines="0" showOutlineSymbols="0" zoomScale="70" zoomScaleNormal="70" workbookViewId="0"/>
  </sheetViews>
  <sheetFormatPr defaultColWidth="9.81640625" defaultRowHeight="15.6" x14ac:dyDescent="0.3"/>
  <cols>
    <col min="1" max="1" width="4" style="6" customWidth="1"/>
    <col min="2" max="2" width="71.08984375" style="6" customWidth="1"/>
    <col min="3" max="3" width="2.08984375" style="6" customWidth="1"/>
    <col min="4" max="4" width="16.08984375" style="6" customWidth="1"/>
    <col min="5" max="5" width="2.81640625" style="6" customWidth="1"/>
    <col min="6" max="6" width="16.08984375" style="6" customWidth="1"/>
    <col min="7" max="7" width="2.08984375" style="6" customWidth="1"/>
    <col min="8" max="8" width="17.81640625" style="6" customWidth="1"/>
    <col min="9" max="9" width="2.08984375" style="6" customWidth="1"/>
    <col min="10" max="10" width="14.8164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302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168</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301</v>
      </c>
      <c r="AC14" s="21"/>
      <c r="AD14" s="22"/>
    </row>
    <row r="15" spans="1:30" s="23" customFormat="1" x14ac:dyDescent="0.3">
      <c r="A15" s="18"/>
      <c r="B15" s="19" t="s">
        <v>278</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323</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3.6400000000000002E-2</v>
      </c>
      <c r="Z16" s="29" t="s">
        <v>264</v>
      </c>
      <c r="AA16" s="29">
        <v>0.96360000000000001</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3.0193320434334862E-2</v>
      </c>
      <c r="Z17" s="29" t="s">
        <v>264</v>
      </c>
      <c r="AA17" s="29">
        <v>0.96980667956566513</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6">
        <v>43951</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45037</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304</v>
      </c>
      <c r="G23" s="35"/>
      <c r="H23" s="35" t="s">
        <v>140</v>
      </c>
      <c r="I23" s="35"/>
      <c r="J23" s="35" t="s">
        <v>141</v>
      </c>
      <c r="K23" s="35"/>
      <c r="L23" s="35" t="s">
        <v>171</v>
      </c>
      <c r="M23" s="35"/>
      <c r="N23" s="35" t="s">
        <v>161</v>
      </c>
      <c r="O23" s="35"/>
      <c r="P23" s="35" t="s">
        <v>181</v>
      </c>
      <c r="Q23" s="35"/>
      <c r="R23" s="35" t="s">
        <v>182</v>
      </c>
      <c r="S23" s="35"/>
      <c r="T23" s="35" t="s">
        <v>183</v>
      </c>
      <c r="U23" s="35"/>
      <c r="V23" s="35" t="s">
        <v>184</v>
      </c>
      <c r="W23" s="35"/>
      <c r="X23" s="35" t="s">
        <v>185</v>
      </c>
      <c r="Y23" s="35" t="s">
        <v>186</v>
      </c>
      <c r="Z23" s="35"/>
      <c r="AA23" s="34"/>
      <c r="AB23" s="34"/>
      <c r="AC23" s="36"/>
      <c r="AD23" s="5"/>
    </row>
    <row r="24" spans="1:33" s="23" customFormat="1" x14ac:dyDescent="0.3">
      <c r="A24" s="18"/>
      <c r="B24" s="37" t="s">
        <v>158</v>
      </c>
      <c r="C24" s="38"/>
      <c r="D24" s="228"/>
      <c r="E24" s="228"/>
      <c r="F24" s="228" t="s">
        <v>220</v>
      </c>
      <c r="G24" s="228"/>
      <c r="H24" s="228" t="s">
        <v>221</v>
      </c>
      <c r="I24" s="228"/>
      <c r="J24" s="228" t="s">
        <v>269</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c r="E25" s="227"/>
      <c r="F25" s="227" t="s">
        <v>222</v>
      </c>
      <c r="G25" s="227"/>
      <c r="H25" s="227" t="s">
        <v>223</v>
      </c>
      <c r="I25" s="227"/>
      <c r="J25" s="227" t="s">
        <v>270</v>
      </c>
      <c r="K25" s="227"/>
      <c r="L25" s="227" t="s">
        <v>324</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159</v>
      </c>
      <c r="C26" s="41"/>
      <c r="D26" s="229"/>
      <c r="E26" s="229"/>
      <c r="F26" s="229" t="s">
        <v>220</v>
      </c>
      <c r="G26" s="229"/>
      <c r="H26" s="229" t="s">
        <v>220</v>
      </c>
      <c r="I26" s="229"/>
      <c r="J26" s="229" t="s">
        <v>355</v>
      </c>
      <c r="K26" s="229"/>
      <c r="L26" s="229" t="s">
        <v>356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c r="E27" s="229"/>
      <c r="F27" s="229" t="s">
        <v>222</v>
      </c>
      <c r="G27" s="229"/>
      <c r="H27" s="229" t="s">
        <v>223</v>
      </c>
      <c r="I27" s="229"/>
      <c r="J27" s="229" t="s">
        <v>270</v>
      </c>
      <c r="K27" s="229"/>
      <c r="L27" s="229" t="s">
        <v>324</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c r="E28" s="227"/>
      <c r="F28" s="227" t="s">
        <v>313</v>
      </c>
      <c r="G28" s="227"/>
      <c r="H28" s="227" t="s">
        <v>314</v>
      </c>
      <c r="I28" s="227"/>
      <c r="J28" s="227" t="s">
        <v>315</v>
      </c>
      <c r="K28" s="227"/>
      <c r="L28" s="227" t="s">
        <v>316</v>
      </c>
      <c r="M28" s="227"/>
      <c r="N28" s="227" t="s">
        <v>317</v>
      </c>
      <c r="O28" s="227"/>
      <c r="P28" s="227" t="s">
        <v>318</v>
      </c>
      <c r="Q28" s="227"/>
      <c r="R28" s="227" t="s">
        <v>83</v>
      </c>
      <c r="S28" s="227"/>
      <c r="T28" s="227" t="s">
        <v>319</v>
      </c>
      <c r="U28" s="227"/>
      <c r="V28" s="227" t="s">
        <v>320</v>
      </c>
      <c r="W28" s="227"/>
      <c r="X28" s="227" t="s">
        <v>321</v>
      </c>
      <c r="Y28" s="227" t="s">
        <v>322</v>
      </c>
      <c r="Z28" s="227"/>
      <c r="AA28" s="49"/>
      <c r="AB28" s="50"/>
      <c r="AC28" s="51"/>
      <c r="AD28" s="22"/>
      <c r="AE28" s="45"/>
      <c r="AG28" s="46"/>
    </row>
    <row r="29" spans="1:33" s="23" customFormat="1" x14ac:dyDescent="0.3">
      <c r="A29" s="39"/>
      <c r="B29" s="40" t="s">
        <v>91</v>
      </c>
      <c r="C29" s="52"/>
      <c r="D29" s="54"/>
      <c r="E29" s="53"/>
      <c r="F29" s="54">
        <v>648307</v>
      </c>
      <c r="G29" s="55"/>
      <c r="H29" s="54">
        <v>41826</v>
      </c>
      <c r="I29" s="55"/>
      <c r="J29" s="54">
        <v>22814</v>
      </c>
      <c r="K29" s="55"/>
      <c r="L29" s="54">
        <v>22814</v>
      </c>
      <c r="M29" s="50"/>
      <c r="N29" s="54">
        <v>24717</v>
      </c>
      <c r="O29" s="54"/>
      <c r="P29" s="231">
        <v>11637</v>
      </c>
      <c r="Q29" s="231"/>
      <c r="R29" s="231">
        <v>4175</v>
      </c>
      <c r="S29" s="54"/>
      <c r="T29" s="54" t="s">
        <v>83</v>
      </c>
      <c r="U29" s="54"/>
      <c r="V29" s="54" t="s">
        <v>83</v>
      </c>
      <c r="W29" s="54"/>
      <c r="X29" s="54" t="s">
        <v>83</v>
      </c>
      <c r="Y29" s="54" t="s">
        <v>83</v>
      </c>
      <c r="Z29" s="54"/>
      <c r="AA29" s="52"/>
      <c r="AB29" s="50">
        <f>SUM(F29:N29)</f>
        <v>760478</v>
      </c>
      <c r="AC29" s="51"/>
      <c r="AD29" s="22"/>
    </row>
    <row r="30" spans="1:33" s="23" customFormat="1" x14ac:dyDescent="0.3">
      <c r="A30" s="47"/>
      <c r="B30" s="40" t="s">
        <v>90</v>
      </c>
      <c r="C30" s="49"/>
      <c r="D30" s="54"/>
      <c r="E30" s="54"/>
      <c r="F30" s="54">
        <f>F29*F33</f>
        <v>542652.40821000002</v>
      </c>
      <c r="G30" s="54"/>
      <c r="H30" s="54">
        <f>H29</f>
        <v>41826</v>
      </c>
      <c r="I30" s="54"/>
      <c r="J30" s="54">
        <f>J29</f>
        <v>22814</v>
      </c>
      <c r="K30" s="54"/>
      <c r="L30" s="54">
        <f>L29</f>
        <v>22814</v>
      </c>
      <c r="M30" s="54"/>
      <c r="N30" s="54">
        <f>N29</f>
        <v>24717</v>
      </c>
      <c r="O30" s="54"/>
      <c r="P30" s="54">
        <f>P29*P33</f>
        <v>9582.6040199999989</v>
      </c>
      <c r="Q30" s="54"/>
      <c r="R30" s="54">
        <f>'December 2020'!R31</f>
        <v>0</v>
      </c>
      <c r="S30" s="54"/>
      <c r="T30" s="54" t="s">
        <v>83</v>
      </c>
      <c r="U30" s="54"/>
      <c r="V30" s="54" t="s">
        <v>83</v>
      </c>
      <c r="W30" s="54"/>
      <c r="X30" s="54" t="s">
        <v>83</v>
      </c>
      <c r="Y30" s="54" t="s">
        <v>83</v>
      </c>
      <c r="Z30" s="54"/>
      <c r="AA30" s="49"/>
      <c r="AB30" s="50">
        <f>SUM(F30:N30)+1</f>
        <v>654824.40821000002</v>
      </c>
      <c r="AC30" s="51"/>
      <c r="AD30" s="22"/>
    </row>
    <row r="31" spans="1:33" s="23" customFormat="1" x14ac:dyDescent="0.3">
      <c r="A31" s="47"/>
      <c r="B31" s="44" t="s">
        <v>92</v>
      </c>
      <c r="C31" s="49"/>
      <c r="D31" s="57"/>
      <c r="E31" s="57"/>
      <c r="F31" s="57">
        <f>F29*F32</f>
        <v>538879.26147000003</v>
      </c>
      <c r="G31" s="57"/>
      <c r="H31" s="57">
        <f>H29</f>
        <v>41826</v>
      </c>
      <c r="I31" s="57"/>
      <c r="J31" s="57">
        <f>J29</f>
        <v>22814</v>
      </c>
      <c r="K31" s="57"/>
      <c r="L31" s="57">
        <f>L29</f>
        <v>22814</v>
      </c>
      <c r="M31" s="57"/>
      <c r="N31" s="57">
        <f>N29</f>
        <v>24717</v>
      </c>
      <c r="O31" s="57"/>
      <c r="P31" s="57">
        <f>P29*P32</f>
        <v>9451.10592</v>
      </c>
      <c r="Q31" s="57"/>
      <c r="R31" s="57">
        <v>0</v>
      </c>
      <c r="S31" s="57"/>
      <c r="T31" s="57" t="s">
        <v>83</v>
      </c>
      <c r="U31" s="57"/>
      <c r="V31" s="57" t="s">
        <v>83</v>
      </c>
      <c r="W31" s="57"/>
      <c r="X31" s="57" t="s">
        <v>83</v>
      </c>
      <c r="Y31" s="57" t="s">
        <v>83</v>
      </c>
      <c r="Z31" s="57"/>
      <c r="AA31" s="49"/>
      <c r="AB31" s="56">
        <f>SUM(F31:N31)</f>
        <v>651050.26147000003</v>
      </c>
      <c r="AC31" s="51"/>
      <c r="AD31" s="22"/>
      <c r="AE31" s="235"/>
    </row>
    <row r="32" spans="1:33" s="65" customFormat="1" x14ac:dyDescent="0.3">
      <c r="A32" s="58"/>
      <c r="B32" s="166" t="s">
        <v>88</v>
      </c>
      <c r="C32" s="61"/>
      <c r="D32" s="60"/>
      <c r="E32" s="60"/>
      <c r="F32" s="60">
        <v>0.83121</v>
      </c>
      <c r="G32" s="60"/>
      <c r="H32" s="60">
        <v>1</v>
      </c>
      <c r="I32" s="60"/>
      <c r="J32" s="60">
        <v>1</v>
      </c>
      <c r="K32" s="60"/>
      <c r="L32" s="60">
        <v>1</v>
      </c>
      <c r="M32" s="60"/>
      <c r="N32" s="60">
        <v>1</v>
      </c>
      <c r="O32" s="60"/>
      <c r="P32" s="60">
        <v>0.81215999999999999</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c r="E33" s="225"/>
      <c r="F33" s="60">
        <v>0.83703000000000005</v>
      </c>
      <c r="G33" s="60"/>
      <c r="H33" s="60">
        <v>1</v>
      </c>
      <c r="I33" s="60"/>
      <c r="J33" s="60">
        <v>1</v>
      </c>
      <c r="K33" s="60"/>
      <c r="L33" s="60">
        <v>1</v>
      </c>
      <c r="M33" s="60"/>
      <c r="N33" s="60">
        <v>1</v>
      </c>
      <c r="O33" s="60"/>
      <c r="P33" s="60">
        <v>0.82345999999999997</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c r="E34" s="48"/>
      <c r="F34" s="48" t="s">
        <v>305</v>
      </c>
      <c r="G34" s="48"/>
      <c r="H34" s="48" t="s">
        <v>306</v>
      </c>
      <c r="I34" s="48"/>
      <c r="J34" s="48" t="s">
        <v>273</v>
      </c>
      <c r="K34" s="48"/>
      <c r="L34" s="48" t="s">
        <v>307</v>
      </c>
      <c r="M34" s="48"/>
      <c r="N34" s="48" t="s">
        <v>308</v>
      </c>
      <c r="O34" s="48"/>
      <c r="P34" s="48" t="s">
        <v>254</v>
      </c>
      <c r="Q34" s="48"/>
      <c r="R34" s="48" t="s">
        <v>254</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c r="E35" s="241"/>
      <c r="F35" s="241">
        <v>4.96283E-2</v>
      </c>
      <c r="G35" s="241"/>
      <c r="H35" s="241">
        <v>5.3628299999999997E-2</v>
      </c>
      <c r="I35" s="241"/>
      <c r="J35" s="241">
        <v>5.6628299999999999E-2</v>
      </c>
      <c r="K35" s="241"/>
      <c r="L35" s="241">
        <v>5.9628300000000002E-2</v>
      </c>
      <c r="M35" s="241"/>
      <c r="N35" s="241">
        <v>6.9628300000000004E-2</v>
      </c>
      <c r="O35" s="241"/>
      <c r="P35" s="241">
        <v>7.8628299999999998E-2</v>
      </c>
      <c r="Q35" s="241"/>
      <c r="R35" s="241">
        <v>7.8628299999999998E-2</v>
      </c>
      <c r="S35" s="68"/>
      <c r="T35" s="68" t="s">
        <v>83</v>
      </c>
      <c r="U35" s="68"/>
      <c r="V35" s="68" t="s">
        <v>83</v>
      </c>
      <c r="W35" s="68"/>
      <c r="X35" s="68" t="s">
        <v>83</v>
      </c>
      <c r="Y35" s="68" t="s">
        <v>83</v>
      </c>
      <c r="Z35" s="68"/>
      <c r="AA35" s="40"/>
      <c r="AB35" s="67">
        <f>SUMPRODUCT(D35:N35,D30:N30)/AB30</f>
        <v>5.1230916454949635E-2</v>
      </c>
      <c r="AC35" s="43"/>
      <c r="AD35" s="22"/>
    </row>
    <row r="36" spans="1:30" s="23" customFormat="1" x14ac:dyDescent="0.3">
      <c r="A36" s="47"/>
      <c r="B36" s="40" t="s">
        <v>10</v>
      </c>
      <c r="C36" s="69"/>
      <c r="D36" s="241"/>
      <c r="E36" s="241"/>
      <c r="F36" s="241">
        <v>3.9791600000000003E-2</v>
      </c>
      <c r="G36" s="241"/>
      <c r="H36" s="241">
        <v>4.37916E-2</v>
      </c>
      <c r="I36" s="241"/>
      <c r="J36" s="241">
        <v>4.6791600000000003E-2</v>
      </c>
      <c r="K36" s="241"/>
      <c r="L36" s="241">
        <v>4.9791599999999998E-2</v>
      </c>
      <c r="M36" s="241"/>
      <c r="N36" s="241">
        <v>5.97916E-2</v>
      </c>
      <c r="O36" s="241"/>
      <c r="P36" s="241">
        <v>6.8791599999999994E-2</v>
      </c>
      <c r="Q36" s="241"/>
      <c r="R36" s="241">
        <v>6.8791599999999994E-2</v>
      </c>
      <c r="S36" s="68"/>
      <c r="T36" s="68" t="s">
        <v>83</v>
      </c>
      <c r="U36" s="68"/>
      <c r="V36" s="68" t="s">
        <v>83</v>
      </c>
      <c r="W36" s="68"/>
      <c r="X36" s="68" t="s">
        <v>83</v>
      </c>
      <c r="Y36" s="68" t="s">
        <v>83</v>
      </c>
      <c r="Z36" s="68"/>
      <c r="AA36" s="40"/>
      <c r="AB36" s="40"/>
      <c r="AC36" s="43"/>
      <c r="AD36" s="22"/>
    </row>
    <row r="37" spans="1:30" s="23" customFormat="1" x14ac:dyDescent="0.3">
      <c r="A37" s="47"/>
      <c r="B37" s="40" t="s">
        <v>160</v>
      </c>
      <c r="C37" s="40"/>
      <c r="D37" s="69"/>
      <c r="E37" s="69"/>
      <c r="F37" s="69">
        <v>45945</v>
      </c>
      <c r="G37" s="69"/>
      <c r="H37" s="69">
        <v>45945</v>
      </c>
      <c r="I37" s="69"/>
      <c r="J37" s="69">
        <v>45945</v>
      </c>
      <c r="K37" s="69"/>
      <c r="L37" s="69">
        <v>45945</v>
      </c>
      <c r="M37" s="69"/>
      <c r="N37" s="69">
        <v>45945</v>
      </c>
      <c r="O37" s="69"/>
      <c r="P37" s="69">
        <v>45945</v>
      </c>
      <c r="Q37" s="69"/>
      <c r="R37" s="69">
        <v>45945</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c r="E38" s="69"/>
      <c r="F38" s="69">
        <v>45945</v>
      </c>
      <c r="G38" s="48"/>
      <c r="H38" s="69">
        <v>45945</v>
      </c>
      <c r="I38" s="48"/>
      <c r="J38" s="69">
        <v>45945</v>
      </c>
      <c r="K38" s="48"/>
      <c r="L38" s="69">
        <v>45945</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c r="E39" s="48"/>
      <c r="F39" s="48" t="s">
        <v>309</v>
      </c>
      <c r="G39" s="48"/>
      <c r="H39" s="48" t="s">
        <v>272</v>
      </c>
      <c r="I39" s="48"/>
      <c r="J39" s="48" t="s">
        <v>310</v>
      </c>
      <c r="K39" s="48"/>
      <c r="L39" s="48" t="s">
        <v>308</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7" t="s">
        <v>110</v>
      </c>
      <c r="AC40" s="43"/>
      <c r="AD40" s="22"/>
    </row>
    <row r="41" spans="1:30" s="23" customFormat="1" x14ac:dyDescent="0.3">
      <c r="A41" s="47"/>
      <c r="B41" s="40" t="s">
        <v>253</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32">
        <f>SUM(G29:N29)/F29</f>
        <v>0.17302142349226524</v>
      </c>
      <c r="AC41" s="43"/>
      <c r="AD41" s="22"/>
    </row>
    <row r="42" spans="1:30" s="23" customFormat="1" x14ac:dyDescent="0.3">
      <c r="A42" s="47"/>
      <c r="B42" s="40" t="s">
        <v>252</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32">
        <f>SUM(G31:N31)/F31</f>
        <v>0.20815608990780335</v>
      </c>
      <c r="AC42" s="43"/>
      <c r="AD42" s="22"/>
    </row>
    <row r="43" spans="1:30" s="23" customFormat="1" x14ac:dyDescent="0.3">
      <c r="A43" s="47"/>
      <c r="B43" s="40" t="s">
        <v>197</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1"/>
      <c r="AC44" s="43"/>
      <c r="AD44" s="22"/>
    </row>
    <row r="45" spans="1:30" s="23" customFormat="1" x14ac:dyDescent="0.3">
      <c r="A45" s="47"/>
      <c r="B45" s="40" t="s">
        <v>196</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2"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3"/>
      <c r="AA46" s="73"/>
      <c r="AB46" s="74">
        <v>45033</v>
      </c>
      <c r="AC46" s="43"/>
      <c r="AD46" s="22"/>
    </row>
    <row r="47" spans="1:30" s="23" customFormat="1" x14ac:dyDescent="0.3">
      <c r="A47" s="47"/>
      <c r="B47" s="40" t="s">
        <v>85</v>
      </c>
      <c r="C47" s="40"/>
      <c r="D47" s="75"/>
      <c r="E47" s="75"/>
      <c r="F47" s="75"/>
      <c r="G47" s="75"/>
      <c r="H47" s="75"/>
      <c r="I47" s="75"/>
      <c r="J47" s="75"/>
      <c r="K47" s="75"/>
      <c r="L47" s="75"/>
      <c r="M47" s="75"/>
      <c r="N47" s="75"/>
      <c r="O47" s="75"/>
      <c r="P47" s="75"/>
      <c r="Q47" s="75"/>
      <c r="R47" s="75"/>
      <c r="S47" s="75"/>
      <c r="T47" s="75"/>
      <c r="U47" s="75"/>
      <c r="V47" s="75"/>
      <c r="W47" s="75"/>
      <c r="X47" s="280">
        <f>+AB47-Z47+1</f>
        <v>91</v>
      </c>
      <c r="Y47" s="40"/>
      <c r="Z47" s="76">
        <v>44851</v>
      </c>
      <c r="AA47" s="77"/>
      <c r="AB47" s="76">
        <v>44941</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80">
        <f>+AB48-Z48+1</f>
        <v>91</v>
      </c>
      <c r="Y48" s="40"/>
      <c r="Z48" s="76">
        <v>44942</v>
      </c>
      <c r="AA48" s="77"/>
      <c r="AB48" s="76">
        <v>45032</v>
      </c>
      <c r="AC48" s="43"/>
      <c r="AD48" s="22"/>
    </row>
    <row r="49" spans="1:31" s="23" customFormat="1" x14ac:dyDescent="0.3">
      <c r="A49" s="47"/>
      <c r="B49" s="40" t="s">
        <v>187</v>
      </c>
      <c r="C49" s="40"/>
      <c r="D49" s="40"/>
      <c r="E49" s="40"/>
      <c r="F49" s="40"/>
      <c r="G49" s="40"/>
      <c r="H49" s="40"/>
      <c r="I49" s="40"/>
      <c r="J49" s="40"/>
      <c r="K49" s="40"/>
      <c r="L49" s="40"/>
      <c r="M49" s="40"/>
      <c r="N49" s="40"/>
      <c r="O49" s="40"/>
      <c r="P49" s="40"/>
      <c r="Q49" s="40"/>
      <c r="R49" s="40"/>
      <c r="S49" s="40"/>
      <c r="T49" s="40"/>
      <c r="U49" s="40"/>
      <c r="V49" s="40"/>
      <c r="W49" s="40"/>
      <c r="X49" s="40"/>
      <c r="Y49" s="40"/>
      <c r="Z49" s="76"/>
      <c r="AA49" s="77"/>
      <c r="AB49" s="76" t="s">
        <v>99</v>
      </c>
      <c r="AC49" s="43"/>
      <c r="AD49" s="22"/>
      <c r="AE49" s="78"/>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v>45030</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9"/>
      <c r="AA51" s="80"/>
      <c r="AB51" s="79"/>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1"/>
      <c r="AA52" s="82"/>
      <c r="AB52" s="81"/>
      <c r="AC52" s="21"/>
      <c r="AD52" s="22"/>
    </row>
    <row r="53" spans="1:31" s="23" customFormat="1" ht="18.600000000000001" thickBot="1" x14ac:dyDescent="0.4">
      <c r="A53" s="83"/>
      <c r="B53" s="84" t="s">
        <v>362</v>
      </c>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6"/>
      <c r="AC53" s="87"/>
      <c r="AD53" s="22"/>
    </row>
    <row r="54" spans="1:31" x14ac:dyDescent="0.3">
      <c r="A54" s="33"/>
      <c r="B54" s="88" t="s">
        <v>13</v>
      </c>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90"/>
      <c r="AC54" s="89"/>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1"/>
      <c r="AC55" s="10"/>
      <c r="AD55" s="5"/>
    </row>
    <row r="56" spans="1:31" s="65" customFormat="1" ht="46.8" x14ac:dyDescent="0.3">
      <c r="A56" s="92"/>
      <c r="B56" s="93" t="s">
        <v>14</v>
      </c>
      <c r="C56" s="94"/>
      <c r="D56" s="94"/>
      <c r="E56" s="94"/>
      <c r="F56" s="94"/>
      <c r="G56" s="94"/>
      <c r="H56" s="94"/>
      <c r="I56" s="94"/>
      <c r="J56" s="94"/>
      <c r="K56" s="94"/>
      <c r="L56" s="94"/>
      <c r="M56" s="94"/>
      <c r="N56" s="94"/>
      <c r="O56" s="94"/>
      <c r="P56" s="94" t="s">
        <v>63</v>
      </c>
      <c r="Q56" s="94"/>
      <c r="R56" s="94" t="s">
        <v>65</v>
      </c>
      <c r="S56" s="94"/>
      <c r="T56" s="94" t="s">
        <v>135</v>
      </c>
      <c r="U56" s="94"/>
      <c r="V56" s="94" t="s">
        <v>136</v>
      </c>
      <c r="W56" s="94"/>
      <c r="X56" s="94" t="s">
        <v>68</v>
      </c>
      <c r="Y56" s="94"/>
      <c r="Z56" s="94" t="s">
        <v>72</v>
      </c>
      <c r="AA56" s="94"/>
      <c r="AB56" s="95" t="s">
        <v>78</v>
      </c>
      <c r="AC56" s="96"/>
      <c r="AD56" s="64"/>
    </row>
    <row r="57" spans="1:31" s="23" customFormat="1" x14ac:dyDescent="0.3">
      <c r="A57" s="47"/>
      <c r="B57" s="40" t="s">
        <v>15</v>
      </c>
      <c r="C57" s="97"/>
      <c r="D57" s="97"/>
      <c r="E57" s="97"/>
      <c r="F57" s="97"/>
      <c r="G57" s="97"/>
      <c r="H57" s="98"/>
      <c r="I57" s="97"/>
      <c r="J57" s="98"/>
      <c r="K57" s="97"/>
      <c r="L57" s="97"/>
      <c r="M57" s="97"/>
      <c r="N57" s="97"/>
      <c r="O57" s="97"/>
      <c r="P57" s="238">
        <v>759666</v>
      </c>
      <c r="Q57" s="238"/>
      <c r="R57" s="237">
        <v>654820</v>
      </c>
      <c r="S57" s="238"/>
      <c r="T57" s="237">
        <f>320+19</f>
        <v>339</v>
      </c>
      <c r="U57" s="238"/>
      <c r="V57" s="238">
        <v>3431</v>
      </c>
      <c r="W57" s="238"/>
      <c r="X57" s="238">
        <v>0</v>
      </c>
      <c r="Y57" s="238"/>
      <c r="Z57" s="238">
        <v>0</v>
      </c>
      <c r="AA57" s="238"/>
      <c r="AB57" s="237">
        <f>R57-T57-V57+X57-Z57</f>
        <v>651050</v>
      </c>
      <c r="AC57" s="43"/>
      <c r="AD57" s="22"/>
      <c r="AE57" s="271"/>
    </row>
    <row r="58" spans="1:31" s="23" customFormat="1" x14ac:dyDescent="0.3">
      <c r="A58" s="47"/>
      <c r="B58" s="40" t="s">
        <v>16</v>
      </c>
      <c r="C58" s="97"/>
      <c r="D58" s="97"/>
      <c r="E58" s="97"/>
      <c r="F58" s="97"/>
      <c r="G58" s="97"/>
      <c r="H58" s="98"/>
      <c r="I58" s="97"/>
      <c r="J58" s="98"/>
      <c r="K58" s="97"/>
      <c r="L58" s="97"/>
      <c r="M58" s="97"/>
      <c r="N58" s="97"/>
      <c r="O58" s="97"/>
      <c r="P58" s="238">
        <v>0</v>
      </c>
      <c r="Q58" s="238"/>
      <c r="R58" s="237">
        <v>0</v>
      </c>
      <c r="S58" s="238"/>
      <c r="T58" s="237">
        <v>0</v>
      </c>
      <c r="U58" s="238"/>
      <c r="V58" s="238">
        <v>0</v>
      </c>
      <c r="W58" s="238"/>
      <c r="X58" s="238">
        <v>0</v>
      </c>
      <c r="Y58" s="238"/>
      <c r="Z58" s="238">
        <v>0</v>
      </c>
      <c r="AA58" s="238"/>
      <c r="AB58" s="237">
        <f>F58-J58-L58</f>
        <v>0</v>
      </c>
      <c r="AC58" s="43"/>
      <c r="AD58" s="22"/>
    </row>
    <row r="59" spans="1:31" s="23" customFormat="1" x14ac:dyDescent="0.3">
      <c r="A59" s="47"/>
      <c r="B59" s="40"/>
      <c r="C59" s="97"/>
      <c r="D59" s="97"/>
      <c r="E59" s="97"/>
      <c r="F59" s="97"/>
      <c r="G59" s="97"/>
      <c r="H59" s="98"/>
      <c r="I59" s="97"/>
      <c r="J59" s="98"/>
      <c r="K59" s="97"/>
      <c r="L59" s="97"/>
      <c r="M59" s="97"/>
      <c r="N59" s="97"/>
      <c r="O59" s="97"/>
      <c r="P59" s="238"/>
      <c r="Q59" s="238"/>
      <c r="R59" s="237"/>
      <c r="S59" s="238"/>
      <c r="T59" s="237"/>
      <c r="U59" s="238"/>
      <c r="V59" s="238"/>
      <c r="W59" s="238"/>
      <c r="X59" s="238"/>
      <c r="Y59" s="238"/>
      <c r="Z59" s="238"/>
      <c r="AA59" s="238"/>
      <c r="AB59" s="237"/>
      <c r="AC59" s="43"/>
      <c r="AD59" s="22"/>
    </row>
    <row r="60" spans="1:31" s="23" customFormat="1" x14ac:dyDescent="0.3">
      <c r="A60" s="47"/>
      <c r="B60" s="40" t="s">
        <v>17</v>
      </c>
      <c r="C60" s="97"/>
      <c r="D60" s="97"/>
      <c r="E60" s="97"/>
      <c r="F60" s="97"/>
      <c r="G60" s="97"/>
      <c r="H60" s="97"/>
      <c r="I60" s="97"/>
      <c r="J60" s="97"/>
      <c r="K60" s="97"/>
      <c r="L60" s="97"/>
      <c r="M60" s="97"/>
      <c r="N60" s="97"/>
      <c r="O60" s="97"/>
      <c r="P60" s="238">
        <f>SUM(P57:P59)</f>
        <v>759666</v>
      </c>
      <c r="Q60" s="238"/>
      <c r="R60" s="238">
        <f>R57+R58</f>
        <v>654820</v>
      </c>
      <c r="S60" s="238"/>
      <c r="T60" s="238">
        <f>T57+T58</f>
        <v>339</v>
      </c>
      <c r="U60" s="238"/>
      <c r="V60" s="238">
        <f>SUM(V57:V59)</f>
        <v>3431</v>
      </c>
      <c r="W60" s="238"/>
      <c r="X60" s="238">
        <f>SUM(X57:X59)</f>
        <v>0</v>
      </c>
      <c r="Y60" s="238"/>
      <c r="Z60" s="238">
        <f>SUM(Z57:Z59)</f>
        <v>0</v>
      </c>
      <c r="AA60" s="238"/>
      <c r="AB60" s="238">
        <f>SUM(AB57:AB59)</f>
        <v>651050</v>
      </c>
      <c r="AC60" s="43"/>
      <c r="AD60" s="22"/>
    </row>
    <row r="61" spans="1:31" s="23" customFormat="1" ht="32.1" customHeight="1" x14ac:dyDescent="0.3">
      <c r="A61" s="47"/>
      <c r="B61" s="40"/>
      <c r="C61" s="97"/>
      <c r="D61" s="97"/>
      <c r="E61" s="97"/>
      <c r="F61" s="97"/>
      <c r="G61" s="97"/>
      <c r="H61" s="97"/>
      <c r="I61" s="97"/>
      <c r="J61" s="97"/>
      <c r="K61" s="97"/>
      <c r="L61" s="97"/>
      <c r="M61" s="97"/>
      <c r="N61" s="97"/>
      <c r="O61" s="97"/>
      <c r="P61" s="238"/>
      <c r="Q61" s="238"/>
      <c r="R61" s="238"/>
      <c r="S61" s="238"/>
      <c r="T61" s="238"/>
      <c r="U61" s="238"/>
      <c r="V61" s="238"/>
      <c r="W61" s="238"/>
      <c r="X61" s="238"/>
      <c r="Y61" s="238"/>
      <c r="Z61" s="238"/>
      <c r="AA61" s="238"/>
      <c r="AB61" s="238"/>
      <c r="AC61" s="43"/>
      <c r="AD61" s="22"/>
    </row>
    <row r="62" spans="1:31" s="23" customFormat="1" x14ac:dyDescent="0.3">
      <c r="A62" s="47"/>
      <c r="B62" s="40" t="s">
        <v>18</v>
      </c>
      <c r="C62" s="97"/>
      <c r="D62" s="97"/>
      <c r="E62" s="97"/>
      <c r="F62" s="97"/>
      <c r="G62" s="97"/>
      <c r="H62" s="97"/>
      <c r="I62" s="97"/>
      <c r="J62" s="97"/>
      <c r="K62" s="97"/>
      <c r="L62" s="97"/>
      <c r="M62" s="97"/>
      <c r="N62" s="97"/>
      <c r="O62" s="97"/>
      <c r="P62" s="238">
        <v>0</v>
      </c>
      <c r="Q62" s="238"/>
      <c r="R62" s="238">
        <v>0</v>
      </c>
      <c r="S62" s="238"/>
      <c r="T62" s="238"/>
      <c r="U62" s="238"/>
      <c r="V62" s="238"/>
      <c r="W62" s="238"/>
      <c r="X62" s="238"/>
      <c r="Y62" s="238"/>
      <c r="Z62" s="238"/>
      <c r="AA62" s="238"/>
      <c r="AB62" s="237">
        <v>0</v>
      </c>
      <c r="AC62" s="43"/>
      <c r="AD62" s="22"/>
    </row>
    <row r="63" spans="1:31" s="23" customFormat="1" x14ac:dyDescent="0.3">
      <c r="A63" s="47"/>
      <c r="B63" s="40" t="s">
        <v>274</v>
      </c>
      <c r="C63" s="97"/>
      <c r="D63" s="97"/>
      <c r="E63" s="97"/>
      <c r="F63" s="97"/>
      <c r="G63" s="97"/>
      <c r="H63" s="97"/>
      <c r="I63" s="97"/>
      <c r="J63" s="97"/>
      <c r="K63" s="97"/>
      <c r="L63" s="97"/>
      <c r="M63" s="97"/>
      <c r="N63" s="97"/>
      <c r="O63" s="97"/>
      <c r="P63" s="238">
        <v>0</v>
      </c>
      <c r="Q63" s="238"/>
      <c r="R63" s="238">
        <v>4</v>
      </c>
      <c r="S63" s="238"/>
      <c r="T63" s="238">
        <v>0</v>
      </c>
      <c r="U63" s="238"/>
      <c r="V63" s="238">
        <v>-4</v>
      </c>
      <c r="W63" s="238"/>
      <c r="X63" s="238"/>
      <c r="Y63" s="238"/>
      <c r="Z63" s="238"/>
      <c r="AA63" s="238"/>
      <c r="AB63" s="238">
        <f>R63+V63</f>
        <v>0</v>
      </c>
      <c r="AC63" s="43"/>
      <c r="AD63" s="22"/>
    </row>
    <row r="64" spans="1:31" s="23" customFormat="1" x14ac:dyDescent="0.3">
      <c r="A64" s="47"/>
      <c r="B64" s="40" t="s">
        <v>172</v>
      </c>
      <c r="C64" s="97"/>
      <c r="D64" s="97"/>
      <c r="E64" s="97"/>
      <c r="F64" s="97"/>
      <c r="G64" s="97"/>
      <c r="H64" s="97"/>
      <c r="I64" s="97"/>
      <c r="J64" s="97"/>
      <c r="K64" s="97"/>
      <c r="L64" s="97"/>
      <c r="M64" s="97"/>
      <c r="N64" s="97"/>
      <c r="O64" s="97"/>
      <c r="P64" s="238">
        <v>812</v>
      </c>
      <c r="Q64" s="238"/>
      <c r="R64" s="238">
        <v>0</v>
      </c>
      <c r="S64" s="238"/>
      <c r="T64" s="238"/>
      <c r="U64" s="238"/>
      <c r="V64" s="238"/>
      <c r="W64" s="238"/>
      <c r="X64" s="238">
        <v>0</v>
      </c>
      <c r="Y64" s="238"/>
      <c r="Z64" s="238"/>
      <c r="AA64" s="238"/>
      <c r="AB64" s="238">
        <f>+R64+X64</f>
        <v>0</v>
      </c>
      <c r="AC64" s="43"/>
      <c r="AD64" s="22"/>
    </row>
    <row r="65" spans="1:30" s="23" customFormat="1" x14ac:dyDescent="0.3">
      <c r="A65" s="47"/>
      <c r="B65" s="40" t="s">
        <v>19</v>
      </c>
      <c r="C65" s="97"/>
      <c r="D65" s="97"/>
      <c r="E65" s="97"/>
      <c r="F65" s="97"/>
      <c r="G65" s="97"/>
      <c r="H65" s="97"/>
      <c r="I65" s="97"/>
      <c r="J65" s="97"/>
      <c r="K65" s="97"/>
      <c r="L65" s="97"/>
      <c r="M65" s="97"/>
      <c r="N65" s="97"/>
      <c r="O65" s="97"/>
      <c r="P65" s="238">
        <v>0</v>
      </c>
      <c r="Q65" s="238"/>
      <c r="R65" s="238">
        <v>0</v>
      </c>
      <c r="S65" s="238"/>
      <c r="T65" s="238"/>
      <c r="U65" s="238"/>
      <c r="V65" s="238"/>
      <c r="W65" s="238"/>
      <c r="X65" s="238"/>
      <c r="Y65" s="238"/>
      <c r="Z65" s="238"/>
      <c r="AA65" s="238"/>
      <c r="AB65" s="238">
        <v>0</v>
      </c>
      <c r="AC65" s="43"/>
      <c r="AD65" s="22"/>
    </row>
    <row r="66" spans="1:30" s="23" customFormat="1" x14ac:dyDescent="0.3">
      <c r="A66" s="47"/>
      <c r="B66" s="40" t="s">
        <v>20</v>
      </c>
      <c r="C66" s="97"/>
      <c r="D66" s="97"/>
      <c r="E66" s="97"/>
      <c r="F66" s="97"/>
      <c r="G66" s="97"/>
      <c r="H66" s="97"/>
      <c r="I66" s="97"/>
      <c r="J66" s="97"/>
      <c r="K66" s="97"/>
      <c r="L66" s="97"/>
      <c r="M66" s="97"/>
      <c r="N66" s="97"/>
      <c r="O66" s="97"/>
      <c r="P66" s="238">
        <f>SUM(P60:P65)</f>
        <v>760478</v>
      </c>
      <c r="Q66" s="238"/>
      <c r="R66" s="238">
        <f>SUM(R60:R65)</f>
        <v>654824</v>
      </c>
      <c r="S66" s="238"/>
      <c r="T66" s="238"/>
      <c r="U66" s="238"/>
      <c r="V66" s="238"/>
      <c r="W66" s="238"/>
      <c r="X66" s="238"/>
      <c r="Y66" s="238"/>
      <c r="Z66" s="238"/>
      <c r="AA66" s="238"/>
      <c r="AB66" s="238">
        <f>SUM(AB60:AB65)</f>
        <v>651050</v>
      </c>
      <c r="AC66" s="43"/>
      <c r="AD66" s="22"/>
    </row>
    <row r="67" spans="1:30" x14ac:dyDescent="0.3">
      <c r="A67" s="7"/>
      <c r="B67" s="99"/>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1"/>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2" t="s">
        <v>21</v>
      </c>
      <c r="C69" s="102"/>
      <c r="D69" s="103"/>
      <c r="E69" s="103"/>
      <c r="F69" s="103"/>
      <c r="G69" s="103"/>
      <c r="H69" s="104"/>
      <c r="I69" s="103"/>
      <c r="J69" s="105"/>
      <c r="K69" s="103"/>
      <c r="L69" s="103"/>
      <c r="M69" s="103"/>
      <c r="N69" s="103"/>
      <c r="O69" s="103"/>
      <c r="P69" s="103"/>
      <c r="Q69" s="103"/>
      <c r="R69" s="104" t="s">
        <v>64</v>
      </c>
      <c r="S69" s="103"/>
      <c r="T69" s="105">
        <f>+Z235</f>
        <v>45016</v>
      </c>
      <c r="U69" s="103"/>
      <c r="V69" s="103"/>
      <c r="W69" s="103"/>
      <c r="X69" s="103"/>
      <c r="Y69" s="103"/>
      <c r="Z69" s="103" t="s">
        <v>73</v>
      </c>
      <c r="AA69" s="103"/>
      <c r="AB69" s="103"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100">
        <f>+R63</f>
        <v>4</v>
      </c>
      <c r="AA70" s="37"/>
      <c r="AB70" s="107">
        <v>0</v>
      </c>
      <c r="AC70" s="21"/>
      <c r="AD70" s="22"/>
    </row>
    <row r="71" spans="1:30" s="23" customFormat="1" x14ac:dyDescent="0.3">
      <c r="A71" s="47"/>
      <c r="B71" s="40" t="s">
        <v>218</v>
      </c>
      <c r="C71" s="40"/>
      <c r="D71" s="70"/>
      <c r="E71" s="70"/>
      <c r="F71" s="70"/>
      <c r="G71" s="108"/>
      <c r="H71" s="70"/>
      <c r="I71" s="40"/>
      <c r="J71" s="109"/>
      <c r="K71" s="40"/>
      <c r="L71" s="40"/>
      <c r="M71" s="40"/>
      <c r="N71" s="40"/>
      <c r="O71" s="40"/>
      <c r="P71" s="40"/>
      <c r="Q71" s="40"/>
      <c r="R71" s="40"/>
      <c r="S71" s="40"/>
      <c r="T71" s="40"/>
      <c r="U71" s="40"/>
      <c r="V71" s="40"/>
      <c r="W71" s="40"/>
      <c r="X71" s="40"/>
      <c r="Y71" s="40"/>
      <c r="Z71" s="238">
        <f>-X64</f>
        <v>0</v>
      </c>
      <c r="AA71" s="40"/>
      <c r="AB71" s="98"/>
      <c r="AC71" s="43"/>
      <c r="AD71" s="22"/>
    </row>
    <row r="72" spans="1:30" s="23" customFormat="1" x14ac:dyDescent="0.3">
      <c r="A72" s="47"/>
      <c r="B72" s="40" t="s">
        <v>217</v>
      </c>
      <c r="C72" s="40"/>
      <c r="D72" s="70"/>
      <c r="E72" s="70"/>
      <c r="F72" s="70"/>
      <c r="G72" s="108"/>
      <c r="H72" s="70"/>
      <c r="I72" s="40"/>
      <c r="J72" s="109"/>
      <c r="K72" s="40"/>
      <c r="L72" s="40"/>
      <c r="M72" s="40"/>
      <c r="N72" s="40"/>
      <c r="O72" s="40"/>
      <c r="P72" s="40"/>
      <c r="Q72" s="40"/>
      <c r="R72" s="40"/>
      <c r="S72" s="40"/>
      <c r="T72" s="40"/>
      <c r="U72" s="40"/>
      <c r="V72" s="40"/>
      <c r="W72" s="40"/>
      <c r="X72" s="40"/>
      <c r="Y72" s="40"/>
      <c r="Z72" s="238">
        <f>-Z209</f>
        <v>0</v>
      </c>
      <c r="AA72" s="40"/>
      <c r="AB72" s="98"/>
      <c r="AC72" s="43"/>
      <c r="AD72" s="22"/>
    </row>
    <row r="73" spans="1:30" s="23" customFormat="1" x14ac:dyDescent="0.3">
      <c r="A73" s="47"/>
      <c r="B73" s="40" t="s">
        <v>23</v>
      </c>
      <c r="C73" s="40"/>
      <c r="D73" s="70"/>
      <c r="E73" s="70"/>
      <c r="F73" s="70"/>
      <c r="G73" s="108"/>
      <c r="H73" s="70"/>
      <c r="I73" s="40"/>
      <c r="J73" s="109"/>
      <c r="K73" s="40"/>
      <c r="L73" s="40"/>
      <c r="M73" s="40"/>
      <c r="N73" s="40"/>
      <c r="O73" s="40"/>
      <c r="P73" s="40"/>
      <c r="Q73" s="40"/>
      <c r="R73" s="40"/>
      <c r="S73" s="40"/>
      <c r="T73" s="40"/>
      <c r="U73" s="40"/>
      <c r="V73" s="40"/>
      <c r="W73" s="40"/>
      <c r="X73" s="40"/>
      <c r="Y73" s="40"/>
      <c r="Z73" s="238">
        <f>+T57+V57+Z57</f>
        <v>3770</v>
      </c>
      <c r="AA73" s="40"/>
      <c r="AB73" s="98"/>
      <c r="AC73" s="43"/>
      <c r="AD73" s="22"/>
    </row>
    <row r="74" spans="1:30" s="23" customFormat="1" x14ac:dyDescent="0.3">
      <c r="A74" s="47"/>
      <c r="B74" s="40" t="s">
        <v>115</v>
      </c>
      <c r="C74" s="40"/>
      <c r="D74" s="70"/>
      <c r="E74" s="70"/>
      <c r="F74" s="70"/>
      <c r="G74" s="108"/>
      <c r="H74" s="70"/>
      <c r="I74" s="40"/>
      <c r="J74" s="109"/>
      <c r="K74" s="40"/>
      <c r="L74" s="40"/>
      <c r="M74" s="40"/>
      <c r="N74" s="40"/>
      <c r="O74" s="40"/>
      <c r="P74" s="40"/>
      <c r="Q74" s="40"/>
      <c r="R74" s="40"/>
      <c r="S74" s="40"/>
      <c r="T74" s="40"/>
      <c r="U74" s="40"/>
      <c r="V74" s="40"/>
      <c r="W74" s="40"/>
      <c r="X74" s="40"/>
      <c r="Y74" s="40"/>
      <c r="Z74" s="238"/>
      <c r="AA74" s="40"/>
      <c r="AB74" s="98">
        <f>6257+204-371-19</f>
        <v>6071</v>
      </c>
      <c r="AC74" s="43"/>
      <c r="AD74" s="22"/>
    </row>
    <row r="75" spans="1:30" s="23" customFormat="1" x14ac:dyDescent="0.3">
      <c r="A75" s="47"/>
      <c r="B75" s="40" t="s">
        <v>113</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112</f>
        <v>112</v>
      </c>
      <c r="AC75" s="43"/>
      <c r="AD75" s="22"/>
    </row>
    <row r="76" spans="1:30" s="23" customFormat="1" x14ac:dyDescent="0.3">
      <c r="A76" s="47"/>
      <c r="B76" s="40" t="s">
        <v>114</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v>190</v>
      </c>
      <c r="AC76" s="43"/>
      <c r="AD76" s="22"/>
    </row>
    <row r="77" spans="1:30" s="23" customFormat="1" x14ac:dyDescent="0.3">
      <c r="A77" s="47"/>
      <c r="B77" s="40" t="s">
        <v>120</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59" t="s">
        <v>224</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132</v>
      </c>
      <c r="AC78" s="43"/>
      <c r="AD78" s="22"/>
    </row>
    <row r="79" spans="1:30" s="23" customFormat="1" x14ac:dyDescent="0.3">
      <c r="A79" s="47"/>
      <c r="B79" s="59" t="s">
        <v>225</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0</v>
      </c>
      <c r="AC79" s="43"/>
      <c r="AD79" s="22"/>
    </row>
    <row r="80" spans="1:30" s="23" customFormat="1" x14ac:dyDescent="0.3">
      <c r="A80" s="47"/>
      <c r="B80" s="40" t="s">
        <v>232</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f>+AB167</f>
        <v>0</v>
      </c>
      <c r="AC80" s="43"/>
      <c r="AD80" s="22"/>
    </row>
    <row r="81" spans="1:30" s="23" customFormat="1" x14ac:dyDescent="0.3">
      <c r="A81" s="47"/>
      <c r="B81" s="40" t="s">
        <v>246</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v>0</v>
      </c>
      <c r="AC81" s="43"/>
      <c r="AD81" s="22"/>
    </row>
    <row r="82" spans="1:30" s="23" customFormat="1" x14ac:dyDescent="0.3">
      <c r="A82" s="47"/>
      <c r="B82" s="59" t="s">
        <v>233</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2655</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8">
        <f>SUM(Z70:Z82)</f>
        <v>3774</v>
      </c>
      <c r="AA83" s="40"/>
      <c r="AB83" s="97">
        <f>SUM(AB70:AB82)</f>
        <v>9160</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8">
        <f>-AB84</f>
        <v>0</v>
      </c>
      <c r="AA84" s="40"/>
      <c r="AB84" s="98">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8"/>
      <c r="AA85" s="40"/>
      <c r="AB85" s="98">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8">
        <f>Z83+Z84</f>
        <v>3774</v>
      </c>
      <c r="AA86" s="40"/>
      <c r="AB86" s="97">
        <f>AB83+AB84+AB85</f>
        <v>9160</v>
      </c>
      <c r="AC86" s="43"/>
      <c r="AD86" s="22"/>
    </row>
    <row r="87" spans="1:30" x14ac:dyDescent="0.3">
      <c r="A87" s="110"/>
      <c r="B87" s="111" t="s">
        <v>27</v>
      </c>
      <c r="C87" s="59"/>
      <c r="D87" s="59"/>
      <c r="E87" s="59"/>
      <c r="F87" s="59"/>
      <c r="G87" s="59"/>
      <c r="H87" s="59"/>
      <c r="I87" s="59"/>
      <c r="J87" s="59"/>
      <c r="K87" s="59"/>
      <c r="L87" s="59"/>
      <c r="M87" s="59"/>
      <c r="N87" s="59"/>
      <c r="O87" s="59"/>
      <c r="P87" s="59"/>
      <c r="Q87" s="59"/>
      <c r="R87" s="59"/>
      <c r="S87" s="59"/>
      <c r="T87" s="59"/>
      <c r="U87" s="59"/>
      <c r="V87" s="59"/>
      <c r="W87" s="59"/>
      <c r="X87" s="59"/>
      <c r="Y87" s="59"/>
      <c r="Z87" s="238"/>
      <c r="AA87" s="112"/>
      <c r="AB87" s="113"/>
      <c r="AC87" s="114"/>
      <c r="AD87" s="5"/>
    </row>
    <row r="88" spans="1:30" x14ac:dyDescent="0.3">
      <c r="A88" s="110">
        <v>1</v>
      </c>
      <c r="B88" s="59" t="s">
        <v>138</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98">
        <v>0</v>
      </c>
      <c r="AC88" s="114"/>
      <c r="AD88" s="5"/>
    </row>
    <row r="89" spans="1:30" x14ac:dyDescent="0.3">
      <c r="A89" s="110">
        <v>2</v>
      </c>
      <c r="B89" s="59" t="s">
        <v>275</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-2</v>
      </c>
      <c r="AC89" s="114"/>
      <c r="AD89" s="5"/>
    </row>
    <row r="90" spans="1:30" x14ac:dyDescent="0.3">
      <c r="A90" s="110">
        <v>3</v>
      </c>
      <c r="B90" s="59" t="s">
        <v>247</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f>-324-3-10</f>
        <v>-337</v>
      </c>
      <c r="AC90" s="114"/>
      <c r="AD90" s="5"/>
    </row>
    <row r="91" spans="1:30" x14ac:dyDescent="0.3">
      <c r="A91" s="110">
        <v>4</v>
      </c>
      <c r="B91" s="59" t="s">
        <v>82</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v>5324</v>
      </c>
      <c r="AC91" s="114"/>
      <c r="AD91" s="5"/>
    </row>
    <row r="92" spans="1:30" x14ac:dyDescent="0.3">
      <c r="A92" s="110">
        <v>5</v>
      </c>
      <c r="B92" s="59" t="s">
        <v>129</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-6716</v>
      </c>
      <c r="AC92" s="114"/>
      <c r="AD92" s="5"/>
    </row>
    <row r="93" spans="1:30" x14ac:dyDescent="0.3">
      <c r="A93" s="110">
        <v>6</v>
      </c>
      <c r="B93" s="59" t="s">
        <v>150</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-559</v>
      </c>
      <c r="AC93" s="114"/>
      <c r="AD93" s="5"/>
    </row>
    <row r="94" spans="1:30" x14ac:dyDescent="0.3">
      <c r="A94" s="110">
        <v>7</v>
      </c>
      <c r="B94" s="59" t="s">
        <v>201</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0</v>
      </c>
      <c r="AC94" s="114"/>
      <c r="AD94" s="5"/>
    </row>
    <row r="95" spans="1:30" x14ac:dyDescent="0.3">
      <c r="A95" s="110">
        <v>8</v>
      </c>
      <c r="B95" s="59" t="s">
        <v>151</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-322</v>
      </c>
      <c r="AC95" s="114"/>
      <c r="AD95" s="5"/>
    </row>
    <row r="96" spans="1:30" x14ac:dyDescent="0.3">
      <c r="A96" s="110">
        <v>9</v>
      </c>
      <c r="B96" s="59" t="s">
        <v>180</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-339</v>
      </c>
      <c r="AC96" s="114"/>
      <c r="AD96" s="5"/>
    </row>
    <row r="97" spans="1:30" x14ac:dyDescent="0.3">
      <c r="A97" s="110">
        <v>10</v>
      </c>
      <c r="B97" s="59" t="s">
        <v>130</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0</v>
      </c>
      <c r="AC97" s="114"/>
      <c r="AD97" s="5"/>
    </row>
    <row r="98" spans="1:30" x14ac:dyDescent="0.3">
      <c r="A98" s="110">
        <v>11</v>
      </c>
      <c r="B98" s="59" t="s">
        <v>200</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0</v>
      </c>
      <c r="AC98" s="114"/>
      <c r="AD98" s="5"/>
    </row>
    <row r="99" spans="1:30" x14ac:dyDescent="0.3">
      <c r="A99" s="110">
        <v>12</v>
      </c>
      <c r="B99" s="59" t="s">
        <v>33</v>
      </c>
      <c r="C99" s="59"/>
      <c r="D99" s="59"/>
      <c r="E99" s="59"/>
      <c r="F99" s="59"/>
      <c r="G99" s="59"/>
      <c r="H99" s="59"/>
      <c r="I99" s="59"/>
      <c r="J99" s="59"/>
      <c r="K99" s="59"/>
      <c r="L99" s="59"/>
      <c r="M99" s="59"/>
      <c r="N99" s="59"/>
      <c r="O99" s="59"/>
      <c r="P99" s="59"/>
      <c r="Q99" s="59"/>
      <c r="R99" s="59"/>
      <c r="S99" s="59"/>
      <c r="T99" s="59"/>
      <c r="U99" s="59"/>
      <c r="V99" s="59"/>
      <c r="W99" s="59"/>
      <c r="X99" s="59"/>
      <c r="Y99" s="59"/>
      <c r="Z99" s="238">
        <f>-AB99</f>
        <v>0</v>
      </c>
      <c r="AA99" s="112"/>
      <c r="AB99" s="98">
        <v>0</v>
      </c>
      <c r="AC99" s="114"/>
      <c r="AD99" s="5"/>
    </row>
    <row r="100" spans="1:30" x14ac:dyDescent="0.3">
      <c r="A100" s="110">
        <v>13</v>
      </c>
      <c r="B100" s="59" t="s">
        <v>276</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14</v>
      </c>
      <c r="B101" s="59" t="s">
        <v>277</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c r="AA101" s="112"/>
      <c r="AB101" s="98">
        <v>-3000</v>
      </c>
      <c r="AC101" s="114"/>
      <c r="AD101" s="5"/>
    </row>
    <row r="102" spans="1:30" x14ac:dyDescent="0.3">
      <c r="A102" s="110">
        <v>15</v>
      </c>
      <c r="B102" s="59" t="s">
        <v>28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-26</v>
      </c>
      <c r="AC102" s="114"/>
      <c r="AD102" s="5"/>
    </row>
    <row r="103" spans="1:30" x14ac:dyDescent="0.3">
      <c r="A103" s="110">
        <v>16</v>
      </c>
      <c r="B103" s="59" t="s">
        <v>118</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0</v>
      </c>
      <c r="AC103" s="114"/>
      <c r="AD103" s="5"/>
    </row>
    <row r="104" spans="1:30" x14ac:dyDescent="0.3">
      <c r="A104" s="110">
        <v>17</v>
      </c>
      <c r="B104" s="59" t="s">
        <v>188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0</v>
      </c>
      <c r="AC104" s="114"/>
      <c r="AD104" s="5"/>
    </row>
    <row r="105" spans="1:30" x14ac:dyDescent="0.3">
      <c r="A105" s="110">
        <v>18</v>
      </c>
      <c r="B105" s="59" t="s">
        <v>162</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-429</v>
      </c>
      <c r="AC105" s="114"/>
      <c r="AD105" s="5"/>
    </row>
    <row r="106" spans="1:30" x14ac:dyDescent="0.3">
      <c r="A106" s="110">
        <v>19</v>
      </c>
      <c r="B106" s="59" t="s">
        <v>257</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-188</v>
      </c>
      <c r="AC106" s="114"/>
      <c r="AD106" s="5"/>
    </row>
    <row r="107" spans="1:30" x14ac:dyDescent="0.3">
      <c r="A107" s="110">
        <v>20</v>
      </c>
      <c r="B107" s="59" t="s">
        <v>258</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-132</v>
      </c>
      <c r="AC107" s="114"/>
      <c r="AD107" s="5"/>
    </row>
    <row r="108" spans="1:30" x14ac:dyDescent="0.3">
      <c r="A108" s="110">
        <v>21</v>
      </c>
      <c r="B108" s="59" t="s">
        <v>259</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0</v>
      </c>
      <c r="AC108" s="114"/>
      <c r="AD108" s="5"/>
    </row>
    <row r="109" spans="1:30" x14ac:dyDescent="0.3">
      <c r="A109" s="110">
        <v>22</v>
      </c>
      <c r="B109" s="59" t="s">
        <v>260</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0</v>
      </c>
      <c r="AC109" s="114"/>
      <c r="AD109" s="5"/>
    </row>
    <row r="110" spans="1:30" x14ac:dyDescent="0.3">
      <c r="A110" s="110">
        <v>23</v>
      </c>
      <c r="B110" s="59" t="s">
        <v>131</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24</v>
      </c>
      <c r="B111" s="59" t="s">
        <v>137</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f>-16-71</f>
        <v>-87</v>
      </c>
      <c r="AC111" s="114"/>
      <c r="AD111" s="5"/>
    </row>
    <row r="112" spans="1:30" x14ac:dyDescent="0.3">
      <c r="A112" s="110">
        <v>25</v>
      </c>
      <c r="B112" s="59" t="s">
        <v>255</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-5</v>
      </c>
      <c r="AC112" s="114"/>
      <c r="AD112" s="5"/>
    </row>
    <row r="113" spans="1:30" x14ac:dyDescent="0.3">
      <c r="A113" s="110">
        <v>26</v>
      </c>
      <c r="B113" s="59" t="s">
        <v>226</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-2342</v>
      </c>
      <c r="AC113" s="114"/>
      <c r="AD113" s="5"/>
    </row>
    <row r="114" spans="1:30" x14ac:dyDescent="0.3">
      <c r="A114" s="110"/>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113"/>
      <c r="AC114" s="114"/>
      <c r="AD114" s="5"/>
    </row>
    <row r="115" spans="1:30" x14ac:dyDescent="0.3">
      <c r="A115" s="110"/>
      <c r="B115" s="111" t="s">
        <v>29</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112"/>
      <c r="AB115" s="116"/>
      <c r="AC115" s="114"/>
      <c r="AD115" s="5"/>
    </row>
    <row r="116" spans="1:30" x14ac:dyDescent="0.3">
      <c r="A116" s="110"/>
      <c r="B116" s="40" t="s">
        <v>227</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v>0</v>
      </c>
      <c r="AA116" s="112"/>
      <c r="AB116" s="116"/>
      <c r="AC116" s="114"/>
      <c r="AD116" s="5"/>
    </row>
    <row r="117" spans="1:30" s="23" customFormat="1" x14ac:dyDescent="0.3">
      <c r="A117" s="47"/>
      <c r="B117" s="40" t="s">
        <v>156</v>
      </c>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238">
        <v>0</v>
      </c>
      <c r="AA117" s="97"/>
      <c r="AB117" s="98"/>
      <c r="AC117" s="43"/>
      <c r="AD117" s="22"/>
    </row>
    <row r="118" spans="1:30" s="23" customFormat="1" x14ac:dyDescent="0.3">
      <c r="A118" s="47"/>
      <c r="B118" s="40" t="s">
        <v>157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8">
        <v>0</v>
      </c>
      <c r="AA118" s="97"/>
      <c r="AB118" s="98"/>
      <c r="AC118" s="43"/>
      <c r="AD118" s="22"/>
    </row>
    <row r="119" spans="1:30" s="23" customFormat="1" x14ac:dyDescent="0.3">
      <c r="A119" s="47"/>
      <c r="B119" s="40" t="s">
        <v>262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263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312</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-3774</v>
      </c>
      <c r="AA121" s="97"/>
      <c r="AB121" s="98"/>
      <c r="AC121" s="43"/>
      <c r="AD121" s="22"/>
    </row>
    <row r="122" spans="1:30" s="23" customFormat="1" x14ac:dyDescent="0.3">
      <c r="A122" s="47"/>
      <c r="B122" s="40" t="s">
        <v>142</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143</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0</v>
      </c>
      <c r="AA123" s="97"/>
      <c r="AB123" s="98"/>
      <c r="AC123" s="43"/>
      <c r="AD123" s="22"/>
    </row>
    <row r="124" spans="1:30" s="23" customFormat="1" x14ac:dyDescent="0.3">
      <c r="A124" s="47"/>
      <c r="B124" s="40" t="s">
        <v>173</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163</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189</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30</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f>SUM(Z116:Z126)</f>
        <v>-3774</v>
      </c>
      <c r="AA127" s="97"/>
      <c r="AB127" s="97">
        <f>SUM(AB87:AB125)</f>
        <v>-9160</v>
      </c>
      <c r="AC127" s="43"/>
      <c r="AD127" s="22"/>
    </row>
    <row r="128" spans="1:30" s="23" customFormat="1" x14ac:dyDescent="0.3">
      <c r="A128" s="47"/>
      <c r="B128" s="40" t="s">
        <v>31</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f>Z86+Z127+Z99</f>
        <v>0</v>
      </c>
      <c r="AA128" s="97"/>
      <c r="AB128" s="97">
        <f>AB86+AB127</f>
        <v>0</v>
      </c>
      <c r="AC128" s="43"/>
      <c r="AD128" s="22"/>
    </row>
    <row r="129" spans="1:30" s="23" customFormat="1" x14ac:dyDescent="0.3">
      <c r="A129" s="18"/>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106"/>
      <c r="AA129" s="106"/>
      <c r="AB129" s="106"/>
      <c r="AC129" s="21"/>
      <c r="AD129" s="22"/>
    </row>
    <row r="130" spans="1:30" s="23" customFormat="1" x14ac:dyDescent="0.3">
      <c r="A130" s="18"/>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117"/>
      <c r="AC130" s="21"/>
      <c r="AD130" s="22"/>
    </row>
    <row r="131" spans="1:30" s="23" customFormat="1" ht="18.600000000000001" thickBot="1" x14ac:dyDescent="0.4">
      <c r="A131" s="83"/>
      <c r="B131" s="84" t="str">
        <f>B53</f>
        <v>PM27 INVESTOR REPORT QUARTER ENDING MARCH 2023</v>
      </c>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118"/>
      <c r="AC131" s="87"/>
      <c r="AD131" s="22"/>
    </row>
    <row r="132" spans="1:30" x14ac:dyDescent="0.3">
      <c r="A132" s="119"/>
      <c r="B132" s="120" t="s">
        <v>32</v>
      </c>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2"/>
      <c r="AC132" s="123"/>
      <c r="AD132" s="5"/>
    </row>
    <row r="133" spans="1:30" x14ac:dyDescent="0.3">
      <c r="A133" s="7"/>
      <c r="B133" s="124"/>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1"/>
      <c r="AC133" s="10"/>
      <c r="AD133" s="5"/>
    </row>
    <row r="134" spans="1:30" x14ac:dyDescent="0.3">
      <c r="A134" s="7"/>
      <c r="B134" s="125" t="s">
        <v>192</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1"/>
      <c r="AC134" s="10"/>
      <c r="AD134" s="5"/>
    </row>
    <row r="135" spans="1:30" s="23" customFormat="1" x14ac:dyDescent="0.3">
      <c r="A135" s="47"/>
      <c r="B135" s="40" t="s">
        <v>199</v>
      </c>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98">
        <f>SUM(F29:H29)*1.5%</f>
        <v>10351.994999999999</v>
      </c>
      <c r="AC135" s="43"/>
      <c r="AD135" s="22"/>
    </row>
    <row r="136" spans="1:30" s="23" customFormat="1" x14ac:dyDescent="0.3">
      <c r="A136" s="47"/>
      <c r="B136" s="40" t="s">
        <v>204</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8">
        <f>+'December 2022'!AB143</f>
        <v>8898.994999999999</v>
      </c>
      <c r="AC136" s="43"/>
      <c r="AD136" s="22"/>
    </row>
    <row r="137" spans="1:30" s="23" customFormat="1" x14ac:dyDescent="0.3">
      <c r="A137" s="47"/>
      <c r="B137" s="40" t="s">
        <v>248</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8"/>
      <c r="AC137" s="43"/>
      <c r="AD137" s="22"/>
    </row>
    <row r="138" spans="1:30" s="23" customFormat="1" x14ac:dyDescent="0.3">
      <c r="A138" s="47"/>
      <c r="B138" s="40" t="s">
        <v>250</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v>0</v>
      </c>
      <c r="AC138" s="43"/>
      <c r="AD138" s="22"/>
    </row>
    <row r="139" spans="1:30" s="23" customFormat="1" x14ac:dyDescent="0.3">
      <c r="A139" s="47"/>
      <c r="B139" s="40" t="s">
        <v>198</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v>0</v>
      </c>
      <c r="AC139" s="43"/>
      <c r="AD139" s="22"/>
    </row>
    <row r="140" spans="1:30" s="23" customFormat="1" x14ac:dyDescent="0.3">
      <c r="A140" s="47"/>
      <c r="B140" s="40" t="s">
        <v>150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v>0</v>
      </c>
      <c r="AC140" s="43"/>
      <c r="AD140" s="22"/>
    </row>
    <row r="141" spans="1:30" s="23" customFormat="1" x14ac:dyDescent="0.3">
      <c r="A141" s="47"/>
      <c r="B141" s="40" t="s">
        <v>87</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251</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-132</v>
      </c>
      <c r="AC142" s="43"/>
      <c r="AD142" s="22"/>
    </row>
    <row r="143" spans="1:30" s="23" customFormat="1" x14ac:dyDescent="0.3">
      <c r="A143" s="47"/>
      <c r="B143" s="40" t="s">
        <v>203</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f>SUM(AB136:AB142)</f>
        <v>8766.994999999999</v>
      </c>
      <c r="AC143" s="43"/>
      <c r="AD143" s="22"/>
    </row>
    <row r="144" spans="1:30" x14ac:dyDescent="0.3">
      <c r="A144" s="7"/>
      <c r="B144" s="124"/>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1"/>
      <c r="AC144" s="10"/>
      <c r="AD144" s="5"/>
    </row>
    <row r="145" spans="1:30" x14ac:dyDescent="0.3">
      <c r="A145" s="7"/>
      <c r="B145" s="125" t="s">
        <v>190</v>
      </c>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1"/>
      <c r="AC145" s="10"/>
      <c r="AD145" s="5"/>
    </row>
    <row r="146" spans="1:30" s="23" customFormat="1" x14ac:dyDescent="0.3">
      <c r="A146" s="47"/>
      <c r="B146" s="59" t="s">
        <v>191</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SUM(J29:L29)*1.5%</f>
        <v>684.42</v>
      </c>
      <c r="AC146" s="43"/>
      <c r="AD146" s="22"/>
    </row>
    <row r="147" spans="1:30" s="23" customFormat="1" x14ac:dyDescent="0.3">
      <c r="A147" s="47"/>
      <c r="B147" s="59" t="s">
        <v>205</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8">
        <f>SUM(J29:L29)*0.015</f>
        <v>684.42</v>
      </c>
      <c r="AC147" s="43"/>
      <c r="AD147" s="22"/>
    </row>
    <row r="148" spans="1:30" s="23" customFormat="1" x14ac:dyDescent="0.3">
      <c r="A148" s="47"/>
      <c r="B148" s="59" t="s">
        <v>93</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8"/>
      <c r="AC148" s="43"/>
      <c r="AD148" s="22"/>
    </row>
    <row r="149" spans="1:30" s="23" customFormat="1" x14ac:dyDescent="0.3">
      <c r="A149" s="47"/>
      <c r="B149" s="40" t="s">
        <v>250</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v>0</v>
      </c>
      <c r="AC149" s="43"/>
      <c r="AD149" s="22"/>
    </row>
    <row r="150" spans="1:30" s="23" customFormat="1" x14ac:dyDescent="0.3">
      <c r="A150" s="47"/>
      <c r="B150" s="59" t="s">
        <v>129</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v>0</v>
      </c>
      <c r="AC150" s="43"/>
      <c r="AD150" s="22"/>
    </row>
    <row r="151" spans="1:30" s="23" customFormat="1" x14ac:dyDescent="0.3">
      <c r="A151" s="47"/>
      <c r="B151" s="59" t="s">
        <v>150</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v>0</v>
      </c>
      <c r="AC151" s="43"/>
      <c r="AD151" s="22"/>
    </row>
    <row r="152" spans="1:30" s="23" customFormat="1" x14ac:dyDescent="0.3">
      <c r="A152" s="47"/>
      <c r="B152" s="59" t="s">
        <v>151</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0" s="23" customFormat="1" x14ac:dyDescent="0.3">
      <c r="A153" s="47"/>
      <c r="B153" s="59" t="s">
        <v>180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0" s="23" customFormat="1" x14ac:dyDescent="0.3">
      <c r="A154" s="47"/>
      <c r="B154" s="59" t="s">
        <v>87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0" s="23" customFormat="1" x14ac:dyDescent="0.3">
      <c r="A155" s="47"/>
      <c r="B155" s="40" t="s">
        <v>251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0" s="23" customFormat="1" x14ac:dyDescent="0.3">
      <c r="A156" s="47"/>
      <c r="B156" s="59" t="s">
        <v>202</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f>SUM(AB147:AB155)</f>
        <v>684.42</v>
      </c>
      <c r="AC156" s="43"/>
      <c r="AD156" s="22"/>
    </row>
    <row r="157" spans="1:30" x14ac:dyDescent="0.3">
      <c r="A157" s="7"/>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126"/>
      <c r="AC157" s="10"/>
      <c r="AD157" s="5"/>
    </row>
    <row r="158" spans="1:30" x14ac:dyDescent="0.3">
      <c r="A158" s="7"/>
      <c r="B158" s="125" t="s">
        <v>174</v>
      </c>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8"/>
      <c r="AC158" s="10"/>
      <c r="AD158" s="5"/>
    </row>
    <row r="159" spans="1:30" s="23" customFormat="1" x14ac:dyDescent="0.3">
      <c r="A159" s="129"/>
      <c r="B159" s="230" t="s">
        <v>281</v>
      </c>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1">
        <f>+'December 2022'!AB162</f>
        <v>0</v>
      </c>
      <c r="AC159" s="132"/>
      <c r="AD159" s="22"/>
    </row>
    <row r="160" spans="1:30" s="23" customFormat="1" x14ac:dyDescent="0.3">
      <c r="A160" s="129"/>
      <c r="B160" s="230" t="s">
        <v>175</v>
      </c>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1">
        <f>X64</f>
        <v>0</v>
      </c>
      <c r="AC160" s="132"/>
      <c r="AD160" s="22"/>
    </row>
    <row r="161" spans="1:262" s="23" customFormat="1" x14ac:dyDescent="0.3">
      <c r="A161" s="129"/>
      <c r="B161" s="230" t="s">
        <v>249</v>
      </c>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1">
        <v>0</v>
      </c>
      <c r="AC161" s="132"/>
      <c r="AD161" s="22"/>
    </row>
    <row r="162" spans="1:262" s="23" customFormat="1" x14ac:dyDescent="0.3">
      <c r="A162" s="129"/>
      <c r="B162" s="230" t="s">
        <v>176</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AB159+AB160+AB161</f>
        <v>0</v>
      </c>
      <c r="AC162" s="132"/>
      <c r="AD162" s="22"/>
    </row>
    <row r="163" spans="1:262" x14ac:dyDescent="0.3">
      <c r="A163" s="7"/>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126"/>
      <c r="AC163" s="10"/>
      <c r="AD163" s="5"/>
    </row>
    <row r="164" spans="1:262" x14ac:dyDescent="0.3">
      <c r="A164" s="7"/>
      <c r="B164" s="125" t="s">
        <v>34</v>
      </c>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133"/>
      <c r="AC164" s="10"/>
      <c r="AD164" s="5"/>
    </row>
    <row r="165" spans="1:262" s="23" customFormat="1" x14ac:dyDescent="0.3">
      <c r="A165" s="47"/>
      <c r="B165" s="40" t="s">
        <v>35</v>
      </c>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98">
        <v>0</v>
      </c>
      <c r="AC165" s="43"/>
      <c r="AD165" s="22"/>
    </row>
    <row r="166" spans="1:262" s="23" customFormat="1" x14ac:dyDescent="0.3">
      <c r="A166" s="47"/>
      <c r="B166" s="40" t="s">
        <v>36</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8">
        <v>0</v>
      </c>
      <c r="AC166" s="43"/>
      <c r="AD166" s="22"/>
    </row>
    <row r="167" spans="1:262" s="23" customFormat="1" x14ac:dyDescent="0.3">
      <c r="A167" s="47"/>
      <c r="B167" s="40" t="s">
        <v>219</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8">
        <v>0</v>
      </c>
      <c r="AC167" s="43"/>
      <c r="AD167" s="22"/>
    </row>
    <row r="168" spans="1:262" s="23" customFormat="1" x14ac:dyDescent="0.3">
      <c r="A168" s="47"/>
      <c r="B168" s="40" t="s">
        <v>37</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+AB165+AB166+AB167</f>
        <v>0</v>
      </c>
      <c r="AC168" s="43"/>
      <c r="AD168" s="22"/>
    </row>
    <row r="169" spans="1:262" s="23" customFormat="1" x14ac:dyDescent="0.3">
      <c r="A169" s="47"/>
      <c r="B169" s="40" t="s">
        <v>268</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f>+AB99</f>
        <v>0</v>
      </c>
      <c r="AC169" s="43"/>
      <c r="AD169" s="22"/>
    </row>
    <row r="170" spans="1:262" s="23" customFormat="1" x14ac:dyDescent="0.3">
      <c r="A170" s="47"/>
      <c r="B170" s="40" t="s">
        <v>38</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f>AB168+AB169</f>
        <v>0</v>
      </c>
      <c r="AC170" s="43"/>
      <c r="AD170" s="22"/>
    </row>
    <row r="171" spans="1:262" s="23" customFormat="1" x14ac:dyDescent="0.3">
      <c r="A171" s="47"/>
      <c r="B171" s="40" t="s">
        <v>124</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-AB85</f>
        <v>0</v>
      </c>
      <c r="AC171" s="43"/>
      <c r="AD171" s="22"/>
    </row>
    <row r="172" spans="1:262" ht="16.2" thickBot="1" x14ac:dyDescent="0.35">
      <c r="A172" s="7"/>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126"/>
      <c r="AC172" s="10"/>
      <c r="AD172" s="5"/>
    </row>
    <row r="173" spans="1:262" x14ac:dyDescent="0.3">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134"/>
      <c r="AC173" s="4"/>
      <c r="AD173" s="5"/>
    </row>
    <row r="174" spans="1:262" s="136" customFormat="1" x14ac:dyDescent="0.3">
      <c r="A174" s="7"/>
      <c r="B174" s="125" t="s">
        <v>193</v>
      </c>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135"/>
      <c r="AC174" s="10"/>
      <c r="AD174" s="5"/>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row>
    <row r="175" spans="1:262" s="137" customFormat="1" x14ac:dyDescent="0.3">
      <c r="A175" s="47"/>
      <c r="B175" s="40" t="s">
        <v>332</v>
      </c>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98">
        <v>0</v>
      </c>
      <c r="AC175" s="43"/>
      <c r="AD175" s="22"/>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row>
    <row r="176" spans="1:262" s="137" customFormat="1" x14ac:dyDescent="0.3">
      <c r="A176" s="47"/>
      <c r="B176" s="40" t="s">
        <v>210</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8">
        <f>+'December 2022'!AB179</f>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7" customFormat="1" x14ac:dyDescent="0.3">
      <c r="A177" s="47"/>
      <c r="B177" s="40" t="s">
        <v>234</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8">
        <f>-AB185</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7" customFormat="1" x14ac:dyDescent="0.3">
      <c r="A178" s="47"/>
      <c r="B178" s="40" t="s">
        <v>236</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f>+AB81</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207</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+AB176+AB177-AB178</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9" customFormat="1" ht="16.2" thickBot="1" x14ac:dyDescent="0.35">
      <c r="A180" s="138"/>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126"/>
      <c r="AC180" s="10"/>
      <c r="AD180" s="5"/>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row>
    <row r="181" spans="1:262" x14ac:dyDescent="0.3">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134"/>
      <c r="AC181" s="4"/>
      <c r="AD181" s="5"/>
    </row>
    <row r="182" spans="1:262" s="136" customFormat="1" x14ac:dyDescent="0.3">
      <c r="A182" s="7"/>
      <c r="B182" s="125" t="s">
        <v>206</v>
      </c>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135"/>
      <c r="AC182" s="10"/>
      <c r="AD182" s="5"/>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row>
    <row r="183" spans="1:262" s="137" customFormat="1" x14ac:dyDescent="0.3">
      <c r="A183" s="47"/>
      <c r="B183" s="40" t="s">
        <v>208</v>
      </c>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98">
        <v>300</v>
      </c>
      <c r="AC183" s="43"/>
      <c r="AD183" s="22"/>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row>
    <row r="184" spans="1:262" s="137" customFormat="1" x14ac:dyDescent="0.3">
      <c r="A184" s="47"/>
      <c r="B184" s="40" t="s">
        <v>211</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98">
        <f>+'December 2022'!AB187</f>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7" customFormat="1" x14ac:dyDescent="0.3">
      <c r="A185" s="47"/>
      <c r="B185" s="59" t="s">
        <v>228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8">
        <v>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7" customFormat="1" x14ac:dyDescent="0.3">
      <c r="A186" s="47"/>
      <c r="B186" s="59" t="s">
        <v>229</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f>-AB100</f>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209</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AB183-AB185+AB186</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9" customFormat="1" ht="16.2" thickBot="1" x14ac:dyDescent="0.35">
      <c r="A188" s="138"/>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126"/>
      <c r="AC188" s="10"/>
      <c r="AD188" s="5"/>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row>
    <row r="189" spans="1:262" x14ac:dyDescent="0.3">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134"/>
      <c r="AC189" s="4"/>
      <c r="AD189" s="5"/>
    </row>
    <row r="190" spans="1:262" s="136" customFormat="1" x14ac:dyDescent="0.3">
      <c r="A190" s="7"/>
      <c r="B190" s="125" t="s">
        <v>212</v>
      </c>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135"/>
      <c r="AC190" s="10"/>
      <c r="AD190" s="5"/>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row>
    <row r="191" spans="1:262" s="137" customFormat="1" x14ac:dyDescent="0.3">
      <c r="A191" s="47"/>
      <c r="B191" s="40" t="s">
        <v>334</v>
      </c>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98">
        <v>0</v>
      </c>
      <c r="AC191" s="43"/>
      <c r="AD191" s="22"/>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row>
    <row r="192" spans="1:262" s="137" customFormat="1" x14ac:dyDescent="0.3">
      <c r="A192" s="47"/>
      <c r="B192" s="40" t="s">
        <v>213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98">
        <f>+'December 2022'!AB195</f>
        <v>653</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7" customFormat="1" x14ac:dyDescent="0.3">
      <c r="A193" s="47"/>
      <c r="B193" s="40" t="s">
        <v>235</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8">
        <f>AB201</f>
        <v>2939</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7"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f>AB82</f>
        <v>2655</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346</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AB192+AB193-AB194</f>
        <v>937</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9" customFormat="1" ht="16.2" thickBot="1" x14ac:dyDescent="0.35">
      <c r="A196" s="138"/>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126"/>
      <c r="AC196" s="10"/>
      <c r="AD196" s="5"/>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row>
    <row r="197" spans="1:262" x14ac:dyDescent="0.3">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134"/>
      <c r="AC197" s="4"/>
      <c r="AD197" s="5"/>
    </row>
    <row r="198" spans="1:262" s="136" customFormat="1" x14ac:dyDescent="0.3">
      <c r="A198" s="7"/>
      <c r="B198" s="125" t="s">
        <v>333</v>
      </c>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135"/>
      <c r="AC198" s="10"/>
      <c r="AD198" s="5"/>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row>
    <row r="199" spans="1:262" s="137" customFormat="1" x14ac:dyDescent="0.3">
      <c r="A199" s="47"/>
      <c r="B199" s="40" t="s">
        <v>214</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v>301</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7" customFormat="1" x14ac:dyDescent="0.3">
      <c r="A200" s="47"/>
      <c r="B200" s="40" t="s">
        <v>215</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98">
        <f>+'December 2022'!AB203</f>
        <v>3008</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7" customFormat="1" x14ac:dyDescent="0.3">
      <c r="A201" s="47"/>
      <c r="B201" s="59" t="s">
        <v>256</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8">
        <v>2939</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7" customFormat="1" x14ac:dyDescent="0.3">
      <c r="A202" s="47"/>
      <c r="B202" s="59" t="s">
        <v>231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f>-AB101</f>
        <v>3000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AB200-AB201+AB202</f>
        <v>3069</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9" customFormat="1" ht="16.2" thickBot="1" x14ac:dyDescent="0.35">
      <c r="A204" s="138"/>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126"/>
      <c r="AC204" s="10"/>
      <c r="AD204" s="5"/>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row>
    <row r="205" spans="1:262" x14ac:dyDescent="0.3">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134"/>
      <c r="AC205" s="4"/>
      <c r="AD205" s="5"/>
    </row>
    <row r="206" spans="1:262" s="136" customFormat="1" x14ac:dyDescent="0.3">
      <c r="A206" s="7"/>
      <c r="B206" s="125" t="s">
        <v>237</v>
      </c>
      <c r="C206" s="99"/>
      <c r="D206" s="99"/>
      <c r="E206" s="99"/>
      <c r="F206" s="99"/>
      <c r="G206" s="99"/>
      <c r="H206" s="99"/>
      <c r="I206" s="99"/>
      <c r="J206" s="99"/>
      <c r="K206" s="99"/>
      <c r="L206" s="99"/>
      <c r="M206" s="99"/>
      <c r="N206" s="99"/>
      <c r="O206" s="99"/>
      <c r="P206" s="99"/>
      <c r="Q206" s="99"/>
      <c r="R206" s="99"/>
      <c r="S206" s="99"/>
      <c r="T206" s="99"/>
      <c r="U206" s="99"/>
      <c r="V206" s="99"/>
      <c r="W206" s="99"/>
      <c r="X206" s="99"/>
      <c r="Y206" s="233" t="s">
        <v>243</v>
      </c>
      <c r="Z206" s="233" t="s">
        <v>244</v>
      </c>
      <c r="AA206" s="12"/>
      <c r="AB206" s="234" t="s">
        <v>80</v>
      </c>
      <c r="AC206" s="10"/>
      <c r="AD206" s="5"/>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row>
    <row r="207" spans="1:262" s="137" customFormat="1" x14ac:dyDescent="0.3">
      <c r="A207" s="47"/>
      <c r="B207" s="40" t="s">
        <v>238</v>
      </c>
      <c r="C207" s="40"/>
      <c r="D207" s="40"/>
      <c r="E207" s="40"/>
      <c r="F207" s="40"/>
      <c r="G207" s="40"/>
      <c r="H207" s="40"/>
      <c r="I207" s="40"/>
      <c r="J207" s="40"/>
      <c r="K207" s="40"/>
      <c r="L207" s="40"/>
      <c r="M207" s="40"/>
      <c r="N207" s="40"/>
      <c r="O207" s="40"/>
      <c r="P207" s="40"/>
      <c r="Q207" s="40"/>
      <c r="R207" s="40"/>
      <c r="S207" s="40"/>
      <c r="T207" s="40"/>
      <c r="U207" s="40"/>
      <c r="V207" s="40"/>
      <c r="W207" s="40"/>
      <c r="X207" s="40"/>
      <c r="Y207" s="98">
        <f>SUM(F29:R29)*0.16</f>
        <v>124206.40000000001</v>
      </c>
      <c r="Z207" s="70"/>
      <c r="AA207" s="40"/>
      <c r="AB207" s="98"/>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7" customFormat="1" x14ac:dyDescent="0.3">
      <c r="A208" s="47"/>
      <c r="B208" s="40" t="s">
        <v>239</v>
      </c>
      <c r="C208" s="40"/>
      <c r="D208" s="40"/>
      <c r="E208" s="40"/>
      <c r="F208" s="40"/>
      <c r="G208" s="40"/>
      <c r="H208" s="40"/>
      <c r="I208" s="40"/>
      <c r="J208" s="40"/>
      <c r="K208" s="40"/>
      <c r="L208" s="40"/>
      <c r="M208" s="40"/>
      <c r="N208" s="40"/>
      <c r="O208" s="40"/>
      <c r="P208" s="40"/>
      <c r="Q208" s="40"/>
      <c r="R208" s="40"/>
      <c r="S208" s="40"/>
      <c r="T208" s="40"/>
      <c r="U208" s="40"/>
      <c r="V208" s="40"/>
      <c r="W208" s="40"/>
      <c r="X208" s="40"/>
      <c r="Y208" s="98">
        <f>+'December 2022'!Y210</f>
        <v>0</v>
      </c>
      <c r="Z208" s="98">
        <f>+'December 2022'!Z210</f>
        <v>382</v>
      </c>
      <c r="AA208" s="40"/>
      <c r="AB208" s="98">
        <f>Y208+Z208</f>
        <v>382</v>
      </c>
      <c r="AC208" s="43"/>
      <c r="AD208" s="22"/>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row>
    <row r="209" spans="1:262" s="137" customFormat="1" x14ac:dyDescent="0.3">
      <c r="A209" s="47"/>
      <c r="B209" s="40" t="s">
        <v>240</v>
      </c>
      <c r="C209" s="40"/>
      <c r="D209" s="40"/>
      <c r="E209" s="40"/>
      <c r="F209" s="40"/>
      <c r="G209" s="40"/>
      <c r="H209" s="40"/>
      <c r="I209" s="40"/>
      <c r="J209" s="40"/>
      <c r="K209" s="40"/>
      <c r="L209" s="40"/>
      <c r="M209" s="40"/>
      <c r="N209" s="40"/>
      <c r="O209" s="40"/>
      <c r="P209" s="40"/>
      <c r="Q209" s="40"/>
      <c r="R209" s="40"/>
      <c r="S209" s="40"/>
      <c r="T209" s="40"/>
      <c r="U209" s="40"/>
      <c r="V209" s="40"/>
      <c r="W209" s="40"/>
      <c r="X209" s="40"/>
      <c r="Y209" s="97">
        <v>0</v>
      </c>
      <c r="Z209" s="97">
        <v>0</v>
      </c>
      <c r="AA209" s="40"/>
      <c r="AB209" s="98">
        <f>Y209+Z209</f>
        <v>0</v>
      </c>
      <c r="AC209" s="43"/>
      <c r="AD209" s="22"/>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row>
    <row r="210" spans="1:262" s="137" customFormat="1" x14ac:dyDescent="0.3">
      <c r="A210" s="47"/>
      <c r="B210" s="40" t="s">
        <v>241</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Y208+Y209</f>
        <v>0</v>
      </c>
      <c r="Z210" s="98">
        <f>Z209+Z208</f>
        <v>382</v>
      </c>
      <c r="AA210" s="40"/>
      <c r="AB210" s="98">
        <f>Y210+Z210</f>
        <v>382</v>
      </c>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242</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Y207-Y210-Z210</f>
        <v>123824.40000000001</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9" customFormat="1" ht="16.2" thickBot="1" x14ac:dyDescent="0.35">
      <c r="A212" s="138"/>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126"/>
      <c r="AC212" s="10"/>
      <c r="AD212" s="5"/>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row>
    <row r="213" spans="1:262" x14ac:dyDescent="0.3">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134"/>
      <c r="AC213" s="4"/>
      <c r="AD213" s="5"/>
    </row>
    <row r="214" spans="1:262" s="136" customFormat="1" x14ac:dyDescent="0.3">
      <c r="A214" s="7"/>
      <c r="B214" s="125" t="s">
        <v>267</v>
      </c>
      <c r="C214" s="99"/>
      <c r="D214" s="99"/>
      <c r="E214" s="99"/>
      <c r="F214" s="99"/>
      <c r="G214" s="99"/>
      <c r="H214" s="99"/>
      <c r="I214" s="99"/>
      <c r="J214" s="99"/>
      <c r="K214" s="99"/>
      <c r="L214" s="99"/>
      <c r="M214" s="99"/>
      <c r="N214" s="99"/>
      <c r="O214" s="99"/>
      <c r="P214" s="99"/>
      <c r="Q214" s="99"/>
      <c r="R214" s="99"/>
      <c r="S214" s="99"/>
      <c r="T214" s="99"/>
      <c r="U214" s="99"/>
      <c r="V214" s="99"/>
      <c r="W214" s="99"/>
      <c r="X214" s="99"/>
      <c r="Y214" s="233"/>
      <c r="Z214" s="233"/>
      <c r="AA214" s="12"/>
      <c r="AB214" s="234" t="s">
        <v>80</v>
      </c>
      <c r="AC214" s="10"/>
      <c r="AD214" s="5"/>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row>
    <row r="215" spans="1:262" s="137" customFormat="1" x14ac:dyDescent="0.3">
      <c r="A215" s="47"/>
      <c r="B215" s="40" t="s">
        <v>265</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c r="Z215" s="70"/>
      <c r="AA215" s="40"/>
      <c r="AB215" s="237">
        <v>651000</v>
      </c>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7" customFormat="1" x14ac:dyDescent="0.3">
      <c r="A216" s="47"/>
      <c r="B216" s="40" t="s">
        <v>325</v>
      </c>
      <c r="C216" s="40"/>
      <c r="D216" s="40"/>
      <c r="E216" s="40"/>
      <c r="F216" s="40"/>
      <c r="G216" s="40"/>
      <c r="H216" s="40"/>
      <c r="I216" s="40"/>
      <c r="J216" s="40"/>
      <c r="K216" s="40"/>
      <c r="L216" s="40"/>
      <c r="M216" s="40"/>
      <c r="N216" s="40"/>
      <c r="O216" s="40"/>
      <c r="P216" s="40"/>
      <c r="Q216" s="40"/>
      <c r="R216" s="40"/>
      <c r="S216" s="40"/>
      <c r="T216" s="40"/>
      <c r="U216" s="40"/>
      <c r="V216" s="40"/>
      <c r="W216" s="40"/>
      <c r="X216" s="40"/>
      <c r="Y216" s="98"/>
      <c r="Z216" s="98"/>
      <c r="AA216" s="40"/>
      <c r="AB216" s="237">
        <v>644129</v>
      </c>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7" customFormat="1" x14ac:dyDescent="0.3">
      <c r="A217" s="47"/>
      <c r="B217" s="40" t="s">
        <v>266</v>
      </c>
      <c r="C217" s="40"/>
      <c r="D217" s="40"/>
      <c r="E217" s="40"/>
      <c r="F217" s="40"/>
      <c r="G217" s="40"/>
      <c r="H217" s="40"/>
      <c r="I217" s="40"/>
      <c r="J217" s="40"/>
      <c r="K217" s="40"/>
      <c r="L217" s="40"/>
      <c r="M217" s="40"/>
      <c r="N217" s="40"/>
      <c r="O217" s="40"/>
      <c r="P217" s="40"/>
      <c r="Q217" s="40"/>
      <c r="R217" s="40"/>
      <c r="S217" s="40"/>
      <c r="T217" s="40"/>
      <c r="U217" s="40"/>
      <c r="V217" s="40"/>
      <c r="W217" s="40"/>
      <c r="X217" s="40"/>
      <c r="Y217" s="98"/>
      <c r="Z217" s="98"/>
      <c r="AA217" s="40"/>
      <c r="AB217" s="98">
        <f>AB215-AB216</f>
        <v>6871</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7" customFormat="1" x14ac:dyDescent="0.3">
      <c r="A218" s="47"/>
      <c r="B218" s="40" t="s">
        <v>279</v>
      </c>
      <c r="C218" s="40"/>
      <c r="D218" s="40"/>
      <c r="E218" s="40"/>
      <c r="F218" s="40"/>
      <c r="G218" s="40"/>
      <c r="H218" s="40"/>
      <c r="I218" s="40"/>
      <c r="J218" s="40"/>
      <c r="K218" s="40"/>
      <c r="L218" s="40"/>
      <c r="M218" s="40"/>
      <c r="N218" s="40"/>
      <c r="O218" s="40"/>
      <c r="P218" s="40"/>
      <c r="Q218" s="40"/>
      <c r="R218" s="40"/>
      <c r="S218" s="40"/>
      <c r="T218" s="40"/>
      <c r="U218" s="40"/>
      <c r="V218" s="40"/>
      <c r="W218" s="40"/>
      <c r="X218" s="40"/>
      <c r="Y218" s="97"/>
      <c r="Z218" s="97"/>
      <c r="AA218" s="40"/>
      <c r="AB218" s="240">
        <v>5.8248694316436296E-3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9" customFormat="1" ht="16.2" thickBot="1" x14ac:dyDescent="0.35">
      <c r="A219" s="138"/>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126"/>
      <c r="AC219" s="10"/>
      <c r="AD219" s="5"/>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row>
    <row r="220" spans="1:262" x14ac:dyDescent="0.3">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134"/>
      <c r="AC220" s="4"/>
      <c r="AD220" s="5"/>
    </row>
    <row r="221" spans="1:262" x14ac:dyDescent="0.3">
      <c r="A221" s="7"/>
      <c r="B221" s="125" t="s">
        <v>39</v>
      </c>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140"/>
      <c r="AC221" s="10"/>
      <c r="AD221" s="5"/>
    </row>
    <row r="222" spans="1:262" s="23" customFormat="1" x14ac:dyDescent="0.3">
      <c r="A222" s="47"/>
      <c r="B222" s="40" t="s">
        <v>40</v>
      </c>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142">
        <f>(AB86+AB88+AB89+AB90+AB91)/-AB92</f>
        <v>2.1061643835616439</v>
      </c>
      <c r="AC222" s="43" t="s">
        <v>81</v>
      </c>
      <c r="AD222" s="22"/>
    </row>
    <row r="223" spans="1:262" s="23" customFormat="1" x14ac:dyDescent="0.3">
      <c r="A223" s="47"/>
      <c r="B223" s="40" t="s">
        <v>41</v>
      </c>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142">
        <v>2.69</v>
      </c>
      <c r="AC223" s="43" t="s">
        <v>81</v>
      </c>
      <c r="AD223" s="22"/>
    </row>
    <row r="224" spans="1:262" s="23" customFormat="1" x14ac:dyDescent="0.3">
      <c r="A224" s="47"/>
      <c r="B224" s="40" t="s">
        <v>144</v>
      </c>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141">
        <f>(AB86+AB88+AB89+AB90+AB91+AB92)/-(AB93)</f>
        <v>13.289803220035779</v>
      </c>
      <c r="AC224" s="43" t="s">
        <v>81</v>
      </c>
      <c r="AD224" s="22"/>
    </row>
    <row r="225" spans="1:30" s="23" customFormat="1" x14ac:dyDescent="0.3">
      <c r="A225" s="47"/>
      <c r="B225" s="40" t="s">
        <v>145</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v>19.61</v>
      </c>
      <c r="AC225" s="43" t="s">
        <v>81</v>
      </c>
      <c r="AD225" s="22"/>
    </row>
    <row r="226" spans="1:30" s="23" customFormat="1" x14ac:dyDescent="0.3">
      <c r="A226" s="47"/>
      <c r="B226" s="40" t="s">
        <v>146</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1">
        <f>(AB86+AB88+AB89+AB90+AB91+AB92+AB93)/-(AB95)</f>
        <v>21.335403726708076</v>
      </c>
      <c r="AC226" s="43" t="s">
        <v>81</v>
      </c>
      <c r="AD226" s="22"/>
    </row>
    <row r="227" spans="1:30" s="23" customFormat="1" x14ac:dyDescent="0.3">
      <c r="A227" s="47"/>
      <c r="B227" s="40" t="s">
        <v>147</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30.29</v>
      </c>
      <c r="AC227" s="43" t="s">
        <v>81</v>
      </c>
      <c r="AD227" s="22"/>
    </row>
    <row r="228" spans="1:30" s="23" customFormat="1" x14ac:dyDescent="0.3">
      <c r="A228" s="47"/>
      <c r="B228" s="40" t="s">
        <v>177</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(AB86+AB88+AB89+AB90+AB91+AB92+AB93+AB95)/-(AB96)</f>
        <v>19.315634218289084</v>
      </c>
      <c r="AC228" s="43" t="s">
        <v>81</v>
      </c>
      <c r="AD228" s="22"/>
    </row>
    <row r="229" spans="1:30" s="23" customFormat="1" x14ac:dyDescent="0.3">
      <c r="A229" s="47"/>
      <c r="B229" s="40" t="s">
        <v>178</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26.3</v>
      </c>
      <c r="AC229" s="43" t="s">
        <v>81</v>
      </c>
      <c r="AD229" s="22"/>
    </row>
    <row r="230" spans="1:30" s="23" customFormat="1" x14ac:dyDescent="0.3">
      <c r="A230" s="47"/>
      <c r="B230" s="40" t="s">
        <v>164</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(AB86+AB88+AB89+AB90+AB91+AB92+AB93+AB95+AB96)/-(AB105)</f>
        <v>14.473193473193474</v>
      </c>
      <c r="AC230" s="43" t="s">
        <v>81</v>
      </c>
      <c r="AD230" s="22"/>
    </row>
    <row r="231" spans="1:30" s="23" customFormat="1" x14ac:dyDescent="0.3">
      <c r="A231" s="47"/>
      <c r="B231" s="40" t="s">
        <v>165</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17.45</v>
      </c>
      <c r="AC231" s="43" t="s">
        <v>81</v>
      </c>
      <c r="AD231" s="22"/>
    </row>
    <row r="232" spans="1:30" s="23" customFormat="1" x14ac:dyDescent="0.3">
      <c r="A232" s="18"/>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21"/>
      <c r="AD232" s="22"/>
    </row>
    <row r="233" spans="1:30" s="23" customFormat="1" x14ac:dyDescent="0.3">
      <c r="A233" s="18"/>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1"/>
      <c r="AD233" s="22"/>
    </row>
    <row r="234" spans="1:30" s="23" customFormat="1" ht="18.600000000000001" thickBot="1" x14ac:dyDescent="0.4">
      <c r="A234" s="83"/>
      <c r="B234" s="84" t="str">
        <f>B131</f>
        <v>PM27 INVESTOR REPORT QUARTER ENDING MARCH 2023</v>
      </c>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7"/>
      <c r="AD234" s="22"/>
    </row>
    <row r="235" spans="1:30" x14ac:dyDescent="0.3">
      <c r="A235" s="119"/>
      <c r="B235" s="120" t="s">
        <v>42</v>
      </c>
      <c r="C235" s="143"/>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v>45016</v>
      </c>
      <c r="AA235" s="121"/>
      <c r="AB235" s="121"/>
      <c r="AC235" s="123"/>
      <c r="AD235" s="5"/>
    </row>
    <row r="236" spans="1:30" x14ac:dyDescent="0.3">
      <c r="A236" s="145"/>
      <c r="B236" s="146"/>
      <c r="C236" s="147"/>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9"/>
      <c r="AB236" s="9"/>
      <c r="AC236" s="10"/>
      <c r="AD236" s="5"/>
    </row>
    <row r="237" spans="1:30" s="23" customFormat="1" x14ac:dyDescent="0.3">
      <c r="A237" s="47"/>
      <c r="B237" s="40" t="s">
        <v>43</v>
      </c>
      <c r="C237" s="149"/>
      <c r="D237" s="73"/>
      <c r="E237" s="73"/>
      <c r="F237" s="73"/>
      <c r="G237" s="73"/>
      <c r="H237" s="73"/>
      <c r="I237" s="73"/>
      <c r="J237" s="73"/>
      <c r="K237" s="73"/>
      <c r="L237" s="73"/>
      <c r="M237" s="73"/>
      <c r="N237" s="73"/>
      <c r="O237" s="73"/>
      <c r="P237" s="73"/>
      <c r="Q237" s="73"/>
      <c r="R237" s="73"/>
      <c r="S237" s="73"/>
      <c r="T237" s="73"/>
      <c r="U237" s="73"/>
      <c r="V237" s="73"/>
      <c r="W237" s="73"/>
      <c r="X237" s="73"/>
      <c r="Y237" s="73"/>
      <c r="Z237" s="67">
        <v>3.5749999999999997E-2</v>
      </c>
      <c r="AA237" s="40"/>
      <c r="AB237" s="40"/>
      <c r="AC237" s="43"/>
      <c r="AD237" s="22"/>
    </row>
    <row r="238" spans="1:30" s="23" customFormat="1" x14ac:dyDescent="0.3">
      <c r="A238" s="47"/>
      <c r="B238" s="40" t="s">
        <v>132</v>
      </c>
      <c r="C238" s="149"/>
      <c r="D238" s="73"/>
      <c r="E238" s="73"/>
      <c r="F238" s="73"/>
      <c r="G238" s="73"/>
      <c r="H238" s="73"/>
      <c r="I238" s="73"/>
      <c r="J238" s="73"/>
      <c r="K238" s="73"/>
      <c r="L238" s="73"/>
      <c r="M238" s="73"/>
      <c r="N238" s="73"/>
      <c r="O238" s="73"/>
      <c r="P238" s="73"/>
      <c r="Q238" s="73"/>
      <c r="R238" s="73"/>
      <c r="S238" s="73"/>
      <c r="T238" s="73"/>
      <c r="U238" s="73"/>
      <c r="V238" s="73"/>
      <c r="W238" s="73"/>
      <c r="X238" s="73"/>
      <c r="Y238" s="73"/>
      <c r="Z238" s="67">
        <v>1.3036129402559968E-2</v>
      </c>
      <c r="AA238" s="40"/>
      <c r="AB238" s="40"/>
      <c r="AC238" s="43"/>
      <c r="AD238" s="22"/>
    </row>
    <row r="239" spans="1:30" s="23" customFormat="1" x14ac:dyDescent="0.3">
      <c r="A239" s="47"/>
      <c r="B239" s="40" t="s">
        <v>44</v>
      </c>
      <c r="C239" s="149"/>
      <c r="D239" s="73"/>
      <c r="E239" s="73"/>
      <c r="F239" s="73"/>
      <c r="G239" s="73"/>
      <c r="H239" s="73"/>
      <c r="I239" s="73"/>
      <c r="J239" s="73"/>
      <c r="K239" s="73"/>
      <c r="L239" s="73"/>
      <c r="M239" s="73"/>
      <c r="N239" s="73"/>
      <c r="O239" s="73"/>
      <c r="P239" s="73"/>
      <c r="Q239" s="73"/>
      <c r="R239" s="73"/>
      <c r="S239" s="73"/>
      <c r="T239" s="73"/>
      <c r="U239" s="73"/>
      <c r="V239" s="73"/>
      <c r="W239" s="73"/>
      <c r="X239" s="73"/>
      <c r="Y239" s="73"/>
      <c r="Z239" s="67">
        <f>Z237-Z238</f>
        <v>2.2713870597440029E-2</v>
      </c>
      <c r="AA239" s="40"/>
      <c r="AB239" s="40"/>
      <c r="AC239" s="43"/>
      <c r="AD239" s="22"/>
    </row>
    <row r="240" spans="1:30" s="23" customFormat="1" x14ac:dyDescent="0.3">
      <c r="A240" s="47"/>
      <c r="B240" s="40" t="s">
        <v>45</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3.6981465559955497E-2</v>
      </c>
      <c r="AA240" s="40"/>
      <c r="AB240" s="40"/>
      <c r="AC240" s="43"/>
      <c r="AD240" s="22"/>
    </row>
    <row r="241" spans="1:30" s="23" customFormat="1" x14ac:dyDescent="0.3">
      <c r="A241" s="47"/>
      <c r="B241" s="40" t="s">
        <v>133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f>+AB35</f>
        <v>5.1230916454949635E-2</v>
      </c>
      <c r="AA241" s="40"/>
      <c r="AB241" s="40"/>
      <c r="AC241" s="43"/>
      <c r="AD241" s="22"/>
    </row>
    <row r="242" spans="1:30" s="23" customFormat="1" x14ac:dyDescent="0.3">
      <c r="A242" s="47"/>
      <c r="B242" s="40" t="s">
        <v>363</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v>0</v>
      </c>
      <c r="AA242" s="40"/>
      <c r="AB242" s="40"/>
      <c r="AC242" s="43"/>
      <c r="AD242" s="22"/>
    </row>
    <row r="243" spans="1:30" s="23" customFormat="1" x14ac:dyDescent="0.3">
      <c r="A243" s="47"/>
      <c r="B243" s="40" t="s">
        <v>119</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(+AB86+AB88+AB91)/R66</f>
        <v>2.2118920503830037E-2</v>
      </c>
      <c r="AA243" s="40"/>
      <c r="AB243" s="40"/>
      <c r="AC243" s="43"/>
      <c r="AD243" s="22"/>
    </row>
    <row r="244" spans="1:30" s="23" customFormat="1" x14ac:dyDescent="0.3">
      <c r="A244" s="47"/>
      <c r="B244" s="40" t="s">
        <v>112</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150">
        <v>53797</v>
      </c>
      <c r="AA244" s="40"/>
      <c r="AB244" s="40"/>
      <c r="AC244" s="43"/>
      <c r="AD244" s="22"/>
    </row>
    <row r="245" spans="1:30" s="23" customFormat="1" x14ac:dyDescent="0.3">
      <c r="A245" s="47"/>
      <c r="B245" s="40" t="s">
        <v>148</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150">
        <v>53797</v>
      </c>
      <c r="AA245" s="40"/>
      <c r="AB245" s="40"/>
      <c r="AC245" s="43"/>
      <c r="AD245" s="22"/>
    </row>
    <row r="246" spans="1:30" s="23" customFormat="1" x14ac:dyDescent="0.3">
      <c r="A246" s="47"/>
      <c r="B246" s="40" t="s">
        <v>149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150">
        <v>53797</v>
      </c>
      <c r="AA246" s="40"/>
      <c r="AB246" s="40"/>
      <c r="AC246" s="43"/>
      <c r="AD246" s="22"/>
    </row>
    <row r="247" spans="1:30" s="23" customFormat="1" x14ac:dyDescent="0.3">
      <c r="A247" s="47"/>
      <c r="B247" s="40" t="s">
        <v>179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53797</v>
      </c>
      <c r="AA247" s="40"/>
      <c r="AB247" s="40"/>
      <c r="AC247" s="43"/>
      <c r="AD247" s="22"/>
    </row>
    <row r="248" spans="1:30" s="23" customFormat="1" x14ac:dyDescent="0.3">
      <c r="A248" s="47"/>
      <c r="B248" s="40" t="s">
        <v>166</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53797</v>
      </c>
      <c r="AA248" s="40"/>
      <c r="AB248" s="40"/>
      <c r="AC248" s="43"/>
      <c r="AD248" s="22"/>
    </row>
    <row r="249" spans="1:30" s="23" customFormat="1" x14ac:dyDescent="0.3">
      <c r="A249" s="47"/>
      <c r="B249" s="40" t="s">
        <v>194</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53797</v>
      </c>
      <c r="AA249" s="40"/>
      <c r="AB249" s="40"/>
      <c r="AC249" s="43"/>
      <c r="AD249" s="22"/>
    </row>
    <row r="250" spans="1:30" s="23" customFormat="1" x14ac:dyDescent="0.3">
      <c r="A250" s="47"/>
      <c r="B250" s="40" t="s">
        <v>195</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53797</v>
      </c>
      <c r="AA250" s="40"/>
      <c r="AB250" s="40"/>
      <c r="AC250" s="43"/>
      <c r="AD250" s="22"/>
    </row>
    <row r="251" spans="1:30" s="23" customFormat="1" x14ac:dyDescent="0.3">
      <c r="A251" s="47"/>
      <c r="B251" s="40" t="s">
        <v>47</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71">
        <v>21.18</v>
      </c>
      <c r="AA251" s="40" t="s">
        <v>76</v>
      </c>
      <c r="AB251" s="40"/>
      <c r="AC251" s="43"/>
      <c r="AD251" s="22"/>
    </row>
    <row r="252" spans="1:30" s="23" customFormat="1" x14ac:dyDescent="0.3">
      <c r="A252" s="47"/>
      <c r="B252" s="40" t="s">
        <v>48</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71">
        <v>18.288201567055193</v>
      </c>
      <c r="AA252" s="40" t="s">
        <v>76</v>
      </c>
      <c r="AB252" s="40"/>
      <c r="AC252" s="43"/>
      <c r="AD252" s="22"/>
    </row>
    <row r="253" spans="1:30" s="23" customFormat="1" x14ac:dyDescent="0.3">
      <c r="A253" s="47"/>
      <c r="B253" s="40" t="s">
        <v>49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67">
        <f>(+T57+V57+Z57)/(R57+R63+R64)</f>
        <v>5.7572721830598753E-3</v>
      </c>
      <c r="AA253" s="40"/>
      <c r="AB253" s="40"/>
      <c r="AC253" s="43"/>
      <c r="AD253" s="22"/>
    </row>
    <row r="254" spans="1:30" s="23" customFormat="1" x14ac:dyDescent="0.3">
      <c r="A254" s="47"/>
      <c r="B254" s="40" t="s">
        <v>50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67">
        <v>5.0999999999999997E-2</v>
      </c>
      <c r="AA254" s="40"/>
      <c r="AB254" s="40"/>
      <c r="AC254" s="43"/>
      <c r="AD254" s="22"/>
    </row>
    <row r="255" spans="1:30" x14ac:dyDescent="0.3">
      <c r="A255" s="145"/>
      <c r="B255" s="151"/>
      <c r="C255" s="151"/>
      <c r="D255" s="99"/>
      <c r="E255" s="99"/>
      <c r="F255" s="99"/>
      <c r="G255" s="99"/>
      <c r="H255" s="99"/>
      <c r="I255" s="99"/>
      <c r="J255" s="99"/>
      <c r="K255" s="99"/>
      <c r="L255" s="99"/>
      <c r="M255" s="99"/>
      <c r="N255" s="99"/>
      <c r="O255" s="99"/>
      <c r="P255" s="99"/>
      <c r="Q255" s="99"/>
      <c r="R255" s="99"/>
      <c r="S255" s="99"/>
      <c r="T255" s="99"/>
      <c r="U255" s="99"/>
      <c r="V255" s="99"/>
      <c r="W255" s="99"/>
      <c r="X255" s="99"/>
      <c r="Y255" s="99"/>
      <c r="Z255" s="126"/>
      <c r="AA255" s="99"/>
      <c r="AB255" s="152"/>
      <c r="AC255" s="10"/>
      <c r="AD255" s="5"/>
    </row>
    <row r="256" spans="1:30" x14ac:dyDescent="0.3">
      <c r="A256" s="153"/>
      <c r="B256" s="102" t="s">
        <v>51</v>
      </c>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t="s">
        <v>69</v>
      </c>
      <c r="Z256" s="154" t="s">
        <v>74</v>
      </c>
      <c r="AA256" s="34"/>
      <c r="AB256" s="34"/>
      <c r="AC256" s="36"/>
      <c r="AD256" s="5"/>
    </row>
    <row r="257" spans="1:30" s="23" customFormat="1" x14ac:dyDescent="0.3">
      <c r="A257" s="155"/>
      <c r="B257" s="37" t="s">
        <v>52</v>
      </c>
      <c r="C257" s="10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v>0</v>
      </c>
      <c r="Z257" s="157">
        <v>0</v>
      </c>
      <c r="AA257" s="37"/>
      <c r="AB257" s="158"/>
      <c r="AC257" s="159"/>
      <c r="AD257" s="22"/>
    </row>
    <row r="258" spans="1:30" s="23" customFormat="1" x14ac:dyDescent="0.3">
      <c r="A258" s="160"/>
      <c r="B258" s="40" t="s">
        <v>97</v>
      </c>
      <c r="C258" s="97"/>
      <c r="D258" s="48"/>
      <c r="E258" s="48"/>
      <c r="F258" s="48"/>
      <c r="G258" s="48"/>
      <c r="H258" s="48"/>
      <c r="I258" s="48"/>
      <c r="J258" s="48"/>
      <c r="K258" s="48"/>
      <c r="L258" s="48"/>
      <c r="M258" s="48"/>
      <c r="N258" s="48"/>
      <c r="O258" s="48"/>
      <c r="P258" s="48"/>
      <c r="Q258" s="48"/>
      <c r="R258" s="48"/>
      <c r="S258" s="48"/>
      <c r="T258" s="48"/>
      <c r="U258" s="48"/>
      <c r="V258" s="48"/>
      <c r="W258" s="48"/>
      <c r="X258" s="48"/>
      <c r="Y258" s="161">
        <f>+X310</f>
        <v>3</v>
      </c>
      <c r="Z258" s="162">
        <f>+Z310</f>
        <v>679</v>
      </c>
      <c r="AA258" s="40"/>
      <c r="AB258" s="163"/>
      <c r="AC258" s="164"/>
      <c r="AD258" s="22"/>
    </row>
    <row r="259" spans="1:30" s="23" customFormat="1" x14ac:dyDescent="0.3">
      <c r="A259" s="160"/>
      <c r="B259" s="40" t="s">
        <v>53</v>
      </c>
      <c r="C259" s="97"/>
      <c r="D259" s="48"/>
      <c r="E259" s="48"/>
      <c r="F259" s="48"/>
      <c r="G259" s="48"/>
      <c r="H259" s="48"/>
      <c r="I259" s="48"/>
      <c r="J259" s="48"/>
      <c r="K259" s="48"/>
      <c r="L259" s="48"/>
      <c r="M259" s="48"/>
      <c r="N259" s="48"/>
      <c r="O259" s="48"/>
      <c r="P259" s="48"/>
      <c r="Q259" s="48"/>
      <c r="R259" s="48"/>
      <c r="S259" s="48"/>
      <c r="T259" s="48"/>
      <c r="U259" s="48"/>
      <c r="V259" s="48"/>
      <c r="W259" s="48"/>
      <c r="X259" s="48"/>
      <c r="Y259" s="161">
        <f>+X332</f>
        <v>0</v>
      </c>
      <c r="Z259" s="162">
        <f>+Z332</f>
        <v>0</v>
      </c>
      <c r="AA259" s="40"/>
      <c r="AB259" s="163"/>
      <c r="AC259" s="164"/>
      <c r="AD259" s="22"/>
    </row>
    <row r="260" spans="1:30" x14ac:dyDescent="0.3">
      <c r="A260" s="165"/>
      <c r="B260" s="166" t="s">
        <v>167</v>
      </c>
      <c r="C260" s="167"/>
      <c r="D260" s="59"/>
      <c r="E260" s="59"/>
      <c r="F260" s="59"/>
      <c r="G260" s="59"/>
      <c r="H260" s="59"/>
      <c r="I260" s="59"/>
      <c r="J260" s="59"/>
      <c r="K260" s="59"/>
      <c r="L260" s="59"/>
      <c r="M260" s="59"/>
      <c r="N260" s="59"/>
      <c r="O260" s="59"/>
      <c r="P260" s="59"/>
      <c r="Q260" s="59"/>
      <c r="R260" s="59"/>
      <c r="S260" s="59"/>
      <c r="T260" s="59"/>
      <c r="U260" s="59"/>
      <c r="V260" s="59"/>
      <c r="W260" s="59"/>
      <c r="X260" s="59"/>
      <c r="Y260" s="112"/>
      <c r="Z260" s="162">
        <f>Z57</f>
        <v>0</v>
      </c>
      <c r="AA260" s="59"/>
      <c r="AB260" s="168"/>
      <c r="AC260" s="169"/>
      <c r="AD260" s="5"/>
    </row>
    <row r="261" spans="1:30" x14ac:dyDescent="0.3">
      <c r="A261" s="165"/>
      <c r="B261" s="166" t="s">
        <v>261</v>
      </c>
      <c r="C261" s="167"/>
      <c r="D261" s="59"/>
      <c r="E261" s="59"/>
      <c r="F261" s="59"/>
      <c r="G261" s="59"/>
      <c r="H261" s="59"/>
      <c r="I261" s="59"/>
      <c r="J261" s="59"/>
      <c r="K261" s="59"/>
      <c r="L261" s="59"/>
      <c r="M261" s="59"/>
      <c r="N261" s="59"/>
      <c r="O261" s="59"/>
      <c r="P261" s="59"/>
      <c r="Q261" s="59"/>
      <c r="R261" s="59"/>
      <c r="S261" s="59"/>
      <c r="T261" s="59"/>
      <c r="U261" s="59"/>
      <c r="V261" s="59"/>
      <c r="W261" s="59"/>
      <c r="X261" s="59"/>
      <c r="Y261" s="112"/>
      <c r="Z261" s="162">
        <f>-T63</f>
        <v>0</v>
      </c>
      <c r="AA261" s="59"/>
      <c r="AB261" s="168"/>
      <c r="AC261" s="169"/>
      <c r="AD261" s="5"/>
    </row>
    <row r="262" spans="1:30" x14ac:dyDescent="0.3">
      <c r="A262" s="170"/>
      <c r="B262" s="166" t="s">
        <v>54</v>
      </c>
      <c r="C262" s="171"/>
      <c r="D262" s="59"/>
      <c r="E262" s="59"/>
      <c r="F262" s="59"/>
      <c r="G262" s="59"/>
      <c r="H262" s="59"/>
      <c r="I262" s="59"/>
      <c r="J262" s="59"/>
      <c r="K262" s="59"/>
      <c r="L262" s="59"/>
      <c r="M262" s="59"/>
      <c r="N262" s="59"/>
      <c r="O262" s="59"/>
      <c r="P262" s="59"/>
      <c r="Q262" s="59"/>
      <c r="R262" s="59"/>
      <c r="S262" s="59"/>
      <c r="T262" s="59"/>
      <c r="U262" s="59"/>
      <c r="V262" s="59"/>
      <c r="W262" s="59"/>
      <c r="X262" s="59"/>
      <c r="Y262" s="112"/>
      <c r="Z262" s="172"/>
      <c r="AA262" s="59"/>
      <c r="AB262" s="168"/>
      <c r="AC262" s="173"/>
      <c r="AD262" s="5"/>
    </row>
    <row r="263" spans="1:30" s="23" customFormat="1" x14ac:dyDescent="0.3">
      <c r="A263" s="174"/>
      <c r="B263" s="40" t="s">
        <v>55</v>
      </c>
      <c r="C263" s="40"/>
      <c r="D263" s="40"/>
      <c r="E263" s="40"/>
      <c r="F263" s="40"/>
      <c r="G263" s="40"/>
      <c r="H263" s="40"/>
      <c r="I263" s="40"/>
      <c r="J263" s="40"/>
      <c r="K263" s="40"/>
      <c r="L263" s="40"/>
      <c r="M263" s="40"/>
      <c r="N263" s="40"/>
      <c r="O263" s="40"/>
      <c r="P263" s="40"/>
      <c r="Q263" s="40"/>
      <c r="R263" s="40"/>
      <c r="S263" s="40"/>
      <c r="T263" s="40"/>
      <c r="U263" s="40"/>
      <c r="V263" s="40"/>
      <c r="W263" s="40"/>
      <c r="X263" s="40"/>
      <c r="Y263" s="48"/>
      <c r="Z263" s="162">
        <f>AB166</f>
        <v>0</v>
      </c>
      <c r="AA263" s="40"/>
      <c r="AB263" s="163"/>
      <c r="AC263" s="175"/>
      <c r="AD263" s="22"/>
    </row>
    <row r="264" spans="1:30" s="23" customFormat="1" x14ac:dyDescent="0.3">
      <c r="A264" s="160"/>
      <c r="B264" s="40" t="s">
        <v>56</v>
      </c>
      <c r="C264" s="97"/>
      <c r="D264" s="40"/>
      <c r="E264" s="40"/>
      <c r="F264" s="40"/>
      <c r="G264" s="40"/>
      <c r="H264" s="40"/>
      <c r="I264" s="40"/>
      <c r="J264" s="40"/>
      <c r="K264" s="40"/>
      <c r="L264" s="40"/>
      <c r="M264" s="40"/>
      <c r="N264" s="40"/>
      <c r="O264" s="40"/>
      <c r="P264" s="40"/>
      <c r="Q264" s="40"/>
      <c r="R264" s="40"/>
      <c r="S264" s="40"/>
      <c r="T264" s="40"/>
      <c r="U264" s="40"/>
      <c r="V264" s="40"/>
      <c r="W264" s="40"/>
      <c r="X264" s="40"/>
      <c r="Y264" s="48"/>
      <c r="Z264" s="162">
        <f>Z263+'December 2022'!Z264</f>
        <v>2</v>
      </c>
      <c r="AA264" s="40"/>
      <c r="AB264" s="163"/>
      <c r="AC264" s="175"/>
      <c r="AD264" s="22"/>
    </row>
    <row r="265" spans="1:30" x14ac:dyDescent="0.3">
      <c r="A265" s="170"/>
      <c r="B265" s="166" t="s">
        <v>125</v>
      </c>
      <c r="C265" s="171"/>
      <c r="D265" s="59"/>
      <c r="E265" s="59"/>
      <c r="F265" s="59"/>
      <c r="G265" s="59"/>
      <c r="H265" s="59"/>
      <c r="I265" s="59"/>
      <c r="J265" s="59"/>
      <c r="K265" s="59"/>
      <c r="L265" s="59"/>
      <c r="M265" s="59"/>
      <c r="N265" s="59"/>
      <c r="O265" s="59"/>
      <c r="P265" s="59"/>
      <c r="Q265" s="59"/>
      <c r="R265" s="59"/>
      <c r="S265" s="59"/>
      <c r="T265" s="59"/>
      <c r="U265" s="59"/>
      <c r="V265" s="59"/>
      <c r="W265" s="59"/>
      <c r="X265" s="59"/>
      <c r="Y265" s="176"/>
      <c r="Z265" s="172"/>
      <c r="AA265" s="59"/>
      <c r="AB265" s="168"/>
      <c r="AC265" s="173"/>
      <c r="AD265" s="5"/>
    </row>
    <row r="266" spans="1:30" s="23" customFormat="1" x14ac:dyDescent="0.3">
      <c r="A266" s="174"/>
      <c r="B266" s="40" t="s">
        <v>134</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v>0</v>
      </c>
      <c r="Z266" s="162">
        <v>0</v>
      </c>
      <c r="AA266" s="40"/>
      <c r="AB266" s="163"/>
      <c r="AC266" s="175"/>
      <c r="AD266" s="22"/>
    </row>
    <row r="267" spans="1:30" s="23" customFormat="1" x14ac:dyDescent="0.3">
      <c r="A267" s="160"/>
      <c r="B267" s="40" t="s">
        <v>57</v>
      </c>
      <c r="C267" s="70"/>
      <c r="D267" s="40"/>
      <c r="E267" s="40"/>
      <c r="F267" s="40"/>
      <c r="G267" s="40"/>
      <c r="H267" s="40"/>
      <c r="I267" s="40"/>
      <c r="J267" s="40"/>
      <c r="K267" s="40"/>
      <c r="L267" s="40"/>
      <c r="M267" s="40"/>
      <c r="N267" s="40"/>
      <c r="O267" s="40"/>
      <c r="P267" s="40"/>
      <c r="Q267" s="40"/>
      <c r="R267" s="40"/>
      <c r="S267" s="40"/>
      <c r="T267" s="40"/>
      <c r="U267" s="40"/>
      <c r="V267" s="40"/>
      <c r="W267" s="40"/>
      <c r="X267" s="40"/>
      <c r="Y267" s="40"/>
      <c r="Z267" s="177">
        <v>0</v>
      </c>
      <c r="AA267" s="40"/>
      <c r="AB267" s="163"/>
      <c r="AC267" s="175"/>
      <c r="AD267" s="22"/>
    </row>
    <row r="268" spans="1:30" s="23" customFormat="1" x14ac:dyDescent="0.3">
      <c r="A268" s="160"/>
      <c r="B268" s="40" t="s">
        <v>58</v>
      </c>
      <c r="C268" s="70"/>
      <c r="D268" s="40"/>
      <c r="E268" s="40"/>
      <c r="F268" s="40"/>
      <c r="G268" s="40"/>
      <c r="H268" s="40"/>
      <c r="I268" s="40"/>
      <c r="J268" s="40"/>
      <c r="K268" s="40"/>
      <c r="L268" s="40"/>
      <c r="M268" s="40"/>
      <c r="N268" s="40"/>
      <c r="O268" s="40"/>
      <c r="P268" s="40"/>
      <c r="Q268" s="40"/>
      <c r="R268" s="40"/>
      <c r="S268" s="40"/>
      <c r="T268" s="40"/>
      <c r="U268" s="40"/>
      <c r="V268" s="40"/>
      <c r="W268" s="40"/>
      <c r="X268" s="40"/>
      <c r="Y268" s="40"/>
      <c r="Z268" s="177">
        <v>0</v>
      </c>
      <c r="AA268" s="40"/>
      <c r="AB268" s="163"/>
      <c r="AC268" s="175"/>
      <c r="AD268" s="22"/>
    </row>
    <row r="269" spans="1:30" x14ac:dyDescent="0.3">
      <c r="A269" s="165"/>
      <c r="B269" s="166" t="s">
        <v>116</v>
      </c>
      <c r="C269" s="178"/>
      <c r="D269" s="59"/>
      <c r="E269" s="59"/>
      <c r="F269" s="59"/>
      <c r="G269" s="59"/>
      <c r="H269" s="59"/>
      <c r="I269" s="59"/>
      <c r="J269" s="59"/>
      <c r="K269" s="59"/>
      <c r="L269" s="59"/>
      <c r="M269" s="59"/>
      <c r="N269" s="59"/>
      <c r="O269" s="59"/>
      <c r="P269" s="59"/>
      <c r="Q269" s="59"/>
      <c r="R269" s="59"/>
      <c r="S269" s="59"/>
      <c r="T269" s="59"/>
      <c r="U269" s="59"/>
      <c r="V269" s="59"/>
      <c r="W269" s="59"/>
      <c r="X269" s="59"/>
      <c r="Y269" s="112"/>
      <c r="Z269" s="179"/>
      <c r="AA269" s="59"/>
      <c r="AB269" s="168"/>
      <c r="AC269" s="173"/>
      <c r="AD269" s="5"/>
    </row>
    <row r="270" spans="1:30" s="23" customFormat="1" x14ac:dyDescent="0.3">
      <c r="A270" s="160"/>
      <c r="B270" s="40" t="s">
        <v>134</v>
      </c>
      <c r="C270" s="7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0" s="23" customFormat="1" x14ac:dyDescent="0.3">
      <c r="A271" s="160"/>
      <c r="B271" s="40" t="s">
        <v>117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71"/>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x14ac:dyDescent="0.3">
      <c r="A273" s="165"/>
      <c r="B273" s="171"/>
      <c r="C273" s="178"/>
      <c r="D273" s="59"/>
      <c r="E273" s="59"/>
      <c r="F273" s="59"/>
      <c r="G273" s="59"/>
      <c r="H273" s="59"/>
      <c r="I273" s="59"/>
      <c r="J273" s="59"/>
      <c r="K273" s="59"/>
      <c r="L273" s="59"/>
      <c r="M273" s="59"/>
      <c r="N273" s="59"/>
      <c r="O273" s="59"/>
      <c r="P273" s="59"/>
      <c r="Q273" s="59"/>
      <c r="R273" s="59"/>
      <c r="S273" s="59"/>
      <c r="T273" s="59"/>
      <c r="U273" s="59"/>
      <c r="V273" s="59"/>
      <c r="W273" s="59"/>
      <c r="X273" s="59"/>
      <c r="Y273" s="59"/>
      <c r="Z273" s="180"/>
      <c r="AA273" s="59"/>
      <c r="AB273" s="168"/>
      <c r="AC273" s="173"/>
      <c r="AD273" s="5"/>
    </row>
    <row r="274" spans="1:30" ht="18" x14ac:dyDescent="0.35">
      <c r="A274" s="165"/>
      <c r="B274" s="181" t="s">
        <v>109</v>
      </c>
      <c r="C274" s="178"/>
      <c r="D274" s="59"/>
      <c r="E274" s="59"/>
      <c r="F274" s="59"/>
      <c r="G274" s="59"/>
      <c r="H274" s="59"/>
      <c r="I274" s="59"/>
      <c r="J274" s="59"/>
      <c r="K274" s="59"/>
      <c r="L274" s="182"/>
      <c r="M274" s="182"/>
      <c r="N274" s="182"/>
      <c r="O274" s="182"/>
      <c r="P274" s="261" t="s">
        <v>168</v>
      </c>
      <c r="Q274" s="182"/>
      <c r="R274" s="182"/>
      <c r="S274" s="182"/>
      <c r="T274" s="182"/>
      <c r="U274" s="182"/>
      <c r="V274" s="182"/>
      <c r="W274" s="59"/>
      <c r="X274" s="183"/>
      <c r="Y274" s="182"/>
      <c r="Z274" s="180"/>
      <c r="AA274" s="59"/>
      <c r="AB274" s="168"/>
      <c r="AC274" s="173"/>
      <c r="AD274" s="5"/>
    </row>
    <row r="275" spans="1:30" ht="18" x14ac:dyDescent="0.35">
      <c r="A275" s="184"/>
      <c r="B275" s="185"/>
      <c r="C275" s="186"/>
      <c r="D275" s="99"/>
      <c r="E275" s="99"/>
      <c r="F275" s="99"/>
      <c r="G275" s="99"/>
      <c r="H275" s="99"/>
      <c r="I275" s="99"/>
      <c r="J275" s="99"/>
      <c r="K275" s="99"/>
      <c r="L275" s="187"/>
      <c r="M275" s="187"/>
      <c r="N275" s="187"/>
      <c r="O275" s="187"/>
      <c r="P275" s="187"/>
      <c r="Q275" s="187"/>
      <c r="R275" s="187"/>
      <c r="S275" s="187"/>
      <c r="T275" s="187"/>
      <c r="U275" s="187"/>
      <c r="V275" s="187"/>
      <c r="W275" s="99"/>
      <c r="X275" s="99"/>
      <c r="Y275" s="99"/>
      <c r="Z275" s="188"/>
      <c r="AA275" s="99"/>
      <c r="AB275" s="152"/>
      <c r="AC275" s="189"/>
      <c r="AD275" s="5"/>
    </row>
    <row r="276" spans="1:30" x14ac:dyDescent="0.3">
      <c r="A276" s="33"/>
      <c r="B276" s="102" t="s">
        <v>126</v>
      </c>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54" t="s">
        <v>69</v>
      </c>
      <c r="Y276" s="103" t="s">
        <v>70</v>
      </c>
      <c r="Z276" s="154" t="s">
        <v>75</v>
      </c>
      <c r="AA276" s="103" t="s">
        <v>70</v>
      </c>
      <c r="AB276" s="34"/>
      <c r="AC276" s="190"/>
      <c r="AD276" s="5"/>
    </row>
    <row r="277" spans="1:30" s="23" customFormat="1" x14ac:dyDescent="0.3">
      <c r="A277" s="18"/>
      <c r="B277" s="106" t="s">
        <v>59</v>
      </c>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06">
        <f t="shared" ref="X277:X284" si="0">+X289+X301+X323</f>
        <v>3445</v>
      </c>
      <c r="Y277" s="192">
        <f>X277/$X$286</f>
        <v>0.99739432541980311</v>
      </c>
      <c r="Z277" s="107">
        <f t="shared" ref="Z277:Z284" si="1">+Z289+Z301+Z323</f>
        <v>648671</v>
      </c>
      <c r="AA277" s="192">
        <f>Z277/$Z$286</f>
        <v>0.9963459027724445</v>
      </c>
      <c r="AB277" s="158"/>
      <c r="AC277" s="193"/>
      <c r="AD277" s="22"/>
    </row>
    <row r="278" spans="1:30" s="23" customFormat="1" x14ac:dyDescent="0.3">
      <c r="A278" s="47"/>
      <c r="B278" s="97" t="s">
        <v>60</v>
      </c>
      <c r="C278" s="194"/>
      <c r="D278" s="194"/>
      <c r="E278" s="194"/>
      <c r="F278" s="194"/>
      <c r="G278" s="194"/>
      <c r="H278" s="194"/>
      <c r="I278" s="194"/>
      <c r="J278" s="194"/>
      <c r="K278" s="194"/>
      <c r="L278" s="194"/>
      <c r="M278" s="194"/>
      <c r="N278" s="194"/>
      <c r="O278" s="194"/>
      <c r="P278" s="194"/>
      <c r="Q278" s="194"/>
      <c r="R278" s="194"/>
      <c r="S278" s="194"/>
      <c r="T278" s="194"/>
      <c r="U278" s="194"/>
      <c r="V278" s="194"/>
      <c r="W278" s="194"/>
      <c r="X278" s="195">
        <f t="shared" si="0"/>
        <v>5</v>
      </c>
      <c r="Y278" s="196">
        <f t="shared" ref="Y278:Y284" si="2">X278/$X$286</f>
        <v>1.4475969889982628E-3</v>
      </c>
      <c r="Z278" s="197">
        <f t="shared" si="1"/>
        <v>1206</v>
      </c>
      <c r="AA278" s="198">
        <f>Z278/$Z$286</f>
        <v>1.8523922893786959E-3</v>
      </c>
      <c r="AB278" s="163"/>
      <c r="AC278" s="175"/>
      <c r="AD278" s="22"/>
    </row>
    <row r="279" spans="1:30" s="23" customFormat="1" x14ac:dyDescent="0.3">
      <c r="A279" s="47"/>
      <c r="B279" s="97" t="s">
        <v>61</v>
      </c>
      <c r="C279" s="194"/>
      <c r="D279" s="194"/>
      <c r="E279" s="194"/>
      <c r="F279" s="194"/>
      <c r="G279" s="194"/>
      <c r="H279" s="194"/>
      <c r="I279" s="194"/>
      <c r="J279" s="194"/>
      <c r="K279" s="194"/>
      <c r="L279" s="194"/>
      <c r="M279" s="194"/>
      <c r="N279" s="194"/>
      <c r="O279" s="194"/>
      <c r="P279" s="194"/>
      <c r="Q279" s="194"/>
      <c r="R279" s="194"/>
      <c r="S279" s="194"/>
      <c r="T279" s="194"/>
      <c r="U279" s="194"/>
      <c r="V279" s="194"/>
      <c r="W279" s="194"/>
      <c r="X279" s="199">
        <f t="shared" si="0"/>
        <v>2</v>
      </c>
      <c r="Y279" s="200">
        <f t="shared" si="2"/>
        <v>5.7903879559930511E-4</v>
      </c>
      <c r="Z279" s="131">
        <f t="shared" si="1"/>
        <v>617</v>
      </c>
      <c r="AA279" s="198">
        <f t="shared" ref="AA279:AA284" si="3">Z279/$Z$286</f>
        <v>9.476998694416712E-4</v>
      </c>
      <c r="AB279" s="163"/>
      <c r="AC279" s="175"/>
      <c r="AD279" s="22"/>
    </row>
    <row r="280" spans="1:30" s="23" customFormat="1" x14ac:dyDescent="0.3">
      <c r="A280" s="47"/>
      <c r="B280" s="97" t="s">
        <v>100</v>
      </c>
      <c r="C280" s="194"/>
      <c r="D280" s="194"/>
      <c r="E280" s="194"/>
      <c r="F280" s="194"/>
      <c r="G280" s="194"/>
      <c r="H280" s="194"/>
      <c r="I280" s="194"/>
      <c r="J280" s="194"/>
      <c r="K280" s="194"/>
      <c r="L280" s="194"/>
      <c r="M280" s="194"/>
      <c r="N280" s="194"/>
      <c r="O280" s="194"/>
      <c r="P280" s="194"/>
      <c r="Q280" s="194"/>
      <c r="R280" s="194"/>
      <c r="S280" s="194"/>
      <c r="T280" s="194"/>
      <c r="U280" s="194"/>
      <c r="V280" s="194"/>
      <c r="W280" s="194"/>
      <c r="X280" s="199">
        <f t="shared" si="0"/>
        <v>1</v>
      </c>
      <c r="Y280" s="200">
        <f t="shared" si="2"/>
        <v>2.8951939779965256E-4</v>
      </c>
      <c r="Z280" s="131">
        <f t="shared" si="1"/>
        <v>62</v>
      </c>
      <c r="AA280" s="198">
        <f t="shared" si="3"/>
        <v>9.5230781046002608E-5</v>
      </c>
      <c r="AB280" s="163"/>
      <c r="AC280" s="175"/>
      <c r="AD280" s="22"/>
    </row>
    <row r="281" spans="1:30" s="23" customFormat="1" x14ac:dyDescent="0.3">
      <c r="A281" s="47"/>
      <c r="B281" s="97" t="s">
        <v>101</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9">
        <f t="shared" si="0"/>
        <v>1</v>
      </c>
      <c r="Y281" s="200">
        <f t="shared" si="2"/>
        <v>2.8951939779965256E-4</v>
      </c>
      <c r="Z281" s="131">
        <f t="shared" si="1"/>
        <v>494</v>
      </c>
      <c r="AA281" s="198">
        <f t="shared" si="3"/>
        <v>7.5877428768911757E-4</v>
      </c>
      <c r="AB281" s="163"/>
      <c r="AC281" s="175"/>
      <c r="AD281" s="22"/>
    </row>
    <row r="282" spans="1:30" s="23" customFormat="1" x14ac:dyDescent="0.3">
      <c r="A282" s="47"/>
      <c r="B282" s="97" t="s">
        <v>102</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0"/>
        <v>0</v>
      </c>
      <c r="Y282" s="200">
        <f t="shared" si="2"/>
        <v>0</v>
      </c>
      <c r="Z282" s="131">
        <f t="shared" si="1"/>
        <v>0</v>
      </c>
      <c r="AA282" s="198">
        <f t="shared" si="3"/>
        <v>0</v>
      </c>
      <c r="AB282" s="163"/>
      <c r="AC282" s="175"/>
      <c r="AD282" s="22"/>
    </row>
    <row r="283" spans="1:30" s="23" customFormat="1" x14ac:dyDescent="0.3">
      <c r="A283" s="47"/>
      <c r="B283" s="97" t="s">
        <v>103</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201">
        <f t="shared" si="0"/>
        <v>0</v>
      </c>
      <c r="Y283" s="202">
        <f t="shared" si="2"/>
        <v>0</v>
      </c>
      <c r="Z283" s="203">
        <f t="shared" si="1"/>
        <v>0</v>
      </c>
      <c r="AA283" s="198">
        <f t="shared" si="3"/>
        <v>0</v>
      </c>
      <c r="AB283" s="163"/>
      <c r="AC283" s="175"/>
      <c r="AD283" s="22"/>
    </row>
    <row r="284" spans="1:30" s="23" customFormat="1" x14ac:dyDescent="0.3">
      <c r="A284" s="47"/>
      <c r="B284" s="97" t="s">
        <v>104</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06">
        <f t="shared" si="0"/>
        <v>0</v>
      </c>
      <c r="Y284" s="198">
        <f t="shared" si="2"/>
        <v>0</v>
      </c>
      <c r="Z284" s="107">
        <f t="shared" si="1"/>
        <v>0</v>
      </c>
      <c r="AA284" s="198">
        <f t="shared" si="3"/>
        <v>0</v>
      </c>
      <c r="AB284" s="163"/>
      <c r="AC284" s="175"/>
      <c r="AD284" s="22"/>
    </row>
    <row r="285" spans="1:30" s="23" customFormat="1" x14ac:dyDescent="0.3">
      <c r="A285" s="47"/>
      <c r="B285" s="97"/>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97"/>
      <c r="Y285" s="198"/>
      <c r="Z285" s="98"/>
      <c r="AA285" s="198"/>
      <c r="AB285" s="163"/>
      <c r="AC285" s="175"/>
      <c r="AD285" s="22"/>
    </row>
    <row r="286" spans="1:30" s="23" customFormat="1" x14ac:dyDescent="0.3">
      <c r="A286" s="47"/>
      <c r="B286" s="40" t="s">
        <v>80</v>
      </c>
      <c r="C286" s="40"/>
      <c r="D286" s="204"/>
      <c r="E286" s="204"/>
      <c r="F286" s="204"/>
      <c r="G286" s="204"/>
      <c r="H286" s="204"/>
      <c r="I286" s="204"/>
      <c r="J286" s="204"/>
      <c r="K286" s="204"/>
      <c r="L286" s="204"/>
      <c r="M286" s="204"/>
      <c r="N286" s="204"/>
      <c r="O286" s="204"/>
      <c r="P286" s="204"/>
      <c r="Q286" s="204"/>
      <c r="R286" s="204"/>
      <c r="S286" s="204"/>
      <c r="T286" s="204"/>
      <c r="U286" s="204"/>
      <c r="V286" s="204"/>
      <c r="W286" s="204"/>
      <c r="X286" s="97">
        <f>SUM(X277:X285)</f>
        <v>3454</v>
      </c>
      <c r="Y286" s="198">
        <f>SUM(Y277:Y285)</f>
        <v>0.99999999999999989</v>
      </c>
      <c r="Z286" s="98">
        <f>SUM(Z277:Z285)</f>
        <v>651050</v>
      </c>
      <c r="AA286" s="198">
        <f>SUM(AA277:AA285)</f>
        <v>1</v>
      </c>
      <c r="AB286" s="40"/>
      <c r="AC286" s="43"/>
      <c r="AD286" s="22"/>
    </row>
    <row r="287" spans="1:30" x14ac:dyDescent="0.3">
      <c r="A287" s="7"/>
      <c r="B287" s="151"/>
      <c r="C287" s="186"/>
      <c r="D287" s="99"/>
      <c r="E287" s="99"/>
      <c r="F287" s="99"/>
      <c r="G287" s="99"/>
      <c r="H287" s="99"/>
      <c r="I287" s="99"/>
      <c r="J287" s="99"/>
      <c r="K287" s="99"/>
      <c r="L287" s="99"/>
      <c r="M287" s="99"/>
      <c r="N287" s="99"/>
      <c r="O287" s="99"/>
      <c r="P287" s="99"/>
      <c r="Q287" s="99"/>
      <c r="R287" s="99"/>
      <c r="S287" s="99"/>
      <c r="T287" s="99"/>
      <c r="U287" s="99"/>
      <c r="V287" s="99"/>
      <c r="W287" s="99"/>
      <c r="X287" s="99"/>
      <c r="Y287" s="99"/>
      <c r="Z287" s="188"/>
      <c r="AA287" s="99"/>
      <c r="AB287" s="99"/>
      <c r="AC287" s="10"/>
      <c r="AD287" s="5"/>
    </row>
    <row r="288" spans="1:30" x14ac:dyDescent="0.3">
      <c r="A288" s="33"/>
      <c r="B288" s="102" t="s">
        <v>105</v>
      </c>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54" t="s">
        <v>69</v>
      </c>
      <c r="Y288" s="103" t="s">
        <v>70</v>
      </c>
      <c r="Z288" s="154" t="s">
        <v>75</v>
      </c>
      <c r="AA288" s="103" t="s">
        <v>70</v>
      </c>
      <c r="AB288" s="34"/>
      <c r="AC288" s="190"/>
      <c r="AD288" s="5"/>
    </row>
    <row r="289" spans="1:31" s="23" customFormat="1" x14ac:dyDescent="0.3">
      <c r="A289" s="18"/>
      <c r="B289" s="106" t="s">
        <v>59</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06">
        <v>3445</v>
      </c>
      <c r="Y289" s="192">
        <f>X289/$X$298</f>
        <v>0.99826137351492317</v>
      </c>
      <c r="Z289" s="107">
        <v>648671</v>
      </c>
      <c r="AA289" s="192">
        <f>Z289/$Z$298</f>
        <v>0.99738610731413302</v>
      </c>
      <c r="AB289" s="158"/>
      <c r="AC289" s="193"/>
      <c r="AD289" s="22"/>
    </row>
    <row r="290" spans="1:31" s="23" customFormat="1" x14ac:dyDescent="0.3">
      <c r="A290" s="47"/>
      <c r="B290" s="97" t="s">
        <v>60</v>
      </c>
      <c r="C290" s="194"/>
      <c r="D290" s="194"/>
      <c r="E290" s="194"/>
      <c r="F290" s="194"/>
      <c r="G290" s="194"/>
      <c r="H290" s="194"/>
      <c r="I290" s="194"/>
      <c r="J290" s="194"/>
      <c r="K290" s="194"/>
      <c r="L290" s="194"/>
      <c r="M290" s="194"/>
      <c r="N290" s="194"/>
      <c r="O290" s="194"/>
      <c r="P290" s="194"/>
      <c r="Q290" s="194"/>
      <c r="R290" s="194"/>
      <c r="S290" s="194"/>
      <c r="T290" s="194"/>
      <c r="U290" s="194"/>
      <c r="V290" s="194"/>
      <c r="W290" s="194"/>
      <c r="X290" s="97">
        <v>5</v>
      </c>
      <c r="Y290" s="198">
        <f t="shared" ref="Y290:Y296" si="4">X290/$X$298</f>
        <v>1.4488554042306578E-3</v>
      </c>
      <c r="Z290" s="98">
        <v>1206</v>
      </c>
      <c r="AA290" s="198">
        <f t="shared" ref="AA290:AA296" si="5">Z290/$Z$298</f>
        <v>1.8543262230326998E-3</v>
      </c>
      <c r="AB290" s="163"/>
      <c r="AC290" s="175"/>
      <c r="AD290" s="22"/>
      <c r="AE290" s="115"/>
    </row>
    <row r="291" spans="1:31" s="23" customFormat="1" x14ac:dyDescent="0.3">
      <c r="A291" s="47"/>
      <c r="B291" s="97" t="s">
        <v>61</v>
      </c>
      <c r="C291" s="194"/>
      <c r="D291" s="194"/>
      <c r="E291" s="194"/>
      <c r="F291" s="194"/>
      <c r="G291" s="194"/>
      <c r="H291" s="194"/>
      <c r="I291" s="194"/>
      <c r="J291" s="194"/>
      <c r="K291" s="194"/>
      <c r="L291" s="194"/>
      <c r="M291" s="194"/>
      <c r="N291" s="194"/>
      <c r="O291" s="194"/>
      <c r="P291" s="194"/>
      <c r="Q291" s="194"/>
      <c r="R291" s="194"/>
      <c r="S291" s="194"/>
      <c r="T291" s="194"/>
      <c r="U291" s="194"/>
      <c r="V291" s="194"/>
      <c r="W291" s="194"/>
      <c r="X291" s="97">
        <v>0</v>
      </c>
      <c r="Y291" s="198">
        <f t="shared" si="4"/>
        <v>0</v>
      </c>
      <c r="Z291" s="98">
        <v>0</v>
      </c>
      <c r="AA291" s="198">
        <f t="shared" si="5"/>
        <v>0</v>
      </c>
      <c r="AB291" s="163"/>
      <c r="AC291" s="175"/>
      <c r="AD291" s="22"/>
    </row>
    <row r="292" spans="1:31" s="23" customFormat="1" x14ac:dyDescent="0.3">
      <c r="A292" s="47"/>
      <c r="B292" s="97" t="s">
        <v>100</v>
      </c>
      <c r="C292" s="194"/>
      <c r="D292" s="194"/>
      <c r="E292" s="194"/>
      <c r="F292" s="194"/>
      <c r="G292" s="194"/>
      <c r="H292" s="194"/>
      <c r="I292" s="194"/>
      <c r="J292" s="194"/>
      <c r="K292" s="194"/>
      <c r="L292" s="194"/>
      <c r="M292" s="194"/>
      <c r="N292" s="194"/>
      <c r="O292" s="194"/>
      <c r="P292" s="194"/>
      <c r="Q292" s="194"/>
      <c r="R292" s="194"/>
      <c r="S292" s="194"/>
      <c r="T292" s="194"/>
      <c r="U292" s="194"/>
      <c r="V292" s="194"/>
      <c r="W292" s="194"/>
      <c r="X292" s="97">
        <v>0</v>
      </c>
      <c r="Y292" s="198">
        <f t="shared" si="4"/>
        <v>0</v>
      </c>
      <c r="Z292" s="98">
        <v>0</v>
      </c>
      <c r="AA292" s="198">
        <f t="shared" si="5"/>
        <v>0</v>
      </c>
      <c r="AB292" s="163"/>
      <c r="AC292" s="175"/>
      <c r="AD292" s="22"/>
      <c r="AE292" s="115"/>
    </row>
    <row r="293" spans="1:31" s="23" customFormat="1" x14ac:dyDescent="0.3">
      <c r="A293" s="47"/>
      <c r="B293" s="97" t="s">
        <v>101</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1</v>
      </c>
      <c r="Y293" s="198">
        <f t="shared" si="4"/>
        <v>2.8977108084613158E-4</v>
      </c>
      <c r="Z293" s="98">
        <v>494</v>
      </c>
      <c r="AA293" s="198">
        <f t="shared" si="5"/>
        <v>7.5956646283428992E-4</v>
      </c>
      <c r="AB293" s="163"/>
      <c r="AC293" s="175"/>
      <c r="AD293" s="22"/>
    </row>
    <row r="294" spans="1:31" s="23" customFormat="1" x14ac:dyDescent="0.3">
      <c r="A294" s="47"/>
      <c r="B294" s="97" t="s">
        <v>102</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4"/>
        <v>0</v>
      </c>
      <c r="Z294" s="98">
        <v>0</v>
      </c>
      <c r="AA294" s="198">
        <f t="shared" si="5"/>
        <v>0</v>
      </c>
      <c r="AB294" s="163"/>
      <c r="AC294" s="175"/>
      <c r="AD294" s="22"/>
      <c r="AE294" s="115"/>
    </row>
    <row r="295" spans="1:31" s="23" customFormat="1" x14ac:dyDescent="0.3">
      <c r="A295" s="47"/>
      <c r="B295" s="97" t="s">
        <v>103</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0</v>
      </c>
      <c r="Y295" s="198">
        <f>X295/$X$298</f>
        <v>0</v>
      </c>
      <c r="Z295" s="98">
        <v>0</v>
      </c>
      <c r="AA295" s="198">
        <f t="shared" si="5"/>
        <v>0</v>
      </c>
      <c r="AB295" s="163"/>
      <c r="AC295" s="175"/>
      <c r="AD295" s="22"/>
    </row>
    <row r="296" spans="1:31" s="23" customFormat="1" x14ac:dyDescent="0.3">
      <c r="A296" s="47"/>
      <c r="B296" s="97" t="s">
        <v>104</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4"/>
        <v>0</v>
      </c>
      <c r="Z296" s="98">
        <v>0</v>
      </c>
      <c r="AA296" s="198">
        <f t="shared" si="5"/>
        <v>0</v>
      </c>
      <c r="AB296" s="163"/>
      <c r="AC296" s="175"/>
      <c r="AD296" s="22"/>
      <c r="AE296" s="115"/>
    </row>
    <row r="297" spans="1:31" s="23" customFormat="1" x14ac:dyDescent="0.3">
      <c r="A297" s="47"/>
      <c r="B297" s="97"/>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c r="Y297" s="198"/>
      <c r="Z297" s="98"/>
      <c r="AA297" s="198"/>
      <c r="AB297" s="163"/>
      <c r="AC297" s="175"/>
      <c r="AD297" s="22"/>
    </row>
    <row r="298" spans="1:31" s="23" customFormat="1" x14ac:dyDescent="0.3">
      <c r="A298" s="47"/>
      <c r="B298" s="40" t="s">
        <v>80</v>
      </c>
      <c r="C298" s="40"/>
      <c r="D298" s="204"/>
      <c r="E298" s="204"/>
      <c r="F298" s="204"/>
      <c r="G298" s="204"/>
      <c r="H298" s="204"/>
      <c r="I298" s="204"/>
      <c r="J298" s="204"/>
      <c r="K298" s="204"/>
      <c r="L298" s="204"/>
      <c r="M298" s="204"/>
      <c r="N298" s="204"/>
      <c r="O298" s="204"/>
      <c r="P298" s="204"/>
      <c r="Q298" s="204"/>
      <c r="R298" s="204"/>
      <c r="S298" s="204"/>
      <c r="T298" s="204"/>
      <c r="U298" s="204"/>
      <c r="V298" s="204"/>
      <c r="W298" s="204"/>
      <c r="X298" s="97">
        <f>SUM(X289:X297)</f>
        <v>3451</v>
      </c>
      <c r="Y298" s="198">
        <f>SUM(Y289:Y297)</f>
        <v>1</v>
      </c>
      <c r="Z298" s="98">
        <f>SUM(Z289:Z297)</f>
        <v>650371</v>
      </c>
      <c r="AA298" s="198">
        <f>SUM(AA289:AA297)</f>
        <v>1</v>
      </c>
      <c r="AB298" s="40"/>
      <c r="AC298" s="43"/>
      <c r="AD298" s="22"/>
    </row>
    <row r="299" spans="1:31" x14ac:dyDescent="0.3">
      <c r="A299" s="7"/>
      <c r="B299" s="99"/>
      <c r="C299" s="99"/>
      <c r="D299" s="205"/>
      <c r="E299" s="205"/>
      <c r="F299" s="205"/>
      <c r="G299" s="205"/>
      <c r="H299" s="205"/>
      <c r="I299" s="205"/>
      <c r="J299" s="205"/>
      <c r="K299" s="205"/>
      <c r="L299" s="205"/>
      <c r="M299" s="205"/>
      <c r="N299" s="205"/>
      <c r="O299" s="205"/>
      <c r="P299" s="205"/>
      <c r="Q299" s="205"/>
      <c r="R299" s="205"/>
      <c r="S299" s="205"/>
      <c r="T299" s="205"/>
      <c r="U299" s="205"/>
      <c r="V299" s="205"/>
      <c r="W299" s="205"/>
      <c r="X299" s="100"/>
      <c r="Y299" s="206"/>
      <c r="Z299" s="207"/>
      <c r="AA299" s="206"/>
      <c r="AB299" s="99"/>
      <c r="AC299" s="10"/>
      <c r="AD299" s="5"/>
    </row>
    <row r="300" spans="1:31" x14ac:dyDescent="0.3">
      <c r="A300" s="33"/>
      <c r="B300" s="102" t="s">
        <v>121</v>
      </c>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54" t="s">
        <v>69</v>
      </c>
      <c r="Y300" s="103" t="s">
        <v>70</v>
      </c>
      <c r="Z300" s="154" t="s">
        <v>75</v>
      </c>
      <c r="AA300" s="103" t="s">
        <v>70</v>
      </c>
      <c r="AB300" s="34"/>
      <c r="AC300" s="36"/>
      <c r="AD300" s="5"/>
    </row>
    <row r="301" spans="1:31" s="23" customFormat="1" x14ac:dyDescent="0.3">
      <c r="A301" s="18"/>
      <c r="B301" s="106" t="s">
        <v>59</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06">
        <v>0</v>
      </c>
      <c r="Y301" s="192">
        <v>0</v>
      </c>
      <c r="Z301" s="107">
        <v>0</v>
      </c>
      <c r="AA301" s="192">
        <v>0</v>
      </c>
      <c r="AB301" s="37"/>
      <c r="AC301" s="21"/>
      <c r="AD301" s="22"/>
    </row>
    <row r="302" spans="1:31" s="23" customFormat="1" x14ac:dyDescent="0.3">
      <c r="A302" s="47"/>
      <c r="B302" s="97" t="s">
        <v>60</v>
      </c>
      <c r="C302" s="194"/>
      <c r="D302" s="194"/>
      <c r="E302" s="194"/>
      <c r="F302" s="194"/>
      <c r="G302" s="194"/>
      <c r="H302" s="194"/>
      <c r="I302" s="194"/>
      <c r="J302" s="194"/>
      <c r="K302" s="194"/>
      <c r="L302" s="194"/>
      <c r="M302" s="194"/>
      <c r="N302" s="194"/>
      <c r="O302" s="194"/>
      <c r="P302" s="194"/>
      <c r="Q302" s="194"/>
      <c r="R302" s="194"/>
      <c r="S302" s="194"/>
      <c r="T302" s="194"/>
      <c r="U302" s="194"/>
      <c r="V302" s="194"/>
      <c r="W302" s="194"/>
      <c r="X302" s="97">
        <v>0</v>
      </c>
      <c r="Y302" s="198">
        <v>0</v>
      </c>
      <c r="Z302" s="98">
        <v>0</v>
      </c>
      <c r="AA302" s="198">
        <v>0</v>
      </c>
      <c r="AB302" s="40"/>
      <c r="AC302" s="43"/>
      <c r="AD302" s="22"/>
    </row>
    <row r="303" spans="1:31" s="23" customFormat="1" x14ac:dyDescent="0.3">
      <c r="A303" s="47"/>
      <c r="B303" s="97" t="s">
        <v>61</v>
      </c>
      <c r="C303" s="194"/>
      <c r="D303" s="194"/>
      <c r="E303" s="194"/>
      <c r="F303" s="194"/>
      <c r="G303" s="194"/>
      <c r="H303" s="194"/>
      <c r="I303" s="194"/>
      <c r="J303" s="194"/>
      <c r="K303" s="194"/>
      <c r="L303" s="194"/>
      <c r="M303" s="194"/>
      <c r="N303" s="194"/>
      <c r="O303" s="194"/>
      <c r="P303" s="194"/>
      <c r="Q303" s="194"/>
      <c r="R303" s="194"/>
      <c r="S303" s="194"/>
      <c r="T303" s="194"/>
      <c r="U303" s="194"/>
      <c r="V303" s="194"/>
      <c r="W303" s="194"/>
      <c r="X303" s="97">
        <v>2</v>
      </c>
      <c r="Y303" s="198">
        <f>X303/X310</f>
        <v>0.66666666666666663</v>
      </c>
      <c r="Z303" s="98">
        <v>617</v>
      </c>
      <c r="AA303" s="198">
        <f>Z303/Z310</f>
        <v>0.90868924889543445</v>
      </c>
      <c r="AB303" s="40"/>
      <c r="AC303" s="43"/>
      <c r="AD303" s="22"/>
    </row>
    <row r="304" spans="1:31" s="23" customFormat="1" x14ac:dyDescent="0.3">
      <c r="A304" s="47"/>
      <c r="B304" s="97" t="s">
        <v>100</v>
      </c>
      <c r="C304" s="194"/>
      <c r="D304" s="194"/>
      <c r="E304" s="194"/>
      <c r="F304" s="194"/>
      <c r="G304" s="194"/>
      <c r="H304" s="194"/>
      <c r="I304" s="194"/>
      <c r="J304" s="194"/>
      <c r="K304" s="194"/>
      <c r="L304" s="194"/>
      <c r="M304" s="194"/>
      <c r="N304" s="194"/>
      <c r="O304" s="194"/>
      <c r="P304" s="194"/>
      <c r="Q304" s="194"/>
      <c r="R304" s="194"/>
      <c r="S304" s="194"/>
      <c r="T304" s="194"/>
      <c r="U304" s="194"/>
      <c r="V304" s="194"/>
      <c r="W304" s="194"/>
      <c r="X304" s="97">
        <v>1</v>
      </c>
      <c r="Y304" s="198">
        <f>X304/X310</f>
        <v>0.33333333333333331</v>
      </c>
      <c r="Z304" s="98">
        <v>62</v>
      </c>
      <c r="AA304" s="198">
        <f>Z304/Z310</f>
        <v>9.1310751104565532E-2</v>
      </c>
      <c r="AB304" s="40"/>
      <c r="AC304" s="43"/>
      <c r="AD304" s="22"/>
    </row>
    <row r="305" spans="1:30" s="23" customFormat="1" x14ac:dyDescent="0.3">
      <c r="A305" s="47"/>
      <c r="B305" s="97" t="s">
        <v>101</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102</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103</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104</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c r="Y309" s="198"/>
      <c r="Z309" s="98"/>
      <c r="AA309" s="198"/>
      <c r="AB309" s="40"/>
      <c r="AC309" s="43"/>
      <c r="AD309" s="22"/>
    </row>
    <row r="310" spans="1:30" s="23" customFormat="1" x14ac:dyDescent="0.3">
      <c r="A310" s="47"/>
      <c r="B310" s="40" t="s">
        <v>80</v>
      </c>
      <c r="C310" s="40"/>
      <c r="D310" s="204"/>
      <c r="E310" s="204"/>
      <c r="F310" s="204"/>
      <c r="G310" s="204"/>
      <c r="H310" s="204"/>
      <c r="I310" s="204"/>
      <c r="J310" s="204"/>
      <c r="K310" s="204"/>
      <c r="L310" s="204"/>
      <c r="M310" s="204"/>
      <c r="N310" s="204"/>
      <c r="O310" s="204"/>
      <c r="P310" s="204"/>
      <c r="Q310" s="204"/>
      <c r="R310" s="204"/>
      <c r="S310" s="204"/>
      <c r="T310" s="204"/>
      <c r="U310" s="204"/>
      <c r="V310" s="204"/>
      <c r="W310" s="204"/>
      <c r="X310" s="97">
        <f>SUM(X301:X309)</f>
        <v>3</v>
      </c>
      <c r="Y310" s="198">
        <f>SUM(Y301:Y309)</f>
        <v>1</v>
      </c>
      <c r="Z310" s="98">
        <f>SUM(Z301:Z309)</f>
        <v>679</v>
      </c>
      <c r="AA310" s="198">
        <f>SUM(AA301:AA309)</f>
        <v>1</v>
      </c>
      <c r="AB310" s="40"/>
      <c r="AC310" s="43"/>
      <c r="AD310" s="22"/>
    </row>
    <row r="311" spans="1:30" s="23" customFormat="1" x14ac:dyDescent="0.3">
      <c r="A311" s="47"/>
      <c r="B311" s="40"/>
      <c r="C311" s="40"/>
      <c r="D311" s="204"/>
      <c r="E311" s="204"/>
      <c r="F311" s="204"/>
      <c r="G311" s="204"/>
      <c r="H311" s="204"/>
      <c r="I311" s="204"/>
      <c r="J311" s="204"/>
      <c r="K311" s="204"/>
      <c r="L311" s="204"/>
      <c r="M311" s="204"/>
      <c r="N311" s="204"/>
      <c r="O311" s="204"/>
      <c r="P311" s="204"/>
      <c r="Q311" s="204"/>
      <c r="R311" s="204"/>
      <c r="S311" s="204"/>
      <c r="T311" s="204"/>
      <c r="U311" s="204"/>
      <c r="V311" s="204"/>
      <c r="W311" s="204"/>
      <c r="X311" s="97"/>
      <c r="Y311" s="198"/>
      <c r="Z311" s="98"/>
      <c r="AA311" s="198"/>
      <c r="AB311" s="40"/>
      <c r="AC311" s="43"/>
      <c r="AD311" s="22"/>
    </row>
    <row r="312" spans="1:30" s="23" customFormat="1" x14ac:dyDescent="0.3">
      <c r="A312" s="242"/>
      <c r="B312" s="243" t="s">
        <v>299</v>
      </c>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62" t="s">
        <v>69</v>
      </c>
      <c r="Y312" s="263" t="s">
        <v>70</v>
      </c>
      <c r="Z312" s="262" t="s">
        <v>75</v>
      </c>
      <c r="AA312" s="263" t="s">
        <v>70</v>
      </c>
      <c r="AB312" s="243"/>
      <c r="AC312" s="243"/>
      <c r="AD312" s="22"/>
    </row>
    <row r="313" spans="1:30" s="23" customFormat="1" x14ac:dyDescent="0.3">
      <c r="A313" s="272"/>
      <c r="B313" s="273" t="s">
        <v>295</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275">
        <v>1</v>
      </c>
      <c r="Y313" s="276">
        <f>X313/X320</f>
        <v>0.5</v>
      </c>
      <c r="Z313" s="277">
        <v>617</v>
      </c>
      <c r="AA313" s="276">
        <f>Z313/Z320</f>
        <v>0.90868924889543445</v>
      </c>
      <c r="AB313" s="40"/>
      <c r="AC313" s="43"/>
      <c r="AD313" s="22"/>
    </row>
    <row r="314" spans="1:30" s="23" customFormat="1" x14ac:dyDescent="0.3">
      <c r="A314" s="272"/>
      <c r="B314" s="273" t="s">
        <v>296</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275">
        <v>0</v>
      </c>
      <c r="Y314" s="276">
        <v>0</v>
      </c>
      <c r="Z314" s="277">
        <v>0</v>
      </c>
      <c r="AA314" s="276">
        <v>0</v>
      </c>
      <c r="AB314" s="40"/>
      <c r="AC314" s="43"/>
      <c r="AD314" s="22"/>
    </row>
    <row r="315" spans="1:30" s="23" customFormat="1" x14ac:dyDescent="0.3">
      <c r="A315" s="272"/>
      <c r="B315" s="273" t="s">
        <v>297</v>
      </c>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275">
        <v>0</v>
      </c>
      <c r="Y315" s="276">
        <v>0</v>
      </c>
      <c r="Z315" s="277">
        <v>0</v>
      </c>
      <c r="AA315" s="276">
        <v>0</v>
      </c>
      <c r="AB315" s="40"/>
      <c r="AC315" s="43"/>
      <c r="AD315" s="22"/>
    </row>
    <row r="316" spans="1:30" s="23" customFormat="1" x14ac:dyDescent="0.3">
      <c r="A316" s="272"/>
      <c r="B316" s="273" t="s">
        <v>298</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5">
        <v>1</v>
      </c>
      <c r="Y316" s="276">
        <f>X316/X320</f>
        <v>0.5</v>
      </c>
      <c r="Z316" s="277">
        <v>62</v>
      </c>
      <c r="AA316" s="276">
        <f>Z316/Z320</f>
        <v>9.1310751104565532E-2</v>
      </c>
      <c r="AB316" s="40"/>
      <c r="AC316" s="43"/>
      <c r="AD316" s="22"/>
    </row>
    <row r="317" spans="1:30" s="23" customFormat="1" x14ac:dyDescent="0.3">
      <c r="A317" s="272"/>
      <c r="B317" s="273" t="s">
        <v>368</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5">
        <v>0</v>
      </c>
      <c r="Y317" s="276">
        <v>0</v>
      </c>
      <c r="Z317" s="277">
        <v>0</v>
      </c>
      <c r="AA317" s="276">
        <v>0</v>
      </c>
      <c r="AB317" s="40"/>
      <c r="AC317" s="43"/>
      <c r="AD317" s="22"/>
    </row>
    <row r="318" spans="1:30" s="23" customFormat="1" x14ac:dyDescent="0.3">
      <c r="A318" s="272"/>
      <c r="B318" s="274" t="s">
        <v>300</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5">
        <v>0</v>
      </c>
      <c r="Y318" s="276">
        <v>0</v>
      </c>
      <c r="Z318" s="277">
        <v>0</v>
      </c>
      <c r="AA318" s="276">
        <v>0</v>
      </c>
      <c r="AB318" s="40"/>
      <c r="AC318" s="43"/>
      <c r="AD318" s="22"/>
    </row>
    <row r="319" spans="1:30" s="23" customFormat="1" x14ac:dyDescent="0.3">
      <c r="A319" s="272"/>
      <c r="B319" s="273"/>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5"/>
      <c r="Y319" s="276"/>
      <c r="Z319" s="277"/>
      <c r="AA319" s="276"/>
      <c r="AB319" s="40"/>
      <c r="AC319" s="43"/>
      <c r="AD319" s="22"/>
    </row>
    <row r="320" spans="1:30" s="23" customFormat="1" x14ac:dyDescent="0.3">
      <c r="A320" s="272"/>
      <c r="B320" s="273" t="s">
        <v>80</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5">
        <f>SUM(X313:X319)</f>
        <v>2</v>
      </c>
      <c r="Y320" s="276">
        <f>SUM(Y313:Y318)</f>
        <v>1</v>
      </c>
      <c r="Z320" s="277">
        <f>SUM(Z313:Z318)</f>
        <v>679</v>
      </c>
      <c r="AA320" s="276">
        <f>SUM(AA313:AA319)</f>
        <v>1</v>
      </c>
      <c r="AB320" s="40"/>
      <c r="AC320" s="43"/>
      <c r="AD320" s="22"/>
    </row>
    <row r="321" spans="1:30" x14ac:dyDescent="0.3">
      <c r="A321" s="7"/>
      <c r="B321" s="99"/>
      <c r="C321" s="99"/>
      <c r="D321" s="205"/>
      <c r="E321" s="205"/>
      <c r="F321" s="205"/>
      <c r="G321" s="205"/>
      <c r="H321" s="205"/>
      <c r="I321" s="205"/>
      <c r="J321" s="205"/>
      <c r="K321" s="205"/>
      <c r="L321" s="205"/>
      <c r="M321" s="205"/>
      <c r="N321" s="205"/>
      <c r="O321" s="205"/>
      <c r="P321" s="205"/>
      <c r="Q321" s="205"/>
      <c r="R321" s="205"/>
      <c r="S321" s="205"/>
      <c r="T321" s="205"/>
      <c r="U321" s="205"/>
      <c r="V321" s="205"/>
      <c r="W321" s="205"/>
      <c r="X321" s="100"/>
      <c r="Y321" s="206"/>
      <c r="Z321" s="207"/>
      <c r="AA321" s="206"/>
      <c r="AB321" s="99"/>
      <c r="AC321" s="10"/>
      <c r="AD321" s="5"/>
    </row>
    <row r="322" spans="1:30" x14ac:dyDescent="0.3">
      <c r="A322" s="33"/>
      <c r="B322" s="102" t="s">
        <v>106</v>
      </c>
      <c r="C322" s="34"/>
      <c r="D322" s="208"/>
      <c r="E322" s="208"/>
      <c r="F322" s="208"/>
      <c r="G322" s="208"/>
      <c r="H322" s="208"/>
      <c r="I322" s="208"/>
      <c r="J322" s="208"/>
      <c r="K322" s="208"/>
      <c r="L322" s="208"/>
      <c r="M322" s="208"/>
      <c r="N322" s="208"/>
      <c r="O322" s="208"/>
      <c r="P322" s="208"/>
      <c r="Q322" s="208"/>
      <c r="R322" s="208"/>
      <c r="S322" s="208"/>
      <c r="T322" s="208"/>
      <c r="U322" s="208"/>
      <c r="V322" s="208"/>
      <c r="W322" s="208"/>
      <c r="X322" s="154" t="s">
        <v>69</v>
      </c>
      <c r="Y322" s="103" t="s">
        <v>70</v>
      </c>
      <c r="Z322" s="154" t="s">
        <v>75</v>
      </c>
      <c r="AA322" s="103" t="s">
        <v>70</v>
      </c>
      <c r="AB322" s="34"/>
      <c r="AC322" s="36"/>
      <c r="AD322" s="5"/>
    </row>
    <row r="323" spans="1:30" s="23" customFormat="1" x14ac:dyDescent="0.3">
      <c r="A323" s="18"/>
      <c r="B323" s="106" t="s">
        <v>59</v>
      </c>
      <c r="C323" s="37"/>
      <c r="D323" s="209"/>
      <c r="E323" s="209"/>
      <c r="F323" s="209"/>
      <c r="G323" s="209"/>
      <c r="H323" s="209"/>
      <c r="I323" s="209"/>
      <c r="J323" s="209"/>
      <c r="K323" s="209"/>
      <c r="L323" s="209"/>
      <c r="M323" s="209"/>
      <c r="N323" s="209"/>
      <c r="O323" s="209"/>
      <c r="P323" s="209"/>
      <c r="Q323" s="209"/>
      <c r="R323" s="209"/>
      <c r="S323" s="209"/>
      <c r="T323" s="209"/>
      <c r="U323" s="209"/>
      <c r="V323" s="209"/>
      <c r="W323" s="209"/>
      <c r="X323" s="106">
        <v>0</v>
      </c>
      <c r="Y323" s="192">
        <v>0</v>
      </c>
      <c r="Z323" s="107">
        <v>0</v>
      </c>
      <c r="AA323" s="192">
        <v>0</v>
      </c>
      <c r="AB323" s="37"/>
      <c r="AC323" s="21"/>
      <c r="AD323" s="22"/>
    </row>
    <row r="324" spans="1:30" s="23" customFormat="1" x14ac:dyDescent="0.3">
      <c r="A324" s="47"/>
      <c r="B324" s="97" t="s">
        <v>60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97">
        <v>0</v>
      </c>
      <c r="Y324" s="198">
        <v>0</v>
      </c>
      <c r="Z324" s="98">
        <v>0</v>
      </c>
      <c r="AA324" s="198">
        <v>0</v>
      </c>
      <c r="AB324" s="40"/>
      <c r="AC324" s="43"/>
      <c r="AD324" s="22"/>
    </row>
    <row r="325" spans="1:30" s="23" customFormat="1" x14ac:dyDescent="0.3">
      <c r="A325" s="47"/>
      <c r="B325" s="97" t="s">
        <v>61</v>
      </c>
      <c r="C325" s="40"/>
      <c r="D325" s="204"/>
      <c r="E325" s="204"/>
      <c r="F325" s="204"/>
      <c r="G325" s="204"/>
      <c r="H325" s="204"/>
      <c r="I325" s="204"/>
      <c r="J325" s="204"/>
      <c r="K325" s="204"/>
      <c r="L325" s="204"/>
      <c r="M325" s="204"/>
      <c r="N325" s="204"/>
      <c r="O325" s="204"/>
      <c r="P325" s="204"/>
      <c r="Q325" s="204"/>
      <c r="R325" s="204"/>
      <c r="S325" s="204"/>
      <c r="T325" s="204"/>
      <c r="U325" s="204"/>
      <c r="V325" s="204"/>
      <c r="W325" s="204"/>
      <c r="X325" s="97">
        <v>0</v>
      </c>
      <c r="Y325" s="198">
        <v>0</v>
      </c>
      <c r="Z325" s="98">
        <v>0</v>
      </c>
      <c r="AA325" s="198">
        <v>0</v>
      </c>
      <c r="AB325" s="40"/>
      <c r="AC325" s="43"/>
      <c r="AD325" s="22"/>
    </row>
    <row r="326" spans="1:30" s="23" customFormat="1" x14ac:dyDescent="0.3">
      <c r="A326" s="47"/>
      <c r="B326" s="97" t="s">
        <v>100</v>
      </c>
      <c r="C326" s="40"/>
      <c r="D326" s="204"/>
      <c r="E326" s="204"/>
      <c r="F326" s="204"/>
      <c r="G326" s="204"/>
      <c r="H326" s="204"/>
      <c r="I326" s="204"/>
      <c r="J326" s="204"/>
      <c r="K326" s="204"/>
      <c r="L326" s="204"/>
      <c r="M326" s="204"/>
      <c r="N326" s="204"/>
      <c r="O326" s="204"/>
      <c r="P326" s="204"/>
      <c r="Q326" s="204"/>
      <c r="R326" s="204"/>
      <c r="S326" s="204"/>
      <c r="T326" s="204"/>
      <c r="U326" s="204"/>
      <c r="V326" s="204"/>
      <c r="W326" s="204"/>
      <c r="X326" s="97">
        <v>0</v>
      </c>
      <c r="Y326" s="198">
        <v>0</v>
      </c>
      <c r="Z326" s="98">
        <v>0</v>
      </c>
      <c r="AA326" s="198">
        <v>0</v>
      </c>
      <c r="AB326" s="40"/>
      <c r="AC326" s="43"/>
      <c r="AD326" s="22"/>
    </row>
    <row r="327" spans="1:30" s="23" customFormat="1" x14ac:dyDescent="0.3">
      <c r="A327" s="47"/>
      <c r="B327" s="97" t="s">
        <v>101</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102</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103</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104</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c r="Y331" s="198"/>
      <c r="Z331" s="98"/>
      <c r="AA331" s="198"/>
      <c r="AB331" s="40"/>
      <c r="AC331" s="43"/>
      <c r="AD331" s="22"/>
    </row>
    <row r="332" spans="1:30" s="23" customFormat="1" x14ac:dyDescent="0.3">
      <c r="A332" s="47"/>
      <c r="B332" s="40" t="s">
        <v>80</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f>SUM(X323:X330)</f>
        <v>0</v>
      </c>
      <c r="Y332" s="198">
        <f>SUM(Y323:Y330)</f>
        <v>0</v>
      </c>
      <c r="Z332" s="98">
        <f>SUM(Z323:Z330)</f>
        <v>0</v>
      </c>
      <c r="AA332" s="198">
        <f>SUM(AA323:AA330)</f>
        <v>0</v>
      </c>
      <c r="AB332" s="40"/>
      <c r="AC332" s="43"/>
      <c r="AD332" s="22"/>
    </row>
    <row r="333" spans="1:30" s="23" customFormat="1" x14ac:dyDescent="0.3">
      <c r="A333" s="47"/>
      <c r="B333" s="40"/>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c r="Y333" s="198"/>
      <c r="Z333" s="98"/>
      <c r="AA333" s="198"/>
      <c r="AB333" s="40"/>
      <c r="AC333" s="43"/>
      <c r="AD333" s="22"/>
    </row>
    <row r="334" spans="1:30" s="23" customFormat="1" x14ac:dyDescent="0.3">
      <c r="A334" s="47"/>
      <c r="B334" s="44" t="s">
        <v>139</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210">
        <f>X332+X310+X298</f>
        <v>3454</v>
      </c>
      <c r="Y334" s="198"/>
      <c r="Z334" s="211">
        <f>+Z332+Z310+Z298</f>
        <v>651050</v>
      </c>
      <c r="AA334" s="198"/>
      <c r="AB334" s="40"/>
      <c r="AC334" s="43"/>
      <c r="AD334" s="22"/>
    </row>
    <row r="335" spans="1:30" s="23" customFormat="1" x14ac:dyDescent="0.3">
      <c r="A335" s="47"/>
      <c r="B335" s="44" t="s">
        <v>280</v>
      </c>
      <c r="C335" s="44"/>
      <c r="D335" s="212"/>
      <c r="E335" s="212"/>
      <c r="F335" s="212"/>
      <c r="G335" s="212"/>
      <c r="H335" s="212"/>
      <c r="I335" s="212"/>
      <c r="J335" s="212"/>
      <c r="K335" s="212"/>
      <c r="L335" s="212"/>
      <c r="M335" s="212"/>
      <c r="N335" s="212"/>
      <c r="O335" s="212"/>
      <c r="P335" s="212"/>
      <c r="Q335" s="212"/>
      <c r="R335" s="212"/>
      <c r="S335" s="212"/>
      <c r="T335" s="212"/>
      <c r="U335" s="212"/>
      <c r="V335" s="212"/>
      <c r="W335" s="212"/>
      <c r="X335" s="210"/>
      <c r="Y335" s="213"/>
      <c r="Z335" s="211">
        <f>+AB64+AB63</f>
        <v>0</v>
      </c>
      <c r="AA335" s="198"/>
      <c r="AB335" s="40"/>
      <c r="AC335" s="43"/>
      <c r="AD335" s="22"/>
    </row>
    <row r="336" spans="1:30" s="23" customFormat="1" x14ac:dyDescent="0.3">
      <c r="A336" s="47"/>
      <c r="B336" s="44" t="s">
        <v>107</v>
      </c>
      <c r="C336" s="44"/>
      <c r="D336" s="212"/>
      <c r="E336" s="212"/>
      <c r="F336" s="212"/>
      <c r="G336" s="212"/>
      <c r="H336" s="212"/>
      <c r="I336" s="212"/>
      <c r="J336" s="212"/>
      <c r="K336" s="212"/>
      <c r="L336" s="212"/>
      <c r="M336" s="212"/>
      <c r="N336" s="212"/>
      <c r="O336" s="212"/>
      <c r="P336" s="212"/>
      <c r="Q336" s="212"/>
      <c r="R336" s="212"/>
      <c r="S336" s="212"/>
      <c r="T336" s="212"/>
      <c r="U336" s="212"/>
      <c r="V336" s="212"/>
      <c r="W336" s="212"/>
      <c r="X336" s="210"/>
      <c r="Y336" s="213"/>
      <c r="Z336" s="211">
        <f>+Z334+Z335</f>
        <v>651050</v>
      </c>
      <c r="AA336" s="198"/>
      <c r="AB336" s="40"/>
      <c r="AC336" s="43"/>
      <c r="AD336" s="22"/>
    </row>
    <row r="337" spans="1:30" s="23" customFormat="1" x14ac:dyDescent="0.3">
      <c r="A337" s="47"/>
      <c r="B337" s="44" t="s">
        <v>245</v>
      </c>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210"/>
      <c r="Y337" s="198"/>
      <c r="Z337" s="211">
        <f>+AB66</f>
        <v>651050</v>
      </c>
      <c r="AA337" s="198"/>
      <c r="AB337" s="40"/>
      <c r="AC337" s="43"/>
      <c r="AD337" s="22"/>
    </row>
    <row r="338" spans="1:30" s="23" customFormat="1" x14ac:dyDescent="0.3">
      <c r="A338" s="47"/>
      <c r="B338" s="44"/>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c r="Y338" s="198"/>
      <c r="Z338" s="211"/>
      <c r="AA338" s="198"/>
      <c r="AB338" s="40"/>
      <c r="AC338" s="43"/>
      <c r="AD338" s="22"/>
    </row>
    <row r="339" spans="1:30" s="23" customFormat="1" x14ac:dyDescent="0.3">
      <c r="A339" s="47"/>
      <c r="B339" s="44" t="s">
        <v>327</v>
      </c>
      <c r="C339" s="40"/>
      <c r="D339" s="204"/>
      <c r="E339" s="204"/>
      <c r="F339" s="204"/>
      <c r="G339" s="204"/>
      <c r="H339" s="204"/>
      <c r="I339" s="204"/>
      <c r="J339" s="204"/>
      <c r="K339" s="204"/>
      <c r="L339" s="204"/>
      <c r="M339" s="204"/>
      <c r="N339" s="204"/>
      <c r="O339" s="204"/>
      <c r="P339" s="204"/>
      <c r="Q339" s="204"/>
      <c r="R339" s="204"/>
      <c r="S339" s="204"/>
      <c r="T339" s="204"/>
      <c r="U339" s="204"/>
      <c r="V339" s="204"/>
      <c r="W339" s="204"/>
      <c r="X339" s="210"/>
      <c r="Y339" s="198"/>
      <c r="Z339" s="236">
        <f>(F31+H31+J31+L31+N31)/AB31</f>
        <v>1</v>
      </c>
      <c r="AA339" s="198"/>
      <c r="AB339" s="40"/>
      <c r="AC339" s="43"/>
      <c r="AD339" s="22"/>
    </row>
    <row r="340" spans="1:30" s="23" customFormat="1" x14ac:dyDescent="0.3">
      <c r="A340" s="18"/>
      <c r="B340" s="20"/>
      <c r="C340" s="20"/>
      <c r="D340" s="214"/>
      <c r="E340" s="214"/>
      <c r="F340" s="214"/>
      <c r="G340" s="214"/>
      <c r="H340" s="214"/>
      <c r="I340" s="214"/>
      <c r="J340" s="214"/>
      <c r="K340" s="214"/>
      <c r="L340" s="214"/>
      <c r="M340" s="214"/>
      <c r="N340" s="214"/>
      <c r="O340" s="214"/>
      <c r="P340" s="214"/>
      <c r="Q340" s="214"/>
      <c r="R340" s="214"/>
      <c r="S340" s="214"/>
      <c r="T340" s="214"/>
      <c r="U340" s="214"/>
      <c r="V340" s="214"/>
      <c r="W340" s="214"/>
      <c r="X340" s="214"/>
      <c r="Y340" s="214"/>
      <c r="Z340" s="215"/>
      <c r="AA340" s="214"/>
      <c r="AB340" s="20"/>
      <c r="AC340" s="21"/>
      <c r="AD340" s="22"/>
    </row>
    <row r="341" spans="1:30" s="23" customFormat="1" x14ac:dyDescent="0.3">
      <c r="A341" s="18"/>
      <c r="B341" s="19" t="s">
        <v>62</v>
      </c>
      <c r="C341" s="20"/>
      <c r="D341" s="216" t="s">
        <v>66</v>
      </c>
      <c r="E341" s="19"/>
      <c r="F341" s="19" t="s">
        <v>67</v>
      </c>
      <c r="G341" s="20"/>
      <c r="H341" s="19"/>
      <c r="I341" s="20"/>
      <c r="J341" s="20"/>
      <c r="K341" s="20"/>
      <c r="L341" s="20"/>
      <c r="M341" s="20"/>
      <c r="N341" s="20"/>
      <c r="O341" s="20"/>
      <c r="P341" s="20"/>
      <c r="Q341" s="20"/>
      <c r="R341" s="20"/>
      <c r="S341" s="20"/>
      <c r="T341" s="20"/>
      <c r="U341" s="20"/>
      <c r="V341" s="20"/>
      <c r="W341" s="20"/>
      <c r="X341" s="20"/>
      <c r="Y341" s="20"/>
      <c r="Z341" s="20"/>
      <c r="AA341" s="20"/>
      <c r="AB341" s="20"/>
      <c r="AC341" s="21"/>
      <c r="AD341" s="22"/>
    </row>
    <row r="342" spans="1:30" s="23" customFormat="1" x14ac:dyDescent="0.3">
      <c r="A342" s="18"/>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1"/>
      <c r="AD342" s="22"/>
    </row>
    <row r="343" spans="1:30" s="23" customFormat="1" x14ac:dyDescent="0.3">
      <c r="A343" s="18"/>
      <c r="B343" s="19" t="s">
        <v>152</v>
      </c>
      <c r="C343" s="19"/>
      <c r="D343" s="217" t="s">
        <v>122</v>
      </c>
      <c r="E343" s="19"/>
      <c r="F343" s="19" t="s">
        <v>169</v>
      </c>
      <c r="G343" s="19"/>
      <c r="H343" s="19"/>
      <c r="I343" s="20"/>
      <c r="J343" s="20"/>
      <c r="K343" s="20"/>
      <c r="L343" s="20"/>
      <c r="M343" s="20"/>
      <c r="N343" s="20"/>
      <c r="O343" s="20"/>
      <c r="P343" s="20"/>
      <c r="Q343" s="20"/>
      <c r="R343" s="20"/>
      <c r="S343" s="20"/>
      <c r="T343" s="20"/>
      <c r="U343" s="20"/>
      <c r="V343" s="20"/>
      <c r="W343" s="20"/>
      <c r="X343" s="20"/>
      <c r="Y343" s="20"/>
      <c r="Z343" s="20"/>
      <c r="AA343" s="20"/>
      <c r="AB343" s="20"/>
      <c r="AC343" s="21"/>
      <c r="AD343" s="22"/>
    </row>
    <row r="344" spans="1:30" s="23" customFormat="1" x14ac:dyDescent="0.3">
      <c r="A344" s="18"/>
      <c r="B344" s="19" t="s">
        <v>153</v>
      </c>
      <c r="C344" s="19"/>
      <c r="D344" s="217" t="s">
        <v>98</v>
      </c>
      <c r="E344" s="19"/>
      <c r="F344" s="19" t="s">
        <v>170</v>
      </c>
      <c r="G344" s="19"/>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s="23" customFormat="1" x14ac:dyDescent="0.3">
      <c r="A345" s="18"/>
      <c r="B345" s="19"/>
      <c r="C345" s="19"/>
      <c r="D345" s="217"/>
      <c r="E345" s="19"/>
      <c r="F345" s="19"/>
      <c r="G345" s="19"/>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ht="18" x14ac:dyDescent="0.35">
      <c r="A346" s="218"/>
      <c r="B346" s="259" t="s">
        <v>109</v>
      </c>
      <c r="C346" s="219"/>
      <c r="D346" s="220"/>
      <c r="E346" s="220"/>
      <c r="F346" s="220"/>
      <c r="G346" s="220"/>
      <c r="H346" s="220"/>
      <c r="I346" s="220"/>
      <c r="J346" s="220"/>
      <c r="K346" s="220"/>
      <c r="L346" s="220"/>
      <c r="M346" s="220"/>
      <c r="N346" s="220"/>
      <c r="O346" s="220"/>
      <c r="P346" s="260" t="s">
        <v>168</v>
      </c>
      <c r="Q346" s="220"/>
      <c r="R346" s="220"/>
      <c r="S346" s="220"/>
      <c r="T346" s="220"/>
      <c r="U346" s="220"/>
      <c r="V346" s="220"/>
      <c r="W346" s="220"/>
      <c r="X346" s="220"/>
      <c r="Y346" s="220"/>
      <c r="Z346" s="220"/>
      <c r="AA346" s="220"/>
      <c r="AB346" s="220"/>
      <c r="AC346" s="221"/>
      <c r="AD346" s="5"/>
    </row>
    <row r="347" spans="1:30" ht="18" x14ac:dyDescent="0.35">
      <c r="A347" s="218"/>
      <c r="B347" s="259"/>
      <c r="C347" s="219"/>
      <c r="D347" s="220"/>
      <c r="E347" s="220"/>
      <c r="F347" s="220"/>
      <c r="G347" s="220"/>
      <c r="H347" s="220"/>
      <c r="I347" s="220"/>
      <c r="J347" s="220"/>
      <c r="K347" s="220"/>
      <c r="L347" s="220"/>
      <c r="M347" s="220"/>
      <c r="N347" s="220"/>
      <c r="O347" s="220"/>
      <c r="P347" s="260"/>
      <c r="Q347" s="220"/>
      <c r="R347" s="220"/>
      <c r="S347" s="220"/>
      <c r="T347" s="220"/>
      <c r="U347" s="220"/>
      <c r="V347" s="220"/>
      <c r="W347" s="220"/>
      <c r="X347" s="220"/>
      <c r="Y347" s="220"/>
      <c r="Z347" s="220"/>
      <c r="AA347" s="220"/>
      <c r="AB347" s="220"/>
      <c r="AC347" s="221"/>
      <c r="AD347" s="5"/>
    </row>
    <row r="348" spans="1:30" ht="18.600000000000001" thickBot="1" x14ac:dyDescent="0.4">
      <c r="A348" s="218"/>
      <c r="B348" s="222" t="str">
        <f>B234</f>
        <v>PM27 INVESTOR REPORT QUARTER ENDING MARCH 2023</v>
      </c>
      <c r="C348" s="219"/>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c r="AA348" s="220"/>
      <c r="AB348" s="220"/>
      <c r="AC348" s="223"/>
      <c r="AD348" s="5"/>
    </row>
    <row r="349" spans="1:30" x14ac:dyDescent="0.3">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c r="Y349" s="224"/>
      <c r="Z349" s="224"/>
      <c r="AA349" s="224"/>
      <c r="AB349" s="224"/>
      <c r="AC349" s="224"/>
    </row>
    <row r="350" spans="1:30" x14ac:dyDescent="0.3">
      <c r="B350" s="278" t="s">
        <v>351</v>
      </c>
    </row>
    <row r="351" spans="1:30" x14ac:dyDescent="0.3">
      <c r="B351" s="270" t="s">
        <v>352</v>
      </c>
    </row>
    <row r="352" spans="1:30" x14ac:dyDescent="0.3">
      <c r="B352" s="298" t="s">
        <v>353</v>
      </c>
    </row>
    <row r="354" spans="2:2" x14ac:dyDescent="0.3">
      <c r="B354" s="270" t="s">
        <v>365</v>
      </c>
    </row>
    <row r="355" spans="2:2" x14ac:dyDescent="0.3">
      <c r="B355" s="270" t="s">
        <v>364</v>
      </c>
    </row>
  </sheetData>
  <hyperlinks>
    <hyperlink ref="K9" r:id="rId1" display="http://www.paragon-group.co.uk" xr:uid="{D0F8B5DD-787D-4F55-A5BE-0A398C358FAA}"/>
    <hyperlink ref="P346" r:id="rId2" xr:uid="{C60D2B3C-D1C8-4FB2-A1E0-3302F302A1E8}"/>
    <hyperlink ref="P274" r:id="rId3" xr:uid="{80B770DB-BA3A-4ABC-867D-289D77D340A3}"/>
    <hyperlink ref="B352" r:id="rId4" display="https://investorreporting.paragonbankinggroup.co.uk/bondinvestor_viewer/resources/bondinvestor/pdf/investornews/2021/libor-mortgages-transition-july-19" xr:uid="{4A10C21A-5B7F-48D1-AF51-B7317B562AB0}"/>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1" max="18" man="1"/>
    <brk id="234" max="18" man="1"/>
  </rowBreaks>
  <colBreaks count="1" manualBreakCount="1">
    <brk id="29" max="299" man="1"/>
  </colBreaks>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2579-66F7-47DD-8B83-FDDD37F26070}">
  <sheetPr>
    <tabColor rgb="FF89CB31"/>
  </sheetPr>
  <dimension ref="A1:JB355"/>
  <sheetViews>
    <sheetView showGridLines="0" showOutlineSymbols="0" zoomScale="70" zoomScaleNormal="70" workbookViewId="0"/>
  </sheetViews>
  <sheetFormatPr defaultColWidth="9.81640625" defaultRowHeight="15.6" x14ac:dyDescent="0.3"/>
  <cols>
    <col min="1" max="1" width="4" style="6" customWidth="1"/>
    <col min="2" max="2" width="71.08984375" style="6" customWidth="1"/>
    <col min="3" max="3" width="2.08984375" style="6" customWidth="1"/>
    <col min="4" max="4" width="16.08984375" style="6" customWidth="1"/>
    <col min="5" max="5" width="2.81640625" style="6" customWidth="1"/>
    <col min="6" max="6" width="16.08984375" style="6" customWidth="1"/>
    <col min="7" max="7" width="2.08984375" style="6" customWidth="1"/>
    <col min="8" max="8" width="17.81640625" style="6" customWidth="1"/>
    <col min="9" max="9" width="2.08984375" style="6" customWidth="1"/>
    <col min="10" max="10" width="14.8164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302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168</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301</v>
      </c>
      <c r="AC14" s="21"/>
      <c r="AD14" s="22"/>
    </row>
    <row r="15" spans="1:30" s="23" customFormat="1" x14ac:dyDescent="0.3">
      <c r="A15" s="18"/>
      <c r="B15" s="19" t="s">
        <v>278</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323</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3.6400000000000002E-2</v>
      </c>
      <c r="Z16" s="29" t="s">
        <v>264</v>
      </c>
      <c r="AA16" s="29">
        <v>0.96360000000000001</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2.9509218266575928E-2</v>
      </c>
      <c r="Z17" s="29" t="s">
        <v>264</v>
      </c>
      <c r="AA17" s="29">
        <v>0.97049078173342407</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6">
        <v>43951</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45128</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304</v>
      </c>
      <c r="G23" s="35"/>
      <c r="H23" s="35" t="s">
        <v>140</v>
      </c>
      <c r="I23" s="35"/>
      <c r="J23" s="35" t="s">
        <v>141</v>
      </c>
      <c r="K23" s="35"/>
      <c r="L23" s="35" t="s">
        <v>171</v>
      </c>
      <c r="M23" s="35"/>
      <c r="N23" s="35" t="s">
        <v>161</v>
      </c>
      <c r="O23" s="35"/>
      <c r="P23" s="35" t="s">
        <v>181</v>
      </c>
      <c r="Q23" s="35"/>
      <c r="R23" s="35" t="s">
        <v>182</v>
      </c>
      <c r="S23" s="35"/>
      <c r="T23" s="35" t="s">
        <v>183</v>
      </c>
      <c r="U23" s="35"/>
      <c r="V23" s="35" t="s">
        <v>184</v>
      </c>
      <c r="W23" s="35"/>
      <c r="X23" s="35" t="s">
        <v>185</v>
      </c>
      <c r="Y23" s="35" t="s">
        <v>186</v>
      </c>
      <c r="Z23" s="35"/>
      <c r="AA23" s="34"/>
      <c r="AB23" s="34"/>
      <c r="AC23" s="36"/>
      <c r="AD23" s="5"/>
    </row>
    <row r="24" spans="1:33" s="23" customFormat="1" x14ac:dyDescent="0.3">
      <c r="A24" s="18"/>
      <c r="B24" s="37" t="s">
        <v>158</v>
      </c>
      <c r="C24" s="38"/>
      <c r="D24" s="228"/>
      <c r="E24" s="228"/>
      <c r="F24" s="228" t="s">
        <v>220</v>
      </c>
      <c r="G24" s="228"/>
      <c r="H24" s="228" t="s">
        <v>221</v>
      </c>
      <c r="I24" s="228"/>
      <c r="J24" s="228" t="s">
        <v>269</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c r="E25" s="227"/>
      <c r="F25" s="227" t="s">
        <v>222</v>
      </c>
      <c r="G25" s="227"/>
      <c r="H25" s="227" t="s">
        <v>223</v>
      </c>
      <c r="I25" s="227"/>
      <c r="J25" s="227" t="s">
        <v>270</v>
      </c>
      <c r="K25" s="227"/>
      <c r="L25" s="227" t="s">
        <v>324</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159</v>
      </c>
      <c r="C26" s="41"/>
      <c r="D26" s="229"/>
      <c r="E26" s="229"/>
      <c r="F26" s="229" t="s">
        <v>220</v>
      </c>
      <c r="G26" s="229"/>
      <c r="H26" s="229" t="s">
        <v>220</v>
      </c>
      <c r="I26" s="229"/>
      <c r="J26" s="229" t="s">
        <v>355</v>
      </c>
      <c r="K26" s="229"/>
      <c r="L26" s="229" t="s">
        <v>356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c r="E27" s="229"/>
      <c r="F27" s="229" t="s">
        <v>222</v>
      </c>
      <c r="G27" s="229"/>
      <c r="H27" s="229" t="s">
        <v>223</v>
      </c>
      <c r="I27" s="229"/>
      <c r="J27" s="229" t="s">
        <v>270</v>
      </c>
      <c r="K27" s="229"/>
      <c r="L27" s="229" t="s">
        <v>324</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c r="E28" s="227"/>
      <c r="F28" s="227" t="s">
        <v>313</v>
      </c>
      <c r="G28" s="227"/>
      <c r="H28" s="227" t="s">
        <v>314</v>
      </c>
      <c r="I28" s="227"/>
      <c r="J28" s="227" t="s">
        <v>315</v>
      </c>
      <c r="K28" s="227"/>
      <c r="L28" s="227" t="s">
        <v>316</v>
      </c>
      <c r="M28" s="227"/>
      <c r="N28" s="227" t="s">
        <v>317</v>
      </c>
      <c r="O28" s="227"/>
      <c r="P28" s="227" t="s">
        <v>318</v>
      </c>
      <c r="Q28" s="227"/>
      <c r="R28" s="227" t="s">
        <v>83</v>
      </c>
      <c r="S28" s="227"/>
      <c r="T28" s="227" t="s">
        <v>319</v>
      </c>
      <c r="U28" s="227"/>
      <c r="V28" s="227" t="s">
        <v>320</v>
      </c>
      <c r="W28" s="227"/>
      <c r="X28" s="227" t="s">
        <v>321</v>
      </c>
      <c r="Y28" s="227" t="s">
        <v>322</v>
      </c>
      <c r="Z28" s="227"/>
      <c r="AA28" s="49"/>
      <c r="AB28" s="50"/>
      <c r="AC28" s="51"/>
      <c r="AD28" s="22"/>
      <c r="AE28" s="45"/>
      <c r="AG28" s="46"/>
    </row>
    <row r="29" spans="1:33" s="23" customFormat="1" x14ac:dyDescent="0.3">
      <c r="A29" s="39"/>
      <c r="B29" s="40" t="s">
        <v>91</v>
      </c>
      <c r="C29" s="52"/>
      <c r="D29" s="54"/>
      <c r="E29" s="53"/>
      <c r="F29" s="54">
        <v>648307</v>
      </c>
      <c r="G29" s="55"/>
      <c r="H29" s="54">
        <v>41826</v>
      </c>
      <c r="I29" s="55"/>
      <c r="J29" s="54">
        <v>22814</v>
      </c>
      <c r="K29" s="55"/>
      <c r="L29" s="54">
        <v>22814</v>
      </c>
      <c r="M29" s="50"/>
      <c r="N29" s="54">
        <v>24717</v>
      </c>
      <c r="O29" s="54"/>
      <c r="P29" s="231">
        <v>11637</v>
      </c>
      <c r="Q29" s="231"/>
      <c r="R29" s="231">
        <v>4175</v>
      </c>
      <c r="S29" s="54"/>
      <c r="T29" s="54" t="s">
        <v>83</v>
      </c>
      <c r="U29" s="54"/>
      <c r="V29" s="54" t="s">
        <v>83</v>
      </c>
      <c r="W29" s="54"/>
      <c r="X29" s="54" t="s">
        <v>83</v>
      </c>
      <c r="Y29" s="54" t="s">
        <v>83</v>
      </c>
      <c r="Z29" s="54"/>
      <c r="AA29" s="52"/>
      <c r="AB29" s="50">
        <f>SUM(F29:N29)</f>
        <v>760478</v>
      </c>
      <c r="AC29" s="51"/>
      <c r="AD29" s="22"/>
    </row>
    <row r="30" spans="1:33" s="23" customFormat="1" x14ac:dyDescent="0.3">
      <c r="A30" s="47"/>
      <c r="B30" s="40" t="s">
        <v>90</v>
      </c>
      <c r="C30" s="49"/>
      <c r="D30" s="54"/>
      <c r="E30" s="54"/>
      <c r="F30" s="54">
        <f>F29*F33</f>
        <v>538879.26147000003</v>
      </c>
      <c r="G30" s="54"/>
      <c r="H30" s="54">
        <f>H29</f>
        <v>41826</v>
      </c>
      <c r="I30" s="54"/>
      <c r="J30" s="54">
        <f>J29</f>
        <v>22814</v>
      </c>
      <c r="K30" s="54"/>
      <c r="L30" s="54">
        <f>L29</f>
        <v>22814</v>
      </c>
      <c r="M30" s="54"/>
      <c r="N30" s="54">
        <f>N29</f>
        <v>24717</v>
      </c>
      <c r="O30" s="54"/>
      <c r="P30" s="54">
        <f>P29*P33</f>
        <v>9451.10592</v>
      </c>
      <c r="Q30" s="54"/>
      <c r="R30" s="54">
        <f>'December 2020'!R31</f>
        <v>0</v>
      </c>
      <c r="S30" s="54"/>
      <c r="T30" s="54" t="s">
        <v>83</v>
      </c>
      <c r="U30" s="54"/>
      <c r="V30" s="54" t="s">
        <v>83</v>
      </c>
      <c r="W30" s="54"/>
      <c r="X30" s="54" t="s">
        <v>83</v>
      </c>
      <c r="Y30" s="54" t="s">
        <v>83</v>
      </c>
      <c r="Z30" s="54"/>
      <c r="AA30" s="49"/>
      <c r="AB30" s="50">
        <f>SUM(F30:N30)</f>
        <v>651050.26147000003</v>
      </c>
      <c r="AC30" s="51"/>
      <c r="AD30" s="22"/>
    </row>
    <row r="31" spans="1:33" s="23" customFormat="1" x14ac:dyDescent="0.3">
      <c r="A31" s="47"/>
      <c r="B31" s="44" t="s">
        <v>92</v>
      </c>
      <c r="C31" s="49"/>
      <c r="D31" s="57"/>
      <c r="E31" s="57"/>
      <c r="F31" s="57">
        <f>F29*F32</f>
        <v>534684.71518000006</v>
      </c>
      <c r="G31" s="57"/>
      <c r="H31" s="57">
        <f>H29</f>
        <v>41826</v>
      </c>
      <c r="I31" s="57"/>
      <c r="J31" s="57">
        <f>J29</f>
        <v>22814</v>
      </c>
      <c r="K31" s="57"/>
      <c r="L31" s="57">
        <f>L29</f>
        <v>22814</v>
      </c>
      <c r="M31" s="57"/>
      <c r="N31" s="57">
        <f>N29</f>
        <v>24717</v>
      </c>
      <c r="O31" s="57"/>
      <c r="P31" s="57">
        <f>P29*P32</f>
        <v>9394.5501000000004</v>
      </c>
      <c r="Q31" s="57"/>
      <c r="R31" s="57">
        <v>0</v>
      </c>
      <c r="S31" s="57"/>
      <c r="T31" s="57" t="s">
        <v>83</v>
      </c>
      <c r="U31" s="57"/>
      <c r="V31" s="57" t="s">
        <v>83</v>
      </c>
      <c r="W31" s="57"/>
      <c r="X31" s="57" t="s">
        <v>83</v>
      </c>
      <c r="Y31" s="57" t="s">
        <v>83</v>
      </c>
      <c r="Z31" s="57"/>
      <c r="AA31" s="49"/>
      <c r="AB31" s="56">
        <f>SUM(F31:N31)</f>
        <v>646855.71518000006</v>
      </c>
      <c r="AC31" s="51"/>
      <c r="AD31" s="22"/>
      <c r="AE31" s="235"/>
    </row>
    <row r="32" spans="1:33" s="65" customFormat="1" x14ac:dyDescent="0.3">
      <c r="A32" s="58"/>
      <c r="B32" s="166" t="s">
        <v>88</v>
      </c>
      <c r="C32" s="61"/>
      <c r="D32" s="60"/>
      <c r="E32" s="60"/>
      <c r="F32" s="60">
        <v>0.82474000000000003</v>
      </c>
      <c r="G32" s="60"/>
      <c r="H32" s="60">
        <v>1</v>
      </c>
      <c r="I32" s="60"/>
      <c r="J32" s="60">
        <v>1</v>
      </c>
      <c r="K32" s="60"/>
      <c r="L32" s="60">
        <v>1</v>
      </c>
      <c r="M32" s="60"/>
      <c r="N32" s="60">
        <v>1</v>
      </c>
      <c r="O32" s="60"/>
      <c r="P32" s="60">
        <v>0.80730000000000002</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c r="E33" s="225"/>
      <c r="F33" s="60">
        <v>0.83121</v>
      </c>
      <c r="G33" s="60"/>
      <c r="H33" s="60">
        <v>1</v>
      </c>
      <c r="I33" s="60"/>
      <c r="J33" s="60">
        <v>1</v>
      </c>
      <c r="K33" s="60"/>
      <c r="L33" s="60">
        <v>1</v>
      </c>
      <c r="M33" s="60"/>
      <c r="N33" s="60">
        <v>1</v>
      </c>
      <c r="O33" s="60"/>
      <c r="P33" s="60">
        <v>0.81215999999999999</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c r="E34" s="48"/>
      <c r="F34" s="48" t="s">
        <v>305</v>
      </c>
      <c r="G34" s="48"/>
      <c r="H34" s="48" t="s">
        <v>306</v>
      </c>
      <c r="I34" s="48"/>
      <c r="J34" s="48" t="s">
        <v>273</v>
      </c>
      <c r="K34" s="48"/>
      <c r="L34" s="48" t="s">
        <v>307</v>
      </c>
      <c r="M34" s="48"/>
      <c r="N34" s="48" t="s">
        <v>308</v>
      </c>
      <c r="O34" s="48"/>
      <c r="P34" s="48" t="s">
        <v>254</v>
      </c>
      <c r="Q34" s="48"/>
      <c r="R34" s="48" t="s">
        <v>254</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c r="E35" s="241"/>
      <c r="F35" s="241">
        <v>5.5658300000000001E-2</v>
      </c>
      <c r="G35" s="241"/>
      <c r="H35" s="241">
        <v>5.9658299999999997E-2</v>
      </c>
      <c r="I35" s="241"/>
      <c r="J35" s="241">
        <v>6.26583E-2</v>
      </c>
      <c r="K35" s="241"/>
      <c r="L35" s="241">
        <v>6.5658300000000003E-2</v>
      </c>
      <c r="M35" s="241"/>
      <c r="N35" s="241">
        <v>7.5658299999999998E-2</v>
      </c>
      <c r="O35" s="241"/>
      <c r="P35" s="241">
        <v>8.4658300000000006E-2</v>
      </c>
      <c r="Q35" s="241"/>
      <c r="R35" s="241">
        <v>8.4658300000000006E-2</v>
      </c>
      <c r="S35" s="68"/>
      <c r="T35" s="68" t="s">
        <v>83</v>
      </c>
      <c r="U35" s="68"/>
      <c r="V35" s="68" t="s">
        <v>83</v>
      </c>
      <c r="W35" s="68"/>
      <c r="X35" s="68" t="s">
        <v>83</v>
      </c>
      <c r="Y35" s="68" t="s">
        <v>83</v>
      </c>
      <c r="Z35" s="68"/>
      <c r="AA35" s="40"/>
      <c r="AB35" s="67">
        <f>SUMPRODUCT(D35:N35,D30:N30)/AB30</f>
        <v>5.7270283071215393E-2</v>
      </c>
      <c r="AC35" s="43"/>
      <c r="AD35" s="22"/>
    </row>
    <row r="36" spans="1:30" s="23" customFormat="1" x14ac:dyDescent="0.3">
      <c r="A36" s="47"/>
      <c r="B36" s="40" t="s">
        <v>10</v>
      </c>
      <c r="C36" s="69"/>
      <c r="D36" s="241"/>
      <c r="E36" s="241"/>
      <c r="F36" s="241">
        <v>4.96283E-2</v>
      </c>
      <c r="G36" s="241"/>
      <c r="H36" s="241">
        <v>5.3628299999999997E-2</v>
      </c>
      <c r="I36" s="241"/>
      <c r="J36" s="241">
        <v>5.6628299999999999E-2</v>
      </c>
      <c r="K36" s="241"/>
      <c r="L36" s="241">
        <v>5.9628300000000002E-2</v>
      </c>
      <c r="M36" s="241"/>
      <c r="N36" s="241">
        <v>6.9628300000000004E-2</v>
      </c>
      <c r="O36" s="241"/>
      <c r="P36" s="241">
        <v>7.8628299999999998E-2</v>
      </c>
      <c r="Q36" s="241"/>
      <c r="R36" s="241">
        <v>7.8628299999999998E-2</v>
      </c>
      <c r="S36" s="68"/>
      <c r="T36" s="68" t="s">
        <v>83</v>
      </c>
      <c r="U36" s="68"/>
      <c r="V36" s="68" t="s">
        <v>83</v>
      </c>
      <c r="W36" s="68"/>
      <c r="X36" s="68" t="s">
        <v>83</v>
      </c>
      <c r="Y36" s="68" t="s">
        <v>83</v>
      </c>
      <c r="Z36" s="68"/>
      <c r="AA36" s="40"/>
      <c r="AB36" s="40"/>
      <c r="AC36" s="43"/>
      <c r="AD36" s="22"/>
    </row>
    <row r="37" spans="1:30" s="23" customFormat="1" x14ac:dyDescent="0.3">
      <c r="A37" s="47"/>
      <c r="B37" s="40" t="s">
        <v>160</v>
      </c>
      <c r="C37" s="40"/>
      <c r="D37" s="69"/>
      <c r="E37" s="69"/>
      <c r="F37" s="69">
        <v>45945</v>
      </c>
      <c r="G37" s="69"/>
      <c r="H37" s="69">
        <v>45945</v>
      </c>
      <c r="I37" s="69"/>
      <c r="J37" s="69">
        <v>45945</v>
      </c>
      <c r="K37" s="69"/>
      <c r="L37" s="69">
        <v>45945</v>
      </c>
      <c r="M37" s="69"/>
      <c r="N37" s="69">
        <v>45945</v>
      </c>
      <c r="O37" s="69"/>
      <c r="P37" s="69">
        <v>45945</v>
      </c>
      <c r="Q37" s="69"/>
      <c r="R37" s="69">
        <v>45945</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c r="E38" s="69"/>
      <c r="F38" s="69">
        <v>45945</v>
      </c>
      <c r="G38" s="48"/>
      <c r="H38" s="69">
        <v>45945</v>
      </c>
      <c r="I38" s="48"/>
      <c r="J38" s="69">
        <v>45945</v>
      </c>
      <c r="K38" s="48"/>
      <c r="L38" s="69">
        <v>45945</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c r="E39" s="48"/>
      <c r="F39" s="48" t="s">
        <v>309</v>
      </c>
      <c r="G39" s="48"/>
      <c r="H39" s="48" t="s">
        <v>272</v>
      </c>
      <c r="I39" s="48"/>
      <c r="J39" s="48" t="s">
        <v>310</v>
      </c>
      <c r="K39" s="48"/>
      <c r="L39" s="48" t="s">
        <v>308</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7" t="s">
        <v>110</v>
      </c>
      <c r="AC40" s="43"/>
      <c r="AD40" s="22"/>
    </row>
    <row r="41" spans="1:30" s="23" customFormat="1" x14ac:dyDescent="0.3">
      <c r="A41" s="47"/>
      <c r="B41" s="40" t="s">
        <v>253</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32">
        <f>SUM(G29:N29)/F29</f>
        <v>0.17302142349226524</v>
      </c>
      <c r="AC41" s="43"/>
      <c r="AD41" s="22"/>
    </row>
    <row r="42" spans="1:30" s="23" customFormat="1" x14ac:dyDescent="0.3">
      <c r="A42" s="47"/>
      <c r="B42" s="40" t="s">
        <v>252</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32">
        <f>SUM(G31:N31)/F31</f>
        <v>0.20978905290426705</v>
      </c>
      <c r="AC42" s="43"/>
      <c r="AD42" s="22"/>
    </row>
    <row r="43" spans="1:30" s="23" customFormat="1" x14ac:dyDescent="0.3">
      <c r="A43" s="47"/>
      <c r="B43" s="40" t="s">
        <v>197</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1"/>
      <c r="AC44" s="43"/>
      <c r="AD44" s="22"/>
    </row>
    <row r="45" spans="1:30" s="23" customFormat="1" x14ac:dyDescent="0.3">
      <c r="A45" s="47"/>
      <c r="B45" s="40" t="s">
        <v>196</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2"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3"/>
      <c r="AA46" s="73"/>
      <c r="AB46" s="74">
        <v>45124</v>
      </c>
      <c r="AC46" s="43"/>
      <c r="AD46" s="22"/>
    </row>
    <row r="47" spans="1:30" s="23" customFormat="1" x14ac:dyDescent="0.3">
      <c r="A47" s="47"/>
      <c r="B47" s="40" t="s">
        <v>85</v>
      </c>
      <c r="C47" s="40"/>
      <c r="D47" s="75"/>
      <c r="E47" s="75"/>
      <c r="F47" s="75"/>
      <c r="G47" s="75"/>
      <c r="H47" s="75"/>
      <c r="I47" s="75"/>
      <c r="J47" s="75"/>
      <c r="K47" s="75"/>
      <c r="L47" s="75"/>
      <c r="M47" s="75"/>
      <c r="N47" s="75"/>
      <c r="O47" s="75"/>
      <c r="P47" s="75"/>
      <c r="Q47" s="75"/>
      <c r="R47" s="75"/>
      <c r="S47" s="75"/>
      <c r="T47" s="75"/>
      <c r="U47" s="75"/>
      <c r="V47" s="75"/>
      <c r="W47" s="75"/>
      <c r="X47" s="280">
        <f>+AB47-Z47+1</f>
        <v>91</v>
      </c>
      <c r="Y47" s="40"/>
      <c r="Z47" s="76">
        <v>44942</v>
      </c>
      <c r="AA47" s="77"/>
      <c r="AB47" s="76">
        <v>45032</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80">
        <f>+AB48-Z48+1</f>
        <v>91</v>
      </c>
      <c r="Y48" s="40"/>
      <c r="Z48" s="76">
        <v>45033</v>
      </c>
      <c r="AA48" s="77"/>
      <c r="AB48" s="76">
        <v>45123</v>
      </c>
      <c r="AC48" s="43"/>
      <c r="AD48" s="22"/>
    </row>
    <row r="49" spans="1:31" s="23" customFormat="1" x14ac:dyDescent="0.3">
      <c r="A49" s="47"/>
      <c r="B49" s="40" t="s">
        <v>187</v>
      </c>
      <c r="C49" s="40"/>
      <c r="D49" s="40"/>
      <c r="E49" s="40"/>
      <c r="F49" s="40"/>
      <c r="G49" s="40"/>
      <c r="H49" s="40"/>
      <c r="I49" s="40"/>
      <c r="J49" s="40"/>
      <c r="K49" s="40"/>
      <c r="L49" s="40"/>
      <c r="M49" s="40"/>
      <c r="N49" s="40"/>
      <c r="O49" s="40"/>
      <c r="P49" s="40"/>
      <c r="Q49" s="40"/>
      <c r="R49" s="40"/>
      <c r="S49" s="40"/>
      <c r="T49" s="40"/>
      <c r="U49" s="40"/>
      <c r="V49" s="40"/>
      <c r="W49" s="40"/>
      <c r="X49" s="40"/>
      <c r="Y49" s="40"/>
      <c r="Z49" s="76"/>
      <c r="AA49" s="77"/>
      <c r="AB49" s="76" t="s">
        <v>99</v>
      </c>
      <c r="AC49" s="43"/>
      <c r="AD49" s="22"/>
      <c r="AE49" s="78"/>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v>45121</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9"/>
      <c r="AA51" s="80"/>
      <c r="AB51" s="79"/>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1"/>
      <c r="AA52" s="82"/>
      <c r="AB52" s="81"/>
      <c r="AC52" s="21"/>
      <c r="AD52" s="22"/>
    </row>
    <row r="53" spans="1:31" s="23" customFormat="1" ht="18.600000000000001" thickBot="1" x14ac:dyDescent="0.4">
      <c r="A53" s="83"/>
      <c r="B53" s="84" t="s">
        <v>366</v>
      </c>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6"/>
      <c r="AC53" s="87"/>
      <c r="AD53" s="22"/>
    </row>
    <row r="54" spans="1:31" x14ac:dyDescent="0.3">
      <c r="A54" s="33"/>
      <c r="B54" s="88" t="s">
        <v>13</v>
      </c>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90"/>
      <c r="AC54" s="89"/>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1"/>
      <c r="AC55" s="10"/>
      <c r="AD55" s="5"/>
    </row>
    <row r="56" spans="1:31" s="65" customFormat="1" ht="46.8" x14ac:dyDescent="0.3">
      <c r="A56" s="92"/>
      <c r="B56" s="93" t="s">
        <v>14</v>
      </c>
      <c r="C56" s="94"/>
      <c r="D56" s="94"/>
      <c r="E56" s="94"/>
      <c r="F56" s="94"/>
      <c r="G56" s="94"/>
      <c r="H56" s="94"/>
      <c r="I56" s="94"/>
      <c r="J56" s="94"/>
      <c r="K56" s="94"/>
      <c r="L56" s="94"/>
      <c r="M56" s="94"/>
      <c r="N56" s="94"/>
      <c r="O56" s="94"/>
      <c r="P56" s="94" t="s">
        <v>63</v>
      </c>
      <c r="Q56" s="94"/>
      <c r="R56" s="94" t="s">
        <v>65</v>
      </c>
      <c r="S56" s="94"/>
      <c r="T56" s="94" t="s">
        <v>135</v>
      </c>
      <c r="U56" s="94"/>
      <c r="V56" s="94" t="s">
        <v>136</v>
      </c>
      <c r="W56" s="94"/>
      <c r="X56" s="94" t="s">
        <v>68</v>
      </c>
      <c r="Y56" s="94"/>
      <c r="Z56" s="94" t="s">
        <v>72</v>
      </c>
      <c r="AA56" s="94"/>
      <c r="AB56" s="95" t="s">
        <v>78</v>
      </c>
      <c r="AC56" s="96"/>
      <c r="AD56" s="64"/>
    </row>
    <row r="57" spans="1:31" s="23" customFormat="1" x14ac:dyDescent="0.3">
      <c r="A57" s="47"/>
      <c r="B57" s="40" t="s">
        <v>15</v>
      </c>
      <c r="C57" s="97"/>
      <c r="D57" s="97"/>
      <c r="E57" s="97"/>
      <c r="F57" s="97"/>
      <c r="G57" s="97"/>
      <c r="H57" s="98"/>
      <c r="I57" s="97"/>
      <c r="J57" s="98"/>
      <c r="K57" s="97"/>
      <c r="L57" s="97"/>
      <c r="M57" s="97"/>
      <c r="N57" s="97"/>
      <c r="O57" s="97"/>
      <c r="P57" s="238">
        <v>759666</v>
      </c>
      <c r="Q57" s="238"/>
      <c r="R57" s="237">
        <v>651050</v>
      </c>
      <c r="S57" s="238"/>
      <c r="T57" s="237">
        <f>333+19</f>
        <v>352</v>
      </c>
      <c r="U57" s="238"/>
      <c r="V57" s="238">
        <v>3844</v>
      </c>
      <c r="W57" s="238"/>
      <c r="X57" s="238">
        <v>0</v>
      </c>
      <c r="Y57" s="238"/>
      <c r="Z57" s="238">
        <v>0</v>
      </c>
      <c r="AA57" s="238"/>
      <c r="AB57" s="237">
        <f>R57-T57-V57+X57-Z57</f>
        <v>646854</v>
      </c>
      <c r="AC57" s="43"/>
      <c r="AD57" s="22"/>
      <c r="AE57" s="271"/>
    </row>
    <row r="58" spans="1:31" s="23" customFormat="1" x14ac:dyDescent="0.3">
      <c r="A58" s="47"/>
      <c r="B58" s="40" t="s">
        <v>16</v>
      </c>
      <c r="C58" s="97"/>
      <c r="D58" s="97"/>
      <c r="E58" s="97"/>
      <c r="F58" s="97"/>
      <c r="G58" s="97"/>
      <c r="H58" s="98"/>
      <c r="I58" s="97"/>
      <c r="J58" s="98"/>
      <c r="K58" s="97"/>
      <c r="L58" s="97"/>
      <c r="M58" s="97"/>
      <c r="N58" s="97"/>
      <c r="O58" s="97"/>
      <c r="P58" s="238">
        <v>0</v>
      </c>
      <c r="Q58" s="238"/>
      <c r="R58" s="237">
        <v>0</v>
      </c>
      <c r="S58" s="238"/>
      <c r="T58" s="237">
        <v>0</v>
      </c>
      <c r="U58" s="238"/>
      <c r="V58" s="238">
        <v>0</v>
      </c>
      <c r="W58" s="238"/>
      <c r="X58" s="238">
        <v>0</v>
      </c>
      <c r="Y58" s="238"/>
      <c r="Z58" s="238">
        <v>0</v>
      </c>
      <c r="AA58" s="238"/>
      <c r="AB58" s="237">
        <f>F58-J58-L58</f>
        <v>0</v>
      </c>
      <c r="AC58" s="43"/>
      <c r="AD58" s="22"/>
    </row>
    <row r="59" spans="1:31" s="23" customFormat="1" x14ac:dyDescent="0.3">
      <c r="A59" s="47"/>
      <c r="B59" s="40"/>
      <c r="C59" s="97"/>
      <c r="D59" s="97"/>
      <c r="E59" s="97"/>
      <c r="F59" s="97"/>
      <c r="G59" s="97"/>
      <c r="H59" s="98"/>
      <c r="I59" s="97"/>
      <c r="J59" s="98"/>
      <c r="K59" s="97"/>
      <c r="L59" s="97"/>
      <c r="M59" s="97"/>
      <c r="N59" s="97"/>
      <c r="O59" s="97"/>
      <c r="P59" s="238"/>
      <c r="Q59" s="238"/>
      <c r="R59" s="237"/>
      <c r="S59" s="238"/>
      <c r="T59" s="237"/>
      <c r="U59" s="238"/>
      <c r="V59" s="238"/>
      <c r="W59" s="238"/>
      <c r="X59" s="238"/>
      <c r="Y59" s="238"/>
      <c r="Z59" s="238"/>
      <c r="AA59" s="238"/>
      <c r="AB59" s="237"/>
      <c r="AC59" s="43"/>
      <c r="AD59" s="22"/>
    </row>
    <row r="60" spans="1:31" s="23" customFormat="1" x14ac:dyDescent="0.3">
      <c r="A60" s="47"/>
      <c r="B60" s="40" t="s">
        <v>17</v>
      </c>
      <c r="C60" s="97"/>
      <c r="D60" s="97"/>
      <c r="E60" s="97"/>
      <c r="F60" s="97"/>
      <c r="G60" s="97"/>
      <c r="H60" s="97"/>
      <c r="I60" s="97"/>
      <c r="J60" s="97"/>
      <c r="K60" s="97"/>
      <c r="L60" s="97"/>
      <c r="M60" s="97"/>
      <c r="N60" s="97"/>
      <c r="O60" s="97"/>
      <c r="P60" s="238">
        <f>SUM(P57:P59)</f>
        <v>759666</v>
      </c>
      <c r="Q60" s="238"/>
      <c r="R60" s="238">
        <f>R57+R58</f>
        <v>651050</v>
      </c>
      <c r="S60" s="238"/>
      <c r="T60" s="238">
        <f>T57+T58</f>
        <v>352</v>
      </c>
      <c r="U60" s="238"/>
      <c r="V60" s="238">
        <f>SUM(V57:V59)</f>
        <v>3844</v>
      </c>
      <c r="W60" s="238"/>
      <c r="X60" s="238">
        <f>SUM(X57:X59)</f>
        <v>0</v>
      </c>
      <c r="Y60" s="238"/>
      <c r="Z60" s="238">
        <f>SUM(Z57:Z59)</f>
        <v>0</v>
      </c>
      <c r="AA60" s="238"/>
      <c r="AB60" s="238">
        <f>SUM(AB57:AB59)</f>
        <v>646854</v>
      </c>
      <c r="AC60" s="43"/>
      <c r="AD60" s="22"/>
    </row>
    <row r="61" spans="1:31" s="23" customFormat="1" ht="32.1" customHeight="1" x14ac:dyDescent="0.3">
      <c r="A61" s="47"/>
      <c r="B61" s="40"/>
      <c r="C61" s="97"/>
      <c r="D61" s="97"/>
      <c r="E61" s="97"/>
      <c r="F61" s="97"/>
      <c r="G61" s="97"/>
      <c r="H61" s="97"/>
      <c r="I61" s="97"/>
      <c r="J61" s="97"/>
      <c r="K61" s="97"/>
      <c r="L61" s="97"/>
      <c r="M61" s="97"/>
      <c r="N61" s="97"/>
      <c r="O61" s="97"/>
      <c r="P61" s="238"/>
      <c r="Q61" s="238"/>
      <c r="R61" s="238"/>
      <c r="S61" s="238"/>
      <c r="T61" s="238"/>
      <c r="U61" s="238"/>
      <c r="V61" s="238"/>
      <c r="W61" s="238"/>
      <c r="X61" s="238"/>
      <c r="Y61" s="238"/>
      <c r="Z61" s="238"/>
      <c r="AA61" s="238"/>
      <c r="AB61" s="238"/>
      <c r="AC61" s="43"/>
      <c r="AD61" s="22"/>
    </row>
    <row r="62" spans="1:31" s="23" customFormat="1" x14ac:dyDescent="0.3">
      <c r="A62" s="47"/>
      <c r="B62" s="40" t="s">
        <v>18</v>
      </c>
      <c r="C62" s="97"/>
      <c r="D62" s="97"/>
      <c r="E62" s="97"/>
      <c r="F62" s="97"/>
      <c r="G62" s="97"/>
      <c r="H62" s="97"/>
      <c r="I62" s="97"/>
      <c r="J62" s="97"/>
      <c r="K62" s="97"/>
      <c r="L62" s="97"/>
      <c r="M62" s="97"/>
      <c r="N62" s="97"/>
      <c r="O62" s="97"/>
      <c r="P62" s="238">
        <v>0</v>
      </c>
      <c r="Q62" s="238"/>
      <c r="R62" s="238">
        <v>0</v>
      </c>
      <c r="S62" s="238"/>
      <c r="T62" s="238"/>
      <c r="U62" s="238"/>
      <c r="V62" s="238"/>
      <c r="W62" s="238"/>
      <c r="X62" s="238"/>
      <c r="Y62" s="238"/>
      <c r="Z62" s="238"/>
      <c r="AA62" s="238"/>
      <c r="AB62" s="237">
        <v>0</v>
      </c>
      <c r="AC62" s="43"/>
      <c r="AD62" s="22"/>
    </row>
    <row r="63" spans="1:31" s="23" customFormat="1" x14ac:dyDescent="0.3">
      <c r="A63" s="47"/>
      <c r="B63" s="40" t="s">
        <v>274</v>
      </c>
      <c r="C63" s="97"/>
      <c r="D63" s="97"/>
      <c r="E63" s="97"/>
      <c r="F63" s="97"/>
      <c r="G63" s="97"/>
      <c r="H63" s="97"/>
      <c r="I63" s="97"/>
      <c r="J63" s="97"/>
      <c r="K63" s="97"/>
      <c r="L63" s="97"/>
      <c r="M63" s="97"/>
      <c r="N63" s="97"/>
      <c r="O63" s="97"/>
      <c r="P63" s="238">
        <v>0</v>
      </c>
      <c r="Q63" s="238"/>
      <c r="R63" s="238">
        <v>0</v>
      </c>
      <c r="S63" s="238"/>
      <c r="T63" s="238">
        <v>0</v>
      </c>
      <c r="U63" s="238"/>
      <c r="V63" s="238">
        <v>2</v>
      </c>
      <c r="W63" s="238"/>
      <c r="X63" s="238"/>
      <c r="Y63" s="238"/>
      <c r="Z63" s="238"/>
      <c r="AA63" s="238"/>
      <c r="AB63" s="238">
        <f>R63+V63</f>
        <v>2</v>
      </c>
      <c r="AC63" s="43"/>
      <c r="AD63" s="22"/>
    </row>
    <row r="64" spans="1:31" s="23" customFormat="1" x14ac:dyDescent="0.3">
      <c r="A64" s="47"/>
      <c r="B64" s="40" t="s">
        <v>172</v>
      </c>
      <c r="C64" s="97"/>
      <c r="D64" s="97"/>
      <c r="E64" s="97"/>
      <c r="F64" s="97"/>
      <c r="G64" s="97"/>
      <c r="H64" s="97"/>
      <c r="I64" s="97"/>
      <c r="J64" s="97"/>
      <c r="K64" s="97"/>
      <c r="L64" s="97"/>
      <c r="M64" s="97"/>
      <c r="N64" s="97"/>
      <c r="O64" s="97"/>
      <c r="P64" s="238">
        <v>812</v>
      </c>
      <c r="Q64" s="238"/>
      <c r="R64" s="238">
        <v>0</v>
      </c>
      <c r="S64" s="238"/>
      <c r="T64" s="238"/>
      <c r="U64" s="238"/>
      <c r="V64" s="238"/>
      <c r="W64" s="238"/>
      <c r="X64" s="238">
        <v>0</v>
      </c>
      <c r="Y64" s="238"/>
      <c r="Z64" s="238"/>
      <c r="AA64" s="238"/>
      <c r="AB64" s="238">
        <f>+R64+X64</f>
        <v>0</v>
      </c>
      <c r="AC64" s="43"/>
      <c r="AD64" s="22"/>
    </row>
    <row r="65" spans="1:30" s="23" customFormat="1" x14ac:dyDescent="0.3">
      <c r="A65" s="47"/>
      <c r="B65" s="40" t="s">
        <v>19</v>
      </c>
      <c r="C65" s="97"/>
      <c r="D65" s="97"/>
      <c r="E65" s="97"/>
      <c r="F65" s="97"/>
      <c r="G65" s="97"/>
      <c r="H65" s="97"/>
      <c r="I65" s="97"/>
      <c r="J65" s="97"/>
      <c r="K65" s="97"/>
      <c r="L65" s="97"/>
      <c r="M65" s="97"/>
      <c r="N65" s="97"/>
      <c r="O65" s="97"/>
      <c r="P65" s="238">
        <v>0</v>
      </c>
      <c r="Q65" s="238"/>
      <c r="R65" s="238">
        <v>0</v>
      </c>
      <c r="S65" s="238"/>
      <c r="T65" s="238"/>
      <c r="U65" s="238"/>
      <c r="V65" s="238"/>
      <c r="W65" s="238"/>
      <c r="X65" s="238"/>
      <c r="Y65" s="238"/>
      <c r="Z65" s="238"/>
      <c r="AA65" s="238"/>
      <c r="AB65" s="238">
        <v>0</v>
      </c>
      <c r="AC65" s="43"/>
      <c r="AD65" s="22"/>
    </row>
    <row r="66" spans="1:30" s="23" customFormat="1" x14ac:dyDescent="0.3">
      <c r="A66" s="47"/>
      <c r="B66" s="40" t="s">
        <v>20</v>
      </c>
      <c r="C66" s="97"/>
      <c r="D66" s="97"/>
      <c r="E66" s="97"/>
      <c r="F66" s="97"/>
      <c r="G66" s="97"/>
      <c r="H66" s="97"/>
      <c r="I66" s="97"/>
      <c r="J66" s="97"/>
      <c r="K66" s="97"/>
      <c r="L66" s="97"/>
      <c r="M66" s="97"/>
      <c r="N66" s="97"/>
      <c r="O66" s="97"/>
      <c r="P66" s="238">
        <f>SUM(P60:P65)</f>
        <v>760478</v>
      </c>
      <c r="Q66" s="238"/>
      <c r="R66" s="238">
        <f>SUM(R60:R65)</f>
        <v>651050</v>
      </c>
      <c r="S66" s="238"/>
      <c r="T66" s="238"/>
      <c r="U66" s="238"/>
      <c r="V66" s="238"/>
      <c r="W66" s="238"/>
      <c r="X66" s="238"/>
      <c r="Y66" s="238"/>
      <c r="Z66" s="238"/>
      <c r="AA66" s="238"/>
      <c r="AB66" s="238">
        <f>SUM(AB60:AB65)</f>
        <v>646856</v>
      </c>
      <c r="AC66" s="43"/>
      <c r="AD66" s="22"/>
    </row>
    <row r="67" spans="1:30" x14ac:dyDescent="0.3">
      <c r="A67" s="7"/>
      <c r="B67" s="99"/>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1"/>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2" t="s">
        <v>21</v>
      </c>
      <c r="C69" s="102"/>
      <c r="D69" s="103"/>
      <c r="E69" s="103"/>
      <c r="F69" s="103"/>
      <c r="G69" s="103"/>
      <c r="H69" s="104"/>
      <c r="I69" s="103"/>
      <c r="J69" s="105"/>
      <c r="K69" s="103"/>
      <c r="L69" s="103"/>
      <c r="M69" s="103"/>
      <c r="N69" s="103"/>
      <c r="O69" s="103"/>
      <c r="P69" s="103"/>
      <c r="Q69" s="103"/>
      <c r="R69" s="104" t="s">
        <v>64</v>
      </c>
      <c r="S69" s="103"/>
      <c r="T69" s="105">
        <f>+Z235</f>
        <v>45107</v>
      </c>
      <c r="U69" s="103"/>
      <c r="V69" s="103"/>
      <c r="W69" s="103"/>
      <c r="X69" s="103"/>
      <c r="Y69" s="103"/>
      <c r="Z69" s="103" t="s">
        <v>73</v>
      </c>
      <c r="AA69" s="103"/>
      <c r="AB69" s="103"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100">
        <f>+R63</f>
        <v>0</v>
      </c>
      <c r="AA70" s="37"/>
      <c r="AB70" s="107">
        <v>0</v>
      </c>
      <c r="AC70" s="21"/>
      <c r="AD70" s="22"/>
    </row>
    <row r="71" spans="1:30" s="23" customFormat="1" x14ac:dyDescent="0.3">
      <c r="A71" s="47"/>
      <c r="B71" s="40" t="s">
        <v>218</v>
      </c>
      <c r="C71" s="40"/>
      <c r="D71" s="70"/>
      <c r="E71" s="70"/>
      <c r="F71" s="70"/>
      <c r="G71" s="108"/>
      <c r="H71" s="70"/>
      <c r="I71" s="40"/>
      <c r="J71" s="109"/>
      <c r="K71" s="40"/>
      <c r="L71" s="40"/>
      <c r="M71" s="40"/>
      <c r="N71" s="40"/>
      <c r="O71" s="40"/>
      <c r="P71" s="40"/>
      <c r="Q71" s="40"/>
      <c r="R71" s="40"/>
      <c r="S71" s="40"/>
      <c r="T71" s="40"/>
      <c r="U71" s="40"/>
      <c r="V71" s="40"/>
      <c r="W71" s="40"/>
      <c r="X71" s="40"/>
      <c r="Y71" s="40"/>
      <c r="Z71" s="238">
        <f>-X64</f>
        <v>0</v>
      </c>
      <c r="AA71" s="40"/>
      <c r="AB71" s="98"/>
      <c r="AC71" s="43"/>
      <c r="AD71" s="22"/>
    </row>
    <row r="72" spans="1:30" s="23" customFormat="1" x14ac:dyDescent="0.3">
      <c r="A72" s="47"/>
      <c r="B72" s="40" t="s">
        <v>217</v>
      </c>
      <c r="C72" s="40"/>
      <c r="D72" s="70"/>
      <c r="E72" s="70"/>
      <c r="F72" s="70"/>
      <c r="G72" s="108"/>
      <c r="H72" s="70"/>
      <c r="I72" s="40"/>
      <c r="J72" s="109"/>
      <c r="K72" s="40"/>
      <c r="L72" s="40"/>
      <c r="M72" s="40"/>
      <c r="N72" s="40"/>
      <c r="O72" s="40"/>
      <c r="P72" s="40"/>
      <c r="Q72" s="40"/>
      <c r="R72" s="40"/>
      <c r="S72" s="40"/>
      <c r="T72" s="40"/>
      <c r="U72" s="40"/>
      <c r="V72" s="40"/>
      <c r="W72" s="40"/>
      <c r="X72" s="40"/>
      <c r="Y72" s="40"/>
      <c r="Z72" s="238">
        <f>-Z209</f>
        <v>0</v>
      </c>
      <c r="AA72" s="40"/>
      <c r="AB72" s="98"/>
      <c r="AC72" s="43"/>
      <c r="AD72" s="22"/>
    </row>
    <row r="73" spans="1:30" s="23" customFormat="1" x14ac:dyDescent="0.3">
      <c r="A73" s="47"/>
      <c r="B73" s="40" t="s">
        <v>23</v>
      </c>
      <c r="C73" s="40"/>
      <c r="D73" s="70"/>
      <c r="E73" s="70"/>
      <c r="F73" s="70"/>
      <c r="G73" s="108"/>
      <c r="H73" s="70"/>
      <c r="I73" s="40"/>
      <c r="J73" s="109"/>
      <c r="K73" s="40"/>
      <c r="L73" s="40"/>
      <c r="M73" s="40"/>
      <c r="N73" s="40"/>
      <c r="O73" s="40"/>
      <c r="P73" s="40"/>
      <c r="Q73" s="40"/>
      <c r="R73" s="40"/>
      <c r="S73" s="40"/>
      <c r="T73" s="40"/>
      <c r="U73" s="40"/>
      <c r="V73" s="40"/>
      <c r="W73" s="40"/>
      <c r="X73" s="40"/>
      <c r="Y73" s="40"/>
      <c r="Z73" s="238">
        <f>+T57+V57+Z57-1</f>
        <v>4195</v>
      </c>
      <c r="AA73" s="40"/>
      <c r="AB73" s="98"/>
      <c r="AC73" s="43"/>
      <c r="AD73" s="22"/>
    </row>
    <row r="74" spans="1:30" s="23" customFormat="1" x14ac:dyDescent="0.3">
      <c r="A74" s="47"/>
      <c r="B74" s="40" t="s">
        <v>115</v>
      </c>
      <c r="C74" s="40"/>
      <c r="D74" s="70"/>
      <c r="E74" s="70"/>
      <c r="F74" s="70"/>
      <c r="G74" s="108"/>
      <c r="H74" s="70"/>
      <c r="I74" s="40"/>
      <c r="J74" s="109"/>
      <c r="K74" s="40"/>
      <c r="L74" s="40"/>
      <c r="M74" s="40"/>
      <c r="N74" s="40"/>
      <c r="O74" s="40"/>
      <c r="P74" s="40"/>
      <c r="Q74" s="40"/>
      <c r="R74" s="40"/>
      <c r="S74" s="40"/>
      <c r="T74" s="40"/>
      <c r="U74" s="40"/>
      <c r="V74" s="40"/>
      <c r="W74" s="40"/>
      <c r="X74" s="40"/>
      <c r="Y74" s="40"/>
      <c r="Z74" s="238"/>
      <c r="AA74" s="40"/>
      <c r="AB74" s="98">
        <f>6244+302-418-61</f>
        <v>6067</v>
      </c>
      <c r="AC74" s="43"/>
      <c r="AD74" s="22"/>
    </row>
    <row r="75" spans="1:30" s="23" customFormat="1" x14ac:dyDescent="0.3">
      <c r="A75" s="47"/>
      <c r="B75" s="40" t="s">
        <v>113</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134+1</f>
        <v>135</v>
      </c>
      <c r="AC75" s="43"/>
      <c r="AD75" s="22"/>
    </row>
    <row r="76" spans="1:30" s="23" customFormat="1" x14ac:dyDescent="0.3">
      <c r="A76" s="47"/>
      <c r="B76" s="40" t="s">
        <v>114</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v>235</v>
      </c>
      <c r="AC76" s="43"/>
      <c r="AD76" s="22"/>
    </row>
    <row r="77" spans="1:30" s="23" customFormat="1" x14ac:dyDescent="0.3">
      <c r="A77" s="47"/>
      <c r="B77" s="40" t="s">
        <v>120</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59" t="s">
        <v>224</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57</v>
      </c>
      <c r="AC78" s="43"/>
      <c r="AD78" s="22"/>
    </row>
    <row r="79" spans="1:30" s="23" customFormat="1" x14ac:dyDescent="0.3">
      <c r="A79" s="47"/>
      <c r="B79" s="59" t="s">
        <v>225</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0</v>
      </c>
      <c r="AC79" s="43"/>
      <c r="AD79" s="22"/>
    </row>
    <row r="80" spans="1:30" s="23" customFormat="1" x14ac:dyDescent="0.3">
      <c r="A80" s="47"/>
      <c r="B80" s="40" t="s">
        <v>232</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f>+AB167</f>
        <v>0</v>
      </c>
      <c r="AC80" s="43"/>
      <c r="AD80" s="22"/>
    </row>
    <row r="81" spans="1:30" s="23" customFormat="1" x14ac:dyDescent="0.3">
      <c r="A81" s="47"/>
      <c r="B81" s="40" t="s">
        <v>246</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v>0</v>
      </c>
      <c r="AC81" s="43"/>
      <c r="AD81" s="22"/>
    </row>
    <row r="82" spans="1:30" s="23" customFormat="1" x14ac:dyDescent="0.3">
      <c r="A82" s="47"/>
      <c r="B82" s="59" t="s">
        <v>233</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2525</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8">
        <f>SUM(Z70:Z82)</f>
        <v>4195</v>
      </c>
      <c r="AA83" s="40"/>
      <c r="AB83" s="97">
        <f>SUM(AB70:AB82)</f>
        <v>9019</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8">
        <f>-AB84</f>
        <v>0</v>
      </c>
      <c r="AA84" s="40"/>
      <c r="AB84" s="98">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8"/>
      <c r="AA85" s="40"/>
      <c r="AB85" s="98">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8">
        <f>Z83+Z84</f>
        <v>4195</v>
      </c>
      <c r="AA86" s="40"/>
      <c r="AB86" s="97">
        <f>AB83+AB84+AB85</f>
        <v>9019</v>
      </c>
      <c r="AC86" s="43"/>
      <c r="AD86" s="22"/>
    </row>
    <row r="87" spans="1:30" x14ac:dyDescent="0.3">
      <c r="A87" s="110"/>
      <c r="B87" s="111" t="s">
        <v>27</v>
      </c>
      <c r="C87" s="59"/>
      <c r="D87" s="59"/>
      <c r="E87" s="59"/>
      <c r="F87" s="59"/>
      <c r="G87" s="59"/>
      <c r="H87" s="59"/>
      <c r="I87" s="59"/>
      <c r="J87" s="59"/>
      <c r="K87" s="59"/>
      <c r="L87" s="59"/>
      <c r="M87" s="59"/>
      <c r="N87" s="59"/>
      <c r="O87" s="59"/>
      <c r="P87" s="59"/>
      <c r="Q87" s="59"/>
      <c r="R87" s="59"/>
      <c r="S87" s="59"/>
      <c r="T87" s="59"/>
      <c r="U87" s="59"/>
      <c r="V87" s="59"/>
      <c r="W87" s="59"/>
      <c r="X87" s="59"/>
      <c r="Y87" s="59"/>
      <c r="Z87" s="238"/>
      <c r="AA87" s="112"/>
      <c r="AB87" s="113"/>
      <c r="AC87" s="114"/>
      <c r="AD87" s="5"/>
    </row>
    <row r="88" spans="1:30" x14ac:dyDescent="0.3">
      <c r="A88" s="110">
        <v>1</v>
      </c>
      <c r="B88" s="59" t="s">
        <v>138</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98">
        <v>0</v>
      </c>
      <c r="AC88" s="114"/>
      <c r="AD88" s="5"/>
    </row>
    <row r="89" spans="1:30" x14ac:dyDescent="0.3">
      <c r="A89" s="110">
        <v>2</v>
      </c>
      <c r="B89" s="59" t="s">
        <v>275</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-2</v>
      </c>
      <c r="AC89" s="114"/>
      <c r="AD89" s="5"/>
    </row>
    <row r="90" spans="1:30" x14ac:dyDescent="0.3">
      <c r="A90" s="110">
        <v>3</v>
      </c>
      <c r="B90" s="59" t="s">
        <v>247</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f>-329-4-10</f>
        <v>-343</v>
      </c>
      <c r="AC90" s="114"/>
      <c r="AD90" s="5"/>
    </row>
    <row r="91" spans="1:30" x14ac:dyDescent="0.3">
      <c r="A91" s="110">
        <v>4</v>
      </c>
      <c r="B91" s="59" t="s">
        <v>82</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v>6303</v>
      </c>
      <c r="AC91" s="114"/>
      <c r="AD91" s="5"/>
    </row>
    <row r="92" spans="1:30" x14ac:dyDescent="0.3">
      <c r="A92" s="110">
        <v>5</v>
      </c>
      <c r="B92" s="59" t="s">
        <v>129</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-7478</v>
      </c>
      <c r="AC92" s="114"/>
      <c r="AD92" s="5"/>
    </row>
    <row r="93" spans="1:30" x14ac:dyDescent="0.3">
      <c r="A93" s="110">
        <v>6</v>
      </c>
      <c r="B93" s="59" t="s">
        <v>150</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-622</v>
      </c>
      <c r="AC93" s="114"/>
      <c r="AD93" s="5"/>
    </row>
    <row r="94" spans="1:30" x14ac:dyDescent="0.3">
      <c r="A94" s="110">
        <v>7</v>
      </c>
      <c r="B94" s="59" t="s">
        <v>201</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0</v>
      </c>
      <c r="AC94" s="114"/>
      <c r="AD94" s="5"/>
    </row>
    <row r="95" spans="1:30" x14ac:dyDescent="0.3">
      <c r="A95" s="110">
        <v>8</v>
      </c>
      <c r="B95" s="59" t="s">
        <v>151</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-356</v>
      </c>
      <c r="AC95" s="114"/>
      <c r="AD95" s="5"/>
    </row>
    <row r="96" spans="1:30" x14ac:dyDescent="0.3">
      <c r="A96" s="110">
        <v>9</v>
      </c>
      <c r="B96" s="59" t="s">
        <v>180</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-373</v>
      </c>
      <c r="AC96" s="114"/>
      <c r="AD96" s="5"/>
    </row>
    <row r="97" spans="1:30" x14ac:dyDescent="0.3">
      <c r="A97" s="110">
        <v>10</v>
      </c>
      <c r="B97" s="59" t="s">
        <v>130</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0</v>
      </c>
      <c r="AC97" s="114"/>
      <c r="AD97" s="5"/>
    </row>
    <row r="98" spans="1:30" x14ac:dyDescent="0.3">
      <c r="A98" s="110">
        <v>11</v>
      </c>
      <c r="B98" s="59" t="s">
        <v>200</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0</v>
      </c>
      <c r="AC98" s="114"/>
      <c r="AD98" s="5"/>
    </row>
    <row r="99" spans="1:30" x14ac:dyDescent="0.3">
      <c r="A99" s="110">
        <v>12</v>
      </c>
      <c r="B99" s="59" t="s">
        <v>33</v>
      </c>
      <c r="C99" s="59"/>
      <c r="D99" s="59"/>
      <c r="E99" s="59"/>
      <c r="F99" s="59"/>
      <c r="G99" s="59"/>
      <c r="H99" s="59"/>
      <c r="I99" s="59"/>
      <c r="J99" s="59"/>
      <c r="K99" s="59"/>
      <c r="L99" s="59"/>
      <c r="M99" s="59"/>
      <c r="N99" s="59"/>
      <c r="O99" s="59"/>
      <c r="P99" s="59"/>
      <c r="Q99" s="59"/>
      <c r="R99" s="59"/>
      <c r="S99" s="59"/>
      <c r="T99" s="59"/>
      <c r="U99" s="59"/>
      <c r="V99" s="59"/>
      <c r="W99" s="59"/>
      <c r="X99" s="59"/>
      <c r="Y99" s="59"/>
      <c r="Z99" s="238">
        <f>-AB99</f>
        <v>1</v>
      </c>
      <c r="AA99" s="112"/>
      <c r="AB99" s="98">
        <v>-1</v>
      </c>
      <c r="AC99" s="114"/>
      <c r="AD99" s="5"/>
    </row>
    <row r="100" spans="1:30" x14ac:dyDescent="0.3">
      <c r="A100" s="110">
        <v>13</v>
      </c>
      <c r="B100" s="59" t="s">
        <v>276</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14</v>
      </c>
      <c r="B101" s="59" t="s">
        <v>277</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c r="AA101" s="112"/>
      <c r="AB101" s="98">
        <v>-3000</v>
      </c>
      <c r="AC101" s="114"/>
      <c r="AD101" s="5"/>
    </row>
    <row r="102" spans="1:30" x14ac:dyDescent="0.3">
      <c r="A102" s="110">
        <v>15</v>
      </c>
      <c r="B102" s="59" t="s">
        <v>28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-26</v>
      </c>
      <c r="AC102" s="114"/>
      <c r="AD102" s="5"/>
    </row>
    <row r="103" spans="1:30" x14ac:dyDescent="0.3">
      <c r="A103" s="110">
        <v>16</v>
      </c>
      <c r="B103" s="59" t="s">
        <v>118</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0</v>
      </c>
      <c r="AC103" s="114"/>
      <c r="AD103" s="5"/>
    </row>
    <row r="104" spans="1:30" x14ac:dyDescent="0.3">
      <c r="A104" s="110">
        <v>17</v>
      </c>
      <c r="B104" s="59" t="s">
        <v>188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0</v>
      </c>
      <c r="AC104" s="114"/>
      <c r="AD104" s="5"/>
    </row>
    <row r="105" spans="1:30" x14ac:dyDescent="0.3">
      <c r="A105" s="110">
        <v>18</v>
      </c>
      <c r="B105" s="59" t="s">
        <v>162</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-466</v>
      </c>
      <c r="AC105" s="114"/>
      <c r="AD105" s="5"/>
    </row>
    <row r="106" spans="1:30" x14ac:dyDescent="0.3">
      <c r="A106" s="110">
        <v>19</v>
      </c>
      <c r="B106" s="59" t="s">
        <v>257</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-199</v>
      </c>
      <c r="AC106" s="114"/>
      <c r="AD106" s="5"/>
    </row>
    <row r="107" spans="1:30" x14ac:dyDescent="0.3">
      <c r="A107" s="110">
        <v>20</v>
      </c>
      <c r="B107" s="59" t="s">
        <v>258</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-57</v>
      </c>
      <c r="AC107" s="114"/>
      <c r="AD107" s="5"/>
    </row>
    <row r="108" spans="1:30" x14ac:dyDescent="0.3">
      <c r="A108" s="110">
        <v>21</v>
      </c>
      <c r="B108" s="59" t="s">
        <v>259</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0</v>
      </c>
      <c r="AC108" s="114"/>
      <c r="AD108" s="5"/>
    </row>
    <row r="109" spans="1:30" x14ac:dyDescent="0.3">
      <c r="A109" s="110">
        <v>22</v>
      </c>
      <c r="B109" s="59" t="s">
        <v>260</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0</v>
      </c>
      <c r="AC109" s="114"/>
      <c r="AD109" s="5"/>
    </row>
    <row r="110" spans="1:30" x14ac:dyDescent="0.3">
      <c r="A110" s="110">
        <v>23</v>
      </c>
      <c r="B110" s="59" t="s">
        <v>131</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24</v>
      </c>
      <c r="B111" s="59" t="s">
        <v>137</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f>-16-71</f>
        <v>-87</v>
      </c>
      <c r="AC111" s="114"/>
      <c r="AD111" s="5"/>
    </row>
    <row r="112" spans="1:30" x14ac:dyDescent="0.3">
      <c r="A112" s="110">
        <v>25</v>
      </c>
      <c r="B112" s="59" t="s">
        <v>255</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-5</v>
      </c>
      <c r="AC112" s="114"/>
      <c r="AD112" s="5"/>
    </row>
    <row r="113" spans="1:30" x14ac:dyDescent="0.3">
      <c r="A113" s="110">
        <v>26</v>
      </c>
      <c r="B113" s="59" t="s">
        <v>226</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-2307</v>
      </c>
      <c r="AC113" s="114"/>
      <c r="AD113" s="5"/>
    </row>
    <row r="114" spans="1:30" x14ac:dyDescent="0.3">
      <c r="A114" s="110"/>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113"/>
      <c r="AC114" s="114"/>
      <c r="AD114" s="5"/>
    </row>
    <row r="115" spans="1:30" x14ac:dyDescent="0.3">
      <c r="A115" s="110"/>
      <c r="B115" s="111" t="s">
        <v>29</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112"/>
      <c r="AB115" s="116"/>
      <c r="AC115" s="114"/>
      <c r="AD115" s="5"/>
    </row>
    <row r="116" spans="1:30" x14ac:dyDescent="0.3">
      <c r="A116" s="110"/>
      <c r="B116" s="40" t="s">
        <v>227</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v>0</v>
      </c>
      <c r="AA116" s="112"/>
      <c r="AB116" s="116"/>
      <c r="AC116" s="114"/>
      <c r="AD116" s="5"/>
    </row>
    <row r="117" spans="1:30" s="23" customFormat="1" x14ac:dyDescent="0.3">
      <c r="A117" s="47"/>
      <c r="B117" s="40" t="s">
        <v>156</v>
      </c>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238">
        <v>0</v>
      </c>
      <c r="AA117" s="97"/>
      <c r="AB117" s="98"/>
      <c r="AC117" s="43"/>
      <c r="AD117" s="22"/>
    </row>
    <row r="118" spans="1:30" s="23" customFormat="1" x14ac:dyDescent="0.3">
      <c r="A118" s="47"/>
      <c r="B118" s="40" t="s">
        <v>157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8">
        <v>0</v>
      </c>
      <c r="AA118" s="97"/>
      <c r="AB118" s="98"/>
      <c r="AC118" s="43"/>
      <c r="AD118" s="22"/>
    </row>
    <row r="119" spans="1:30" s="23" customFormat="1" x14ac:dyDescent="0.3">
      <c r="A119" s="47"/>
      <c r="B119" s="40" t="s">
        <v>262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263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312</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-4194</v>
      </c>
      <c r="AA121" s="97"/>
      <c r="AB121" s="98"/>
      <c r="AC121" s="43"/>
      <c r="AD121" s="22"/>
    </row>
    <row r="122" spans="1:30" s="23" customFormat="1" x14ac:dyDescent="0.3">
      <c r="A122" s="47"/>
      <c r="B122" s="40" t="s">
        <v>142</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143</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0</v>
      </c>
      <c r="AA123" s="97"/>
      <c r="AB123" s="98"/>
      <c r="AC123" s="43"/>
      <c r="AD123" s="22"/>
    </row>
    <row r="124" spans="1:30" s="23" customFormat="1" x14ac:dyDescent="0.3">
      <c r="A124" s="47"/>
      <c r="B124" s="40" t="s">
        <v>173</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163</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189</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30</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f>SUM(Z116:Z126)</f>
        <v>-4194</v>
      </c>
      <c r="AA127" s="97"/>
      <c r="AB127" s="97">
        <f>SUM(AB87:AB125)</f>
        <v>-9019</v>
      </c>
      <c r="AC127" s="43"/>
      <c r="AD127" s="22"/>
    </row>
    <row r="128" spans="1:30" s="23" customFormat="1" x14ac:dyDescent="0.3">
      <c r="A128" s="47"/>
      <c r="B128" s="40" t="s">
        <v>31</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f>Z86+Z127+Z99</f>
        <v>2</v>
      </c>
      <c r="AA128" s="97"/>
      <c r="AB128" s="97">
        <f>AB86+AB127</f>
        <v>0</v>
      </c>
      <c r="AC128" s="43"/>
      <c r="AD128" s="22"/>
    </row>
    <row r="129" spans="1:30" s="23" customFormat="1" x14ac:dyDescent="0.3">
      <c r="A129" s="18"/>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106"/>
      <c r="AA129" s="106"/>
      <c r="AB129" s="106"/>
      <c r="AC129" s="21"/>
      <c r="AD129" s="22"/>
    </row>
    <row r="130" spans="1:30" s="23" customFormat="1" x14ac:dyDescent="0.3">
      <c r="A130" s="18"/>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117"/>
      <c r="AC130" s="21"/>
      <c r="AD130" s="22"/>
    </row>
    <row r="131" spans="1:30" s="23" customFormat="1" ht="18.600000000000001" thickBot="1" x14ac:dyDescent="0.4">
      <c r="A131" s="83"/>
      <c r="B131" s="84" t="str">
        <f>B53</f>
        <v>PM27 INVESTOR REPORT QUARTER ENDING JUNE 2023</v>
      </c>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118"/>
      <c r="AC131" s="87"/>
      <c r="AD131" s="22"/>
    </row>
    <row r="132" spans="1:30" x14ac:dyDescent="0.3">
      <c r="A132" s="119"/>
      <c r="B132" s="120" t="s">
        <v>32</v>
      </c>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2"/>
      <c r="AC132" s="123"/>
      <c r="AD132" s="5"/>
    </row>
    <row r="133" spans="1:30" x14ac:dyDescent="0.3">
      <c r="A133" s="7"/>
      <c r="B133" s="124"/>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1"/>
      <c r="AC133" s="10"/>
      <c r="AD133" s="5"/>
    </row>
    <row r="134" spans="1:30" x14ac:dyDescent="0.3">
      <c r="A134" s="7"/>
      <c r="B134" s="125" t="s">
        <v>192</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1"/>
      <c r="AC134" s="10"/>
      <c r="AD134" s="5"/>
    </row>
    <row r="135" spans="1:30" s="23" customFormat="1" x14ac:dyDescent="0.3">
      <c r="A135" s="47"/>
      <c r="B135" s="40" t="s">
        <v>199</v>
      </c>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98">
        <f>SUM(F29:H29)*1.5%</f>
        <v>10351.994999999999</v>
      </c>
      <c r="AC135" s="43"/>
      <c r="AD135" s="22"/>
    </row>
    <row r="136" spans="1:30" s="23" customFormat="1" x14ac:dyDescent="0.3">
      <c r="A136" s="47"/>
      <c r="B136" s="40" t="s">
        <v>204</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8">
        <f>+'March 2023'!AB143</f>
        <v>8766.994999999999</v>
      </c>
      <c r="AC136" s="43"/>
      <c r="AD136" s="22"/>
    </row>
    <row r="137" spans="1:30" s="23" customFormat="1" x14ac:dyDescent="0.3">
      <c r="A137" s="47"/>
      <c r="B137" s="40" t="s">
        <v>248</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8"/>
      <c r="AC137" s="43"/>
      <c r="AD137" s="22"/>
    </row>
    <row r="138" spans="1:30" s="23" customFormat="1" x14ac:dyDescent="0.3">
      <c r="A138" s="47"/>
      <c r="B138" s="40" t="s">
        <v>250</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v>0</v>
      </c>
      <c r="AC138" s="43"/>
      <c r="AD138" s="22"/>
    </row>
    <row r="139" spans="1:30" s="23" customFormat="1" x14ac:dyDescent="0.3">
      <c r="A139" s="47"/>
      <c r="B139" s="40" t="s">
        <v>198</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v>0</v>
      </c>
      <c r="AC139" s="43"/>
      <c r="AD139" s="22"/>
    </row>
    <row r="140" spans="1:30" s="23" customFormat="1" x14ac:dyDescent="0.3">
      <c r="A140" s="47"/>
      <c r="B140" s="40" t="s">
        <v>150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v>0</v>
      </c>
      <c r="AC140" s="43"/>
      <c r="AD140" s="22"/>
    </row>
    <row r="141" spans="1:30" s="23" customFormat="1" x14ac:dyDescent="0.3">
      <c r="A141" s="47"/>
      <c r="B141" s="40" t="s">
        <v>87</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251</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-57</v>
      </c>
      <c r="AC142" s="43"/>
      <c r="AD142" s="22"/>
    </row>
    <row r="143" spans="1:30" s="23" customFormat="1" x14ac:dyDescent="0.3">
      <c r="A143" s="47"/>
      <c r="B143" s="40" t="s">
        <v>203</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f>SUM(AB136:AB142)</f>
        <v>8709.994999999999</v>
      </c>
      <c r="AC143" s="43"/>
      <c r="AD143" s="22"/>
    </row>
    <row r="144" spans="1:30" x14ac:dyDescent="0.3">
      <c r="A144" s="7"/>
      <c r="B144" s="124"/>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1"/>
      <c r="AC144" s="10"/>
      <c r="AD144" s="5"/>
    </row>
    <row r="145" spans="1:30" x14ac:dyDescent="0.3">
      <c r="A145" s="7"/>
      <c r="B145" s="125" t="s">
        <v>190</v>
      </c>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1"/>
      <c r="AC145" s="10"/>
      <c r="AD145" s="5"/>
    </row>
    <row r="146" spans="1:30" s="23" customFormat="1" x14ac:dyDescent="0.3">
      <c r="A146" s="47"/>
      <c r="B146" s="59" t="s">
        <v>191</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SUM(J29:L29)*1.5%</f>
        <v>684.42</v>
      </c>
      <c r="AC146" s="43"/>
      <c r="AD146" s="22"/>
    </row>
    <row r="147" spans="1:30" s="23" customFormat="1" x14ac:dyDescent="0.3">
      <c r="A147" s="47"/>
      <c r="B147" s="59" t="s">
        <v>205</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8">
        <f>SUM(J29:L29)*0.015</f>
        <v>684.42</v>
      </c>
      <c r="AC147" s="43"/>
      <c r="AD147" s="22"/>
    </row>
    <row r="148" spans="1:30" s="23" customFormat="1" x14ac:dyDescent="0.3">
      <c r="A148" s="47"/>
      <c r="B148" s="59" t="s">
        <v>93</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8"/>
      <c r="AC148" s="43"/>
      <c r="AD148" s="22"/>
    </row>
    <row r="149" spans="1:30" s="23" customFormat="1" x14ac:dyDescent="0.3">
      <c r="A149" s="47"/>
      <c r="B149" s="40" t="s">
        <v>250</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v>0</v>
      </c>
      <c r="AC149" s="43"/>
      <c r="AD149" s="22"/>
    </row>
    <row r="150" spans="1:30" s="23" customFormat="1" x14ac:dyDescent="0.3">
      <c r="A150" s="47"/>
      <c r="B150" s="59" t="s">
        <v>129</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v>0</v>
      </c>
      <c r="AC150" s="43"/>
      <c r="AD150" s="22"/>
    </row>
    <row r="151" spans="1:30" s="23" customFormat="1" x14ac:dyDescent="0.3">
      <c r="A151" s="47"/>
      <c r="B151" s="59" t="s">
        <v>150</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v>0</v>
      </c>
      <c r="AC151" s="43"/>
      <c r="AD151" s="22"/>
    </row>
    <row r="152" spans="1:30" s="23" customFormat="1" x14ac:dyDescent="0.3">
      <c r="A152" s="47"/>
      <c r="B152" s="59" t="s">
        <v>151</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0" s="23" customFormat="1" x14ac:dyDescent="0.3">
      <c r="A153" s="47"/>
      <c r="B153" s="59" t="s">
        <v>180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0" s="23" customFormat="1" x14ac:dyDescent="0.3">
      <c r="A154" s="47"/>
      <c r="B154" s="59" t="s">
        <v>87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0" s="23" customFormat="1" x14ac:dyDescent="0.3">
      <c r="A155" s="47"/>
      <c r="B155" s="40" t="s">
        <v>251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0" s="23" customFormat="1" x14ac:dyDescent="0.3">
      <c r="A156" s="47"/>
      <c r="B156" s="59" t="s">
        <v>202</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f>SUM(AB147:AB155)</f>
        <v>684.42</v>
      </c>
      <c r="AC156" s="43"/>
      <c r="AD156" s="22"/>
    </row>
    <row r="157" spans="1:30" x14ac:dyDescent="0.3">
      <c r="A157" s="7"/>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126"/>
      <c r="AC157" s="10"/>
      <c r="AD157" s="5"/>
    </row>
    <row r="158" spans="1:30" x14ac:dyDescent="0.3">
      <c r="A158" s="7"/>
      <c r="B158" s="125" t="s">
        <v>174</v>
      </c>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8"/>
      <c r="AC158" s="10"/>
      <c r="AD158" s="5"/>
    </row>
    <row r="159" spans="1:30" s="23" customFormat="1" x14ac:dyDescent="0.3">
      <c r="A159" s="129"/>
      <c r="B159" s="230" t="s">
        <v>281</v>
      </c>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1">
        <f>+'March 2023'!AB162</f>
        <v>0</v>
      </c>
      <c r="AC159" s="132"/>
      <c r="AD159" s="22"/>
    </row>
    <row r="160" spans="1:30" s="23" customFormat="1" x14ac:dyDescent="0.3">
      <c r="A160" s="129"/>
      <c r="B160" s="230" t="s">
        <v>175</v>
      </c>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1">
        <f>X64</f>
        <v>0</v>
      </c>
      <c r="AC160" s="132"/>
      <c r="AD160" s="22"/>
    </row>
    <row r="161" spans="1:262" s="23" customFormat="1" x14ac:dyDescent="0.3">
      <c r="A161" s="129"/>
      <c r="B161" s="230" t="s">
        <v>249</v>
      </c>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1">
        <v>0</v>
      </c>
      <c r="AC161" s="132"/>
      <c r="AD161" s="22"/>
    </row>
    <row r="162" spans="1:262" s="23" customFormat="1" x14ac:dyDescent="0.3">
      <c r="A162" s="129"/>
      <c r="B162" s="230" t="s">
        <v>176</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AB159+AB160+AB161</f>
        <v>0</v>
      </c>
      <c r="AC162" s="132"/>
      <c r="AD162" s="22"/>
    </row>
    <row r="163" spans="1:262" x14ac:dyDescent="0.3">
      <c r="A163" s="7"/>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126"/>
      <c r="AC163" s="10"/>
      <c r="AD163" s="5"/>
    </row>
    <row r="164" spans="1:262" x14ac:dyDescent="0.3">
      <c r="A164" s="7"/>
      <c r="B164" s="125" t="s">
        <v>34</v>
      </c>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133"/>
      <c r="AC164" s="10"/>
      <c r="AD164" s="5"/>
    </row>
    <row r="165" spans="1:262" s="23" customFormat="1" x14ac:dyDescent="0.3">
      <c r="A165" s="47"/>
      <c r="B165" s="40" t="s">
        <v>35</v>
      </c>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98">
        <v>0</v>
      </c>
      <c r="AC165" s="43"/>
      <c r="AD165" s="22"/>
    </row>
    <row r="166" spans="1:262" s="23" customFormat="1" x14ac:dyDescent="0.3">
      <c r="A166" s="47"/>
      <c r="B166" s="40" t="s">
        <v>36</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8">
        <v>1</v>
      </c>
      <c r="AC166" s="43"/>
      <c r="AD166" s="22"/>
    </row>
    <row r="167" spans="1:262" s="23" customFormat="1" x14ac:dyDescent="0.3">
      <c r="A167" s="47"/>
      <c r="B167" s="40" t="s">
        <v>219</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8">
        <v>0</v>
      </c>
      <c r="AC167" s="43"/>
      <c r="AD167" s="22"/>
    </row>
    <row r="168" spans="1:262" s="23" customFormat="1" x14ac:dyDescent="0.3">
      <c r="A168" s="47"/>
      <c r="B168" s="40" t="s">
        <v>37</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+AB165+AB166+AB167</f>
        <v>1</v>
      </c>
      <c r="AC168" s="43"/>
      <c r="AD168" s="22"/>
    </row>
    <row r="169" spans="1:262" s="23" customFormat="1" x14ac:dyDescent="0.3">
      <c r="A169" s="47"/>
      <c r="B169" s="40" t="s">
        <v>268</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f>+AB99</f>
        <v>-1</v>
      </c>
      <c r="AC169" s="43"/>
      <c r="AD169" s="22"/>
    </row>
    <row r="170" spans="1:262" s="23" customFormat="1" x14ac:dyDescent="0.3">
      <c r="A170" s="47"/>
      <c r="B170" s="40" t="s">
        <v>38</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f>AB168+AB169</f>
        <v>0</v>
      </c>
      <c r="AC170" s="43"/>
      <c r="AD170" s="22"/>
    </row>
    <row r="171" spans="1:262" s="23" customFormat="1" x14ac:dyDescent="0.3">
      <c r="A171" s="47"/>
      <c r="B171" s="40" t="s">
        <v>124</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-AB85</f>
        <v>0</v>
      </c>
      <c r="AC171" s="43"/>
      <c r="AD171" s="22"/>
    </row>
    <row r="172" spans="1:262" ht="16.2" thickBot="1" x14ac:dyDescent="0.35">
      <c r="A172" s="7"/>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126"/>
      <c r="AC172" s="10"/>
      <c r="AD172" s="5"/>
    </row>
    <row r="173" spans="1:262" x14ac:dyDescent="0.3">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134"/>
      <c r="AC173" s="4"/>
      <c r="AD173" s="5"/>
    </row>
    <row r="174" spans="1:262" s="136" customFormat="1" x14ac:dyDescent="0.3">
      <c r="A174" s="7"/>
      <c r="B174" s="125" t="s">
        <v>193</v>
      </c>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135"/>
      <c r="AC174" s="10"/>
      <c r="AD174" s="5"/>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row>
    <row r="175" spans="1:262" s="137" customFormat="1" x14ac:dyDescent="0.3">
      <c r="A175" s="47"/>
      <c r="B175" s="40" t="s">
        <v>332</v>
      </c>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98">
        <v>0</v>
      </c>
      <c r="AC175" s="43"/>
      <c r="AD175" s="22"/>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row>
    <row r="176" spans="1:262" s="137" customFormat="1" x14ac:dyDescent="0.3">
      <c r="A176" s="47"/>
      <c r="B176" s="40" t="s">
        <v>210</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8">
        <f>+'March 2023'!AB179</f>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7" customFormat="1" x14ac:dyDescent="0.3">
      <c r="A177" s="47"/>
      <c r="B177" s="40" t="s">
        <v>234</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8">
        <f>-AB185</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7" customFormat="1" x14ac:dyDescent="0.3">
      <c r="A178" s="47"/>
      <c r="B178" s="40" t="s">
        <v>236</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f>+AB81</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207</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+AB176+AB177-AB178</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9" customFormat="1" ht="16.2" thickBot="1" x14ac:dyDescent="0.35">
      <c r="A180" s="138"/>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126"/>
      <c r="AC180" s="10"/>
      <c r="AD180" s="5"/>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row>
    <row r="181" spans="1:262" x14ac:dyDescent="0.3">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134"/>
      <c r="AC181" s="4"/>
      <c r="AD181" s="5"/>
    </row>
    <row r="182" spans="1:262" s="136" customFormat="1" x14ac:dyDescent="0.3">
      <c r="A182" s="7"/>
      <c r="B182" s="125" t="s">
        <v>206</v>
      </c>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135"/>
      <c r="AC182" s="10"/>
      <c r="AD182" s="5"/>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row>
    <row r="183" spans="1:262" s="137" customFormat="1" x14ac:dyDescent="0.3">
      <c r="A183" s="47"/>
      <c r="B183" s="40" t="s">
        <v>208</v>
      </c>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98">
        <v>300</v>
      </c>
      <c r="AC183" s="43"/>
      <c r="AD183" s="22"/>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row>
    <row r="184" spans="1:262" s="137" customFormat="1" x14ac:dyDescent="0.3">
      <c r="A184" s="47"/>
      <c r="B184" s="40" t="s">
        <v>211</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98">
        <f>+'March 2023'!AB187</f>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7" customFormat="1" x14ac:dyDescent="0.3">
      <c r="A185" s="47"/>
      <c r="B185" s="59" t="s">
        <v>228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8">
        <v>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7" customFormat="1" x14ac:dyDescent="0.3">
      <c r="A186" s="47"/>
      <c r="B186" s="59" t="s">
        <v>229</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f>-AB100</f>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209</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AB183-AB185+AB186</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9" customFormat="1" ht="16.2" thickBot="1" x14ac:dyDescent="0.35">
      <c r="A188" s="138"/>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126"/>
      <c r="AC188" s="10"/>
      <c r="AD188" s="5"/>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row>
    <row r="189" spans="1:262" x14ac:dyDescent="0.3">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134"/>
      <c r="AC189" s="4"/>
      <c r="AD189" s="5"/>
    </row>
    <row r="190" spans="1:262" s="136" customFormat="1" x14ac:dyDescent="0.3">
      <c r="A190" s="7"/>
      <c r="B190" s="125" t="s">
        <v>212</v>
      </c>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135"/>
      <c r="AC190" s="10"/>
      <c r="AD190" s="5"/>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row>
    <row r="191" spans="1:262" s="137" customFormat="1" x14ac:dyDescent="0.3">
      <c r="A191" s="47"/>
      <c r="B191" s="40" t="s">
        <v>334</v>
      </c>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98">
        <v>0</v>
      </c>
      <c r="AC191" s="43"/>
      <c r="AD191" s="22"/>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row>
    <row r="192" spans="1:262" s="137" customFormat="1" x14ac:dyDescent="0.3">
      <c r="A192" s="47"/>
      <c r="B192" s="40" t="s">
        <v>213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98">
        <f>+'March 2023'!AB195</f>
        <v>937</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7" customFormat="1" x14ac:dyDescent="0.3">
      <c r="A193" s="47"/>
      <c r="B193" s="40" t="s">
        <v>235</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8">
        <f>AB201</f>
        <v>3056</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7"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f>AB82</f>
        <v>2525</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346</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AB192+AB193-AB194</f>
        <v>1468</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9" customFormat="1" ht="16.2" thickBot="1" x14ac:dyDescent="0.35">
      <c r="A196" s="138"/>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126"/>
      <c r="AC196" s="10"/>
      <c r="AD196" s="5"/>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row>
    <row r="197" spans="1:262" x14ac:dyDescent="0.3">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134"/>
      <c r="AC197" s="4"/>
      <c r="AD197" s="5"/>
    </row>
    <row r="198" spans="1:262" s="136" customFormat="1" x14ac:dyDescent="0.3">
      <c r="A198" s="7"/>
      <c r="B198" s="125" t="s">
        <v>333</v>
      </c>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135"/>
      <c r="AC198" s="10"/>
      <c r="AD198" s="5"/>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row>
    <row r="199" spans="1:262" s="137" customFormat="1" x14ac:dyDescent="0.3">
      <c r="A199" s="47"/>
      <c r="B199" s="40" t="s">
        <v>214</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v>301</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7" customFormat="1" x14ac:dyDescent="0.3">
      <c r="A200" s="47"/>
      <c r="B200" s="40" t="s">
        <v>215</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98">
        <f>+'March 2023'!AB203</f>
        <v>3069</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7" customFormat="1" x14ac:dyDescent="0.3">
      <c r="A201" s="47"/>
      <c r="B201" s="59" t="s">
        <v>256</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8">
        <v>3056</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7" customFormat="1" x14ac:dyDescent="0.3">
      <c r="A202" s="47"/>
      <c r="B202" s="59" t="s">
        <v>231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f>-AB101</f>
        <v>3000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AB200-AB201+AB202</f>
        <v>3013</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9" customFormat="1" ht="16.2" thickBot="1" x14ac:dyDescent="0.35">
      <c r="A204" s="138"/>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126"/>
      <c r="AC204" s="10"/>
      <c r="AD204" s="5"/>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row>
    <row r="205" spans="1:262" x14ac:dyDescent="0.3">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134"/>
      <c r="AC205" s="4"/>
      <c r="AD205" s="5"/>
    </row>
    <row r="206" spans="1:262" s="136" customFormat="1" x14ac:dyDescent="0.3">
      <c r="A206" s="7"/>
      <c r="B206" s="125" t="s">
        <v>237</v>
      </c>
      <c r="C206" s="99"/>
      <c r="D206" s="99"/>
      <c r="E206" s="99"/>
      <c r="F206" s="99"/>
      <c r="G206" s="99"/>
      <c r="H206" s="99"/>
      <c r="I206" s="99"/>
      <c r="J206" s="99"/>
      <c r="K206" s="99"/>
      <c r="L206" s="99"/>
      <c r="M206" s="99"/>
      <c r="N206" s="99"/>
      <c r="O206" s="99"/>
      <c r="P206" s="99"/>
      <c r="Q206" s="99"/>
      <c r="R206" s="99"/>
      <c r="S206" s="99"/>
      <c r="T206" s="99"/>
      <c r="U206" s="99"/>
      <c r="V206" s="99"/>
      <c r="W206" s="99"/>
      <c r="X206" s="99"/>
      <c r="Y206" s="233" t="s">
        <v>243</v>
      </c>
      <c r="Z206" s="233" t="s">
        <v>244</v>
      </c>
      <c r="AA206" s="12"/>
      <c r="AB206" s="234" t="s">
        <v>80</v>
      </c>
      <c r="AC206" s="10"/>
      <c r="AD206" s="5"/>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row>
    <row r="207" spans="1:262" s="137" customFormat="1" x14ac:dyDescent="0.3">
      <c r="A207" s="47"/>
      <c r="B207" s="40" t="s">
        <v>238</v>
      </c>
      <c r="C207" s="40"/>
      <c r="D207" s="40"/>
      <c r="E207" s="40"/>
      <c r="F207" s="40"/>
      <c r="G207" s="40"/>
      <c r="H207" s="40"/>
      <c r="I207" s="40"/>
      <c r="J207" s="40"/>
      <c r="K207" s="40"/>
      <c r="L207" s="40"/>
      <c r="M207" s="40"/>
      <c r="N207" s="40"/>
      <c r="O207" s="40"/>
      <c r="P207" s="40"/>
      <c r="Q207" s="40"/>
      <c r="R207" s="40"/>
      <c r="S207" s="40"/>
      <c r="T207" s="40"/>
      <c r="U207" s="40"/>
      <c r="V207" s="40"/>
      <c r="W207" s="40"/>
      <c r="X207" s="40"/>
      <c r="Y207" s="98">
        <f>SUM(F29:R29)*0.16</f>
        <v>124206.40000000001</v>
      </c>
      <c r="Z207" s="70"/>
      <c r="AA207" s="40"/>
      <c r="AB207" s="98"/>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7" customFormat="1" x14ac:dyDescent="0.3">
      <c r="A208" s="47"/>
      <c r="B208" s="40" t="s">
        <v>239</v>
      </c>
      <c r="C208" s="40"/>
      <c r="D208" s="40"/>
      <c r="E208" s="40"/>
      <c r="F208" s="40"/>
      <c r="G208" s="40"/>
      <c r="H208" s="40"/>
      <c r="I208" s="40"/>
      <c r="J208" s="40"/>
      <c r="K208" s="40"/>
      <c r="L208" s="40"/>
      <c r="M208" s="40"/>
      <c r="N208" s="40"/>
      <c r="O208" s="40"/>
      <c r="P208" s="40"/>
      <c r="Q208" s="40"/>
      <c r="R208" s="40"/>
      <c r="S208" s="40"/>
      <c r="T208" s="40"/>
      <c r="U208" s="40"/>
      <c r="V208" s="40"/>
      <c r="W208" s="40"/>
      <c r="X208" s="40"/>
      <c r="Y208" s="98">
        <f>+'March 2023'!Y210</f>
        <v>0</v>
      </c>
      <c r="Z208" s="98">
        <f>+'March 2023'!Z210</f>
        <v>382</v>
      </c>
      <c r="AA208" s="40"/>
      <c r="AB208" s="98">
        <f>Y208+Z208</f>
        <v>382</v>
      </c>
      <c r="AC208" s="43"/>
      <c r="AD208" s="22"/>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row>
    <row r="209" spans="1:262" s="137" customFormat="1" x14ac:dyDescent="0.3">
      <c r="A209" s="47"/>
      <c r="B209" s="40" t="s">
        <v>240</v>
      </c>
      <c r="C209" s="40"/>
      <c r="D209" s="40"/>
      <c r="E209" s="40"/>
      <c r="F209" s="40"/>
      <c r="G209" s="40"/>
      <c r="H209" s="40"/>
      <c r="I209" s="40"/>
      <c r="J209" s="40"/>
      <c r="K209" s="40"/>
      <c r="L209" s="40"/>
      <c r="M209" s="40"/>
      <c r="N209" s="40"/>
      <c r="O209" s="40"/>
      <c r="P209" s="40"/>
      <c r="Q209" s="40"/>
      <c r="R209" s="40"/>
      <c r="S209" s="40"/>
      <c r="T209" s="40"/>
      <c r="U209" s="40"/>
      <c r="V209" s="40"/>
      <c r="W209" s="40"/>
      <c r="X209" s="40"/>
      <c r="Y209" s="97">
        <v>0</v>
      </c>
      <c r="Z209" s="97">
        <v>0</v>
      </c>
      <c r="AA209" s="40"/>
      <c r="AB209" s="98">
        <f>Y209+Z209</f>
        <v>0</v>
      </c>
      <c r="AC209" s="43"/>
      <c r="AD209" s="22"/>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row>
    <row r="210" spans="1:262" s="137" customFormat="1" x14ac:dyDescent="0.3">
      <c r="A210" s="47"/>
      <c r="B210" s="40" t="s">
        <v>241</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Y208+Y209</f>
        <v>0</v>
      </c>
      <c r="Z210" s="98">
        <f>Z209+Z208</f>
        <v>382</v>
      </c>
      <c r="AA210" s="40"/>
      <c r="AB210" s="98">
        <f>Y210+Z210</f>
        <v>382</v>
      </c>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242</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Y207-Y210-Z210</f>
        <v>123824.40000000001</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9" customFormat="1" ht="16.2" thickBot="1" x14ac:dyDescent="0.35">
      <c r="A212" s="138"/>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126"/>
      <c r="AC212" s="10"/>
      <c r="AD212" s="5"/>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row>
    <row r="213" spans="1:262" x14ac:dyDescent="0.3">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134"/>
      <c r="AC213" s="4"/>
      <c r="AD213" s="5"/>
    </row>
    <row r="214" spans="1:262" s="136" customFormat="1" x14ac:dyDescent="0.3">
      <c r="A214" s="7"/>
      <c r="B214" s="125" t="s">
        <v>267</v>
      </c>
      <c r="C214" s="99"/>
      <c r="D214" s="99"/>
      <c r="E214" s="99"/>
      <c r="F214" s="99"/>
      <c r="G214" s="99"/>
      <c r="H214" s="99"/>
      <c r="I214" s="99"/>
      <c r="J214" s="99"/>
      <c r="K214" s="99"/>
      <c r="L214" s="99"/>
      <c r="M214" s="99"/>
      <c r="N214" s="99"/>
      <c r="O214" s="99"/>
      <c r="P214" s="99"/>
      <c r="Q214" s="99"/>
      <c r="R214" s="99"/>
      <c r="S214" s="99"/>
      <c r="T214" s="99"/>
      <c r="U214" s="99"/>
      <c r="V214" s="99"/>
      <c r="W214" s="99"/>
      <c r="X214" s="99"/>
      <c r="Y214" s="233"/>
      <c r="Z214" s="233"/>
      <c r="AA214" s="12"/>
      <c r="AB214" s="234" t="s">
        <v>80</v>
      </c>
      <c r="AC214" s="10"/>
      <c r="AD214" s="5"/>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row>
    <row r="215" spans="1:262" s="137" customFormat="1" x14ac:dyDescent="0.3">
      <c r="A215" s="47"/>
      <c r="B215" s="40" t="s">
        <v>265</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c r="Z215" s="70"/>
      <c r="AA215" s="40"/>
      <c r="AB215" s="237">
        <v>649500</v>
      </c>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7" customFormat="1" x14ac:dyDescent="0.3">
      <c r="A216" s="47"/>
      <c r="B216" s="40" t="s">
        <v>325</v>
      </c>
      <c r="C216" s="40"/>
      <c r="D216" s="40"/>
      <c r="E216" s="40"/>
      <c r="F216" s="40"/>
      <c r="G216" s="40"/>
      <c r="H216" s="40"/>
      <c r="I216" s="40"/>
      <c r="J216" s="40"/>
      <c r="K216" s="40"/>
      <c r="L216" s="40"/>
      <c r="M216" s="40"/>
      <c r="N216" s="40"/>
      <c r="O216" s="40"/>
      <c r="P216" s="40"/>
      <c r="Q216" s="40"/>
      <c r="R216" s="40"/>
      <c r="S216" s="40"/>
      <c r="T216" s="40"/>
      <c r="U216" s="40"/>
      <c r="V216" s="40"/>
      <c r="W216" s="40"/>
      <c r="X216" s="40"/>
      <c r="Y216" s="98"/>
      <c r="Z216" s="98"/>
      <c r="AA216" s="40"/>
      <c r="AB216" s="237">
        <v>639715</v>
      </c>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7" customFormat="1" x14ac:dyDescent="0.3">
      <c r="A217" s="47"/>
      <c r="B217" s="40" t="s">
        <v>266</v>
      </c>
      <c r="C217" s="40"/>
      <c r="D217" s="40"/>
      <c r="E217" s="40"/>
      <c r="F217" s="40"/>
      <c r="G217" s="40"/>
      <c r="H217" s="40"/>
      <c r="I217" s="40"/>
      <c r="J217" s="40"/>
      <c r="K217" s="40"/>
      <c r="L217" s="40"/>
      <c r="M217" s="40"/>
      <c r="N217" s="40"/>
      <c r="O217" s="40"/>
      <c r="P217" s="40"/>
      <c r="Q217" s="40"/>
      <c r="R217" s="40"/>
      <c r="S217" s="40"/>
      <c r="T217" s="40"/>
      <c r="U217" s="40"/>
      <c r="V217" s="40"/>
      <c r="W217" s="40"/>
      <c r="X217" s="40"/>
      <c r="Y217" s="98"/>
      <c r="Z217" s="98"/>
      <c r="AA217" s="40"/>
      <c r="AB217" s="98">
        <f>AB215-AB216</f>
        <v>9785</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7" customFormat="1" x14ac:dyDescent="0.3">
      <c r="A218" s="47"/>
      <c r="B218" s="40" t="s">
        <v>279</v>
      </c>
      <c r="C218" s="40"/>
      <c r="D218" s="40"/>
      <c r="E218" s="40"/>
      <c r="F218" s="40"/>
      <c r="G218" s="40"/>
      <c r="H218" s="40"/>
      <c r="I218" s="40"/>
      <c r="J218" s="40"/>
      <c r="K218" s="40"/>
      <c r="L218" s="40"/>
      <c r="M218" s="40"/>
      <c r="N218" s="40"/>
      <c r="O218" s="40"/>
      <c r="P218" s="40"/>
      <c r="Q218" s="40"/>
      <c r="R218" s="40"/>
      <c r="S218" s="40"/>
      <c r="T218" s="40"/>
      <c r="U218" s="40"/>
      <c r="V218" s="40"/>
      <c r="W218" s="40"/>
      <c r="X218" s="40"/>
      <c r="Y218" s="97"/>
      <c r="Z218" s="97"/>
      <c r="AA218" s="40"/>
      <c r="AB218" s="240">
        <v>5.8248694316436296E-3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9" customFormat="1" ht="16.2" thickBot="1" x14ac:dyDescent="0.35">
      <c r="A219" s="138"/>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126"/>
      <c r="AC219" s="10"/>
      <c r="AD219" s="5"/>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row>
    <row r="220" spans="1:262" x14ac:dyDescent="0.3">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134"/>
      <c r="AC220" s="4"/>
      <c r="AD220" s="5"/>
    </row>
    <row r="221" spans="1:262" x14ac:dyDescent="0.3">
      <c r="A221" s="7"/>
      <c r="B221" s="125" t="s">
        <v>39</v>
      </c>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140"/>
      <c r="AC221" s="10"/>
      <c r="AD221" s="5"/>
    </row>
    <row r="222" spans="1:262" s="23" customFormat="1" x14ac:dyDescent="0.3">
      <c r="A222" s="47"/>
      <c r="B222" s="40" t="s">
        <v>40</v>
      </c>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142">
        <f>(AB86+AB88+AB89+AB90+AB91)/-AB92</f>
        <v>2.0028082374966569</v>
      </c>
      <c r="AC222" s="43" t="s">
        <v>81</v>
      </c>
      <c r="AD222" s="22"/>
    </row>
    <row r="223" spans="1:262" s="23" customFormat="1" x14ac:dyDescent="0.3">
      <c r="A223" s="47"/>
      <c r="B223" s="40" t="s">
        <v>41</v>
      </c>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142">
        <v>2.57</v>
      </c>
      <c r="AC223" s="43" t="s">
        <v>81</v>
      </c>
      <c r="AD223" s="22"/>
    </row>
    <row r="224" spans="1:262" s="23" customFormat="1" x14ac:dyDescent="0.3">
      <c r="A224" s="47"/>
      <c r="B224" s="40" t="s">
        <v>144</v>
      </c>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141">
        <f>(AB86+AB88+AB89+AB90+AB91+AB92)/-(AB93)</f>
        <v>12.056270096463022</v>
      </c>
      <c r="AC224" s="43" t="s">
        <v>81</v>
      </c>
      <c r="AD224" s="22"/>
    </row>
    <row r="225" spans="1:30" s="23" customFormat="1" x14ac:dyDescent="0.3">
      <c r="A225" s="47"/>
      <c r="B225" s="40" t="s">
        <v>145</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v>18.28</v>
      </c>
      <c r="AC225" s="43" t="s">
        <v>81</v>
      </c>
      <c r="AD225" s="22"/>
    </row>
    <row r="226" spans="1:30" s="23" customFormat="1" x14ac:dyDescent="0.3">
      <c r="A226" s="47"/>
      <c r="B226" s="40" t="s">
        <v>146</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1">
        <f>(AB86+AB88+AB89+AB90+AB91+AB92+AB93)/-(AB95)</f>
        <v>19.317415730337078</v>
      </c>
      <c r="AC226" s="43" t="s">
        <v>81</v>
      </c>
      <c r="AD226" s="22"/>
    </row>
    <row r="227" spans="1:30" s="23" customFormat="1" x14ac:dyDescent="0.3">
      <c r="A227" s="47"/>
      <c r="B227" s="40" t="s">
        <v>147</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28.47</v>
      </c>
      <c r="AC227" s="43" t="s">
        <v>81</v>
      </c>
      <c r="AD227" s="22"/>
    </row>
    <row r="228" spans="1:30" s="23" customFormat="1" x14ac:dyDescent="0.3">
      <c r="A228" s="47"/>
      <c r="B228" s="40" t="s">
        <v>177</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(AB86+AB88+AB89+AB90+AB91+AB92+AB93+AB95)/-(AB96)</f>
        <v>17.482573726541556</v>
      </c>
      <c r="AC228" s="43" t="s">
        <v>81</v>
      </c>
      <c r="AD228" s="22"/>
    </row>
    <row r="229" spans="1:30" s="23" customFormat="1" x14ac:dyDescent="0.3">
      <c r="A229" s="47"/>
      <c r="B229" s="40" t="s">
        <v>178</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24.91</v>
      </c>
      <c r="AC229" s="43" t="s">
        <v>81</v>
      </c>
      <c r="AD229" s="22"/>
    </row>
    <row r="230" spans="1:30" s="23" customFormat="1" x14ac:dyDescent="0.3">
      <c r="A230" s="47"/>
      <c r="B230" s="40" t="s">
        <v>164</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(AB86+AB88+AB89+AB90+AB91+AB92+AB93+AB95+AB96)/-(AB105)</f>
        <v>13.193133047210301</v>
      </c>
      <c r="AC230" s="43" t="s">
        <v>81</v>
      </c>
      <c r="AD230" s="22"/>
    </row>
    <row r="231" spans="1:30" s="23" customFormat="1" x14ac:dyDescent="0.3">
      <c r="A231" s="47"/>
      <c r="B231" s="40" t="s">
        <v>165</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16.86</v>
      </c>
      <c r="AC231" s="43" t="s">
        <v>81</v>
      </c>
      <c r="AD231" s="22"/>
    </row>
    <row r="232" spans="1:30" s="23" customFormat="1" x14ac:dyDescent="0.3">
      <c r="A232" s="18"/>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21"/>
      <c r="AD232" s="22"/>
    </row>
    <row r="233" spans="1:30" s="23" customFormat="1" x14ac:dyDescent="0.3">
      <c r="A233" s="18"/>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1"/>
      <c r="AD233" s="22"/>
    </row>
    <row r="234" spans="1:30" s="23" customFormat="1" ht="18.600000000000001" thickBot="1" x14ac:dyDescent="0.4">
      <c r="A234" s="83"/>
      <c r="B234" s="84" t="str">
        <f>B131</f>
        <v>PM27 INVESTOR REPORT QUARTER ENDING JUNE 2023</v>
      </c>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7"/>
      <c r="AD234" s="22"/>
    </row>
    <row r="235" spans="1:30" x14ac:dyDescent="0.3">
      <c r="A235" s="119"/>
      <c r="B235" s="120" t="s">
        <v>42</v>
      </c>
      <c r="C235" s="143"/>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v>45107</v>
      </c>
      <c r="AA235" s="121"/>
      <c r="AB235" s="121"/>
      <c r="AC235" s="123"/>
      <c r="AD235" s="5"/>
    </row>
    <row r="236" spans="1:30" x14ac:dyDescent="0.3">
      <c r="A236" s="145"/>
      <c r="B236" s="146"/>
      <c r="C236" s="147"/>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9"/>
      <c r="AB236" s="9"/>
      <c r="AC236" s="10"/>
      <c r="AD236" s="5"/>
    </row>
    <row r="237" spans="1:30" s="23" customFormat="1" x14ac:dyDescent="0.3">
      <c r="A237" s="47"/>
      <c r="B237" s="40" t="s">
        <v>43</v>
      </c>
      <c r="C237" s="149"/>
      <c r="D237" s="73"/>
      <c r="E237" s="73"/>
      <c r="F237" s="73"/>
      <c r="G237" s="73"/>
      <c r="H237" s="73"/>
      <c r="I237" s="73"/>
      <c r="J237" s="73"/>
      <c r="K237" s="73"/>
      <c r="L237" s="73"/>
      <c r="M237" s="73"/>
      <c r="N237" s="73"/>
      <c r="O237" s="73"/>
      <c r="P237" s="73"/>
      <c r="Q237" s="73"/>
      <c r="R237" s="73"/>
      <c r="S237" s="73"/>
      <c r="T237" s="73"/>
      <c r="U237" s="73"/>
      <c r="V237" s="73"/>
      <c r="W237" s="73"/>
      <c r="X237" s="73"/>
      <c r="Y237" s="73"/>
      <c r="Z237" s="67">
        <v>3.5749999999999997E-2</v>
      </c>
      <c r="AA237" s="40"/>
      <c r="AB237" s="40"/>
      <c r="AC237" s="43"/>
      <c r="AD237" s="22"/>
    </row>
    <row r="238" spans="1:30" s="23" customFormat="1" x14ac:dyDescent="0.3">
      <c r="A238" s="47"/>
      <c r="B238" s="40" t="s">
        <v>132</v>
      </c>
      <c r="C238" s="149"/>
      <c r="D238" s="73"/>
      <c r="E238" s="73"/>
      <c r="F238" s="73"/>
      <c r="G238" s="73"/>
      <c r="H238" s="73"/>
      <c r="I238" s="73"/>
      <c r="J238" s="73"/>
      <c r="K238" s="73"/>
      <c r="L238" s="73"/>
      <c r="M238" s="73"/>
      <c r="N238" s="73"/>
      <c r="O238" s="73"/>
      <c r="P238" s="73"/>
      <c r="Q238" s="73"/>
      <c r="R238" s="73"/>
      <c r="S238" s="73"/>
      <c r="T238" s="73"/>
      <c r="U238" s="73"/>
      <c r="V238" s="73"/>
      <c r="W238" s="73"/>
      <c r="X238" s="73"/>
      <c r="Y238" s="73"/>
      <c r="Z238" s="67">
        <v>1.3036129402559968E-2</v>
      </c>
      <c r="AA238" s="40"/>
      <c r="AB238" s="40"/>
      <c r="AC238" s="43"/>
      <c r="AD238" s="22"/>
    </row>
    <row r="239" spans="1:30" s="23" customFormat="1" x14ac:dyDescent="0.3">
      <c r="A239" s="47"/>
      <c r="B239" s="40" t="s">
        <v>44</v>
      </c>
      <c r="C239" s="149"/>
      <c r="D239" s="73"/>
      <c r="E239" s="73"/>
      <c r="F239" s="73"/>
      <c r="G239" s="73"/>
      <c r="H239" s="73"/>
      <c r="I239" s="73"/>
      <c r="J239" s="73"/>
      <c r="K239" s="73"/>
      <c r="L239" s="73"/>
      <c r="M239" s="73"/>
      <c r="N239" s="73"/>
      <c r="O239" s="73"/>
      <c r="P239" s="73"/>
      <c r="Q239" s="73"/>
      <c r="R239" s="73"/>
      <c r="S239" s="73"/>
      <c r="T239" s="73"/>
      <c r="U239" s="73"/>
      <c r="V239" s="73"/>
      <c r="W239" s="73"/>
      <c r="X239" s="73"/>
      <c r="Y239" s="73"/>
      <c r="Z239" s="67">
        <f>Z237-Z238</f>
        <v>2.2713870597440029E-2</v>
      </c>
      <c r="AA239" s="40"/>
      <c r="AB239" s="40"/>
      <c r="AC239" s="43"/>
      <c r="AD239" s="22"/>
    </row>
    <row r="240" spans="1:30" s="23" customFormat="1" x14ac:dyDescent="0.3">
      <c r="A240" s="47"/>
      <c r="B240" s="40" t="s">
        <v>45</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3.705031632635522E-2</v>
      </c>
      <c r="AA240" s="40"/>
      <c r="AB240" s="40"/>
      <c r="AC240" s="43"/>
      <c r="AD240" s="22"/>
    </row>
    <row r="241" spans="1:30" s="23" customFormat="1" x14ac:dyDescent="0.3">
      <c r="A241" s="47"/>
      <c r="B241" s="40" t="s">
        <v>133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f>+AB35</f>
        <v>5.7270283071215393E-2</v>
      </c>
      <c r="AA241" s="40"/>
      <c r="AB241" s="40"/>
      <c r="AC241" s="43"/>
      <c r="AD241" s="22"/>
    </row>
    <row r="242" spans="1:30" s="23" customFormat="1" x14ac:dyDescent="0.3">
      <c r="A242" s="47"/>
      <c r="B242" s="40" t="s">
        <v>363</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v>0</v>
      </c>
      <c r="AA242" s="40"/>
      <c r="AB242" s="40"/>
      <c r="AC242" s="43"/>
      <c r="AD242" s="22"/>
    </row>
    <row r="243" spans="1:30" s="23" customFormat="1" x14ac:dyDescent="0.3">
      <c r="A243" s="47"/>
      <c r="B243" s="40" t="s">
        <v>119</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(+AB86+AB88+AB91)/R66</f>
        <v>2.3534290761078259E-2</v>
      </c>
      <c r="AA243" s="40"/>
      <c r="AB243" s="40"/>
      <c r="AC243" s="43"/>
      <c r="AD243" s="22"/>
    </row>
    <row r="244" spans="1:30" s="23" customFormat="1" x14ac:dyDescent="0.3">
      <c r="A244" s="47"/>
      <c r="B244" s="40" t="s">
        <v>112</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150">
        <v>53797</v>
      </c>
      <c r="AA244" s="40"/>
      <c r="AB244" s="40"/>
      <c r="AC244" s="43"/>
      <c r="AD244" s="22"/>
    </row>
    <row r="245" spans="1:30" s="23" customFormat="1" x14ac:dyDescent="0.3">
      <c r="A245" s="47"/>
      <c r="B245" s="40" t="s">
        <v>148</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150">
        <v>53797</v>
      </c>
      <c r="AA245" s="40"/>
      <c r="AB245" s="40"/>
      <c r="AC245" s="43"/>
      <c r="AD245" s="22"/>
    </row>
    <row r="246" spans="1:30" s="23" customFormat="1" x14ac:dyDescent="0.3">
      <c r="A246" s="47"/>
      <c r="B246" s="40" t="s">
        <v>149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150">
        <v>53797</v>
      </c>
      <c r="AA246" s="40"/>
      <c r="AB246" s="40"/>
      <c r="AC246" s="43"/>
      <c r="AD246" s="22"/>
    </row>
    <row r="247" spans="1:30" s="23" customFormat="1" x14ac:dyDescent="0.3">
      <c r="A247" s="47"/>
      <c r="B247" s="40" t="s">
        <v>179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53797</v>
      </c>
      <c r="AA247" s="40"/>
      <c r="AB247" s="40"/>
      <c r="AC247" s="43"/>
      <c r="AD247" s="22"/>
    </row>
    <row r="248" spans="1:30" s="23" customFormat="1" x14ac:dyDescent="0.3">
      <c r="A248" s="47"/>
      <c r="B248" s="40" t="s">
        <v>166</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53797</v>
      </c>
      <c r="AA248" s="40"/>
      <c r="AB248" s="40"/>
      <c r="AC248" s="43"/>
      <c r="AD248" s="22"/>
    </row>
    <row r="249" spans="1:30" s="23" customFormat="1" x14ac:dyDescent="0.3">
      <c r="A249" s="47"/>
      <c r="B249" s="40" t="s">
        <v>194</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53797</v>
      </c>
      <c r="AA249" s="40"/>
      <c r="AB249" s="40"/>
      <c r="AC249" s="43"/>
      <c r="AD249" s="22"/>
    </row>
    <row r="250" spans="1:30" s="23" customFormat="1" x14ac:dyDescent="0.3">
      <c r="A250" s="47"/>
      <c r="B250" s="40" t="s">
        <v>195</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53797</v>
      </c>
      <c r="AA250" s="40"/>
      <c r="AB250" s="40"/>
      <c r="AC250" s="43"/>
      <c r="AD250" s="22"/>
    </row>
    <row r="251" spans="1:30" s="23" customFormat="1" x14ac:dyDescent="0.3">
      <c r="A251" s="47"/>
      <c r="B251" s="40" t="s">
        <v>47</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71">
        <v>21.18</v>
      </c>
      <c r="AA251" s="40" t="s">
        <v>76</v>
      </c>
      <c r="AB251" s="40"/>
      <c r="AC251" s="43"/>
      <c r="AD251" s="22"/>
    </row>
    <row r="252" spans="1:30" s="23" customFormat="1" x14ac:dyDescent="0.3">
      <c r="A252" s="47"/>
      <c r="B252" s="40" t="s">
        <v>48</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71">
        <v>18.05</v>
      </c>
      <c r="AA252" s="40" t="s">
        <v>76</v>
      </c>
      <c r="AB252" s="40"/>
      <c r="AC252" s="43"/>
      <c r="AD252" s="22"/>
    </row>
    <row r="253" spans="1:30" s="23" customFormat="1" x14ac:dyDescent="0.3">
      <c r="A253" s="47"/>
      <c r="B253" s="40" t="s">
        <v>49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67">
        <f>(+T57+V57+Z57)/(R57+R63+R64)</f>
        <v>6.4449735043391448E-3</v>
      </c>
      <c r="AA253" s="40"/>
      <c r="AB253" s="40"/>
      <c r="AC253" s="43"/>
      <c r="AD253" s="22"/>
    </row>
    <row r="254" spans="1:30" s="23" customFormat="1" x14ac:dyDescent="0.3">
      <c r="A254" s="47"/>
      <c r="B254" s="40" t="s">
        <v>50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67">
        <v>4.9000000000000002E-2</v>
      </c>
      <c r="AA254" s="40"/>
      <c r="AB254" s="40"/>
      <c r="AC254" s="43"/>
      <c r="AD254" s="22"/>
    </row>
    <row r="255" spans="1:30" x14ac:dyDescent="0.3">
      <c r="A255" s="145"/>
      <c r="B255" s="151"/>
      <c r="C255" s="151"/>
      <c r="D255" s="99"/>
      <c r="E255" s="99"/>
      <c r="F255" s="99"/>
      <c r="G255" s="99"/>
      <c r="H255" s="99"/>
      <c r="I255" s="99"/>
      <c r="J255" s="99"/>
      <c r="K255" s="99"/>
      <c r="L255" s="99"/>
      <c r="M255" s="99"/>
      <c r="N255" s="99"/>
      <c r="O255" s="99"/>
      <c r="P255" s="99"/>
      <c r="Q255" s="99"/>
      <c r="R255" s="99"/>
      <c r="S255" s="99"/>
      <c r="T255" s="99"/>
      <c r="U255" s="99"/>
      <c r="V255" s="99"/>
      <c r="W255" s="99"/>
      <c r="X255" s="99"/>
      <c r="Y255" s="99"/>
      <c r="Z255" s="126"/>
      <c r="AA255" s="99"/>
      <c r="AB255" s="152"/>
      <c r="AC255" s="10"/>
      <c r="AD255" s="5"/>
    </row>
    <row r="256" spans="1:30" x14ac:dyDescent="0.3">
      <c r="A256" s="153"/>
      <c r="B256" s="102" t="s">
        <v>51</v>
      </c>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t="s">
        <v>69</v>
      </c>
      <c r="Z256" s="154" t="s">
        <v>74</v>
      </c>
      <c r="AA256" s="34"/>
      <c r="AB256" s="34"/>
      <c r="AC256" s="36"/>
      <c r="AD256" s="5"/>
    </row>
    <row r="257" spans="1:30" s="23" customFormat="1" x14ac:dyDescent="0.3">
      <c r="A257" s="155"/>
      <c r="B257" s="37" t="s">
        <v>52</v>
      </c>
      <c r="C257" s="10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v>0</v>
      </c>
      <c r="Z257" s="157">
        <v>0</v>
      </c>
      <c r="AA257" s="37"/>
      <c r="AB257" s="158"/>
      <c r="AC257" s="159"/>
      <c r="AD257" s="22"/>
    </row>
    <row r="258" spans="1:30" s="23" customFormat="1" x14ac:dyDescent="0.3">
      <c r="A258" s="160"/>
      <c r="B258" s="40" t="s">
        <v>97</v>
      </c>
      <c r="C258" s="97"/>
      <c r="D258" s="48"/>
      <c r="E258" s="48"/>
      <c r="F258" s="48"/>
      <c r="G258" s="48"/>
      <c r="H258" s="48"/>
      <c r="I258" s="48"/>
      <c r="J258" s="48"/>
      <c r="K258" s="48"/>
      <c r="L258" s="48"/>
      <c r="M258" s="48"/>
      <c r="N258" s="48"/>
      <c r="O258" s="48"/>
      <c r="P258" s="48"/>
      <c r="Q258" s="48"/>
      <c r="R258" s="48"/>
      <c r="S258" s="48"/>
      <c r="T258" s="48"/>
      <c r="U258" s="48"/>
      <c r="V258" s="48"/>
      <c r="W258" s="48"/>
      <c r="X258" s="48"/>
      <c r="Y258" s="161">
        <f>+X310</f>
        <v>2</v>
      </c>
      <c r="Z258" s="162">
        <f>+Z310</f>
        <v>647</v>
      </c>
      <c r="AA258" s="40"/>
      <c r="AB258" s="163"/>
      <c r="AC258" s="164"/>
      <c r="AD258" s="22"/>
    </row>
    <row r="259" spans="1:30" s="23" customFormat="1" x14ac:dyDescent="0.3">
      <c r="A259" s="160"/>
      <c r="B259" s="40" t="s">
        <v>53</v>
      </c>
      <c r="C259" s="97"/>
      <c r="D259" s="48"/>
      <c r="E259" s="48"/>
      <c r="F259" s="48"/>
      <c r="G259" s="48"/>
      <c r="H259" s="48"/>
      <c r="I259" s="48"/>
      <c r="J259" s="48"/>
      <c r="K259" s="48"/>
      <c r="L259" s="48"/>
      <c r="M259" s="48"/>
      <c r="N259" s="48"/>
      <c r="O259" s="48"/>
      <c r="P259" s="48"/>
      <c r="Q259" s="48"/>
      <c r="R259" s="48"/>
      <c r="S259" s="48"/>
      <c r="T259" s="48"/>
      <c r="U259" s="48"/>
      <c r="V259" s="48"/>
      <c r="W259" s="48"/>
      <c r="X259" s="48"/>
      <c r="Y259" s="161">
        <f>+X332</f>
        <v>0</v>
      </c>
      <c r="Z259" s="162">
        <f>+Z332</f>
        <v>0</v>
      </c>
      <c r="AA259" s="40"/>
      <c r="AB259" s="163"/>
      <c r="AC259" s="164"/>
      <c r="AD259" s="22"/>
    </row>
    <row r="260" spans="1:30" x14ac:dyDescent="0.3">
      <c r="A260" s="165"/>
      <c r="B260" s="166" t="s">
        <v>167</v>
      </c>
      <c r="C260" s="167"/>
      <c r="D260" s="59"/>
      <c r="E260" s="59"/>
      <c r="F260" s="59"/>
      <c r="G260" s="59"/>
      <c r="H260" s="59"/>
      <c r="I260" s="59"/>
      <c r="J260" s="59"/>
      <c r="K260" s="59"/>
      <c r="L260" s="59"/>
      <c r="M260" s="59"/>
      <c r="N260" s="59"/>
      <c r="O260" s="59"/>
      <c r="P260" s="59"/>
      <c r="Q260" s="59"/>
      <c r="R260" s="59"/>
      <c r="S260" s="59"/>
      <c r="T260" s="59"/>
      <c r="U260" s="59"/>
      <c r="V260" s="59"/>
      <c r="W260" s="59"/>
      <c r="X260" s="59"/>
      <c r="Y260" s="112"/>
      <c r="Z260" s="162">
        <f>Z57</f>
        <v>0</v>
      </c>
      <c r="AA260" s="59"/>
      <c r="AB260" s="168"/>
      <c r="AC260" s="169"/>
      <c r="AD260" s="5"/>
    </row>
    <row r="261" spans="1:30" x14ac:dyDescent="0.3">
      <c r="A261" s="165"/>
      <c r="B261" s="166" t="s">
        <v>261</v>
      </c>
      <c r="C261" s="167"/>
      <c r="D261" s="59"/>
      <c r="E261" s="59"/>
      <c r="F261" s="59"/>
      <c r="G261" s="59"/>
      <c r="H261" s="59"/>
      <c r="I261" s="59"/>
      <c r="J261" s="59"/>
      <c r="K261" s="59"/>
      <c r="L261" s="59"/>
      <c r="M261" s="59"/>
      <c r="N261" s="59"/>
      <c r="O261" s="59"/>
      <c r="P261" s="59"/>
      <c r="Q261" s="59"/>
      <c r="R261" s="59"/>
      <c r="S261" s="59"/>
      <c r="T261" s="59"/>
      <c r="U261" s="59"/>
      <c r="V261" s="59"/>
      <c r="W261" s="59"/>
      <c r="X261" s="59"/>
      <c r="Y261" s="112"/>
      <c r="Z261" s="162">
        <f>-T63</f>
        <v>0</v>
      </c>
      <c r="AA261" s="59"/>
      <c r="AB261" s="168"/>
      <c r="AC261" s="169"/>
      <c r="AD261" s="5"/>
    </row>
    <row r="262" spans="1:30" x14ac:dyDescent="0.3">
      <c r="A262" s="170"/>
      <c r="B262" s="166" t="s">
        <v>54</v>
      </c>
      <c r="C262" s="171"/>
      <c r="D262" s="59"/>
      <c r="E262" s="59"/>
      <c r="F262" s="59"/>
      <c r="G262" s="59"/>
      <c r="H262" s="59"/>
      <c r="I262" s="59"/>
      <c r="J262" s="59"/>
      <c r="K262" s="59"/>
      <c r="L262" s="59"/>
      <c r="M262" s="59"/>
      <c r="N262" s="59"/>
      <c r="O262" s="59"/>
      <c r="P262" s="59"/>
      <c r="Q262" s="59"/>
      <c r="R262" s="59"/>
      <c r="S262" s="59"/>
      <c r="T262" s="59"/>
      <c r="U262" s="59"/>
      <c r="V262" s="59"/>
      <c r="W262" s="59"/>
      <c r="X262" s="59"/>
      <c r="Y262" s="112"/>
      <c r="Z262" s="172"/>
      <c r="AA262" s="59"/>
      <c r="AB262" s="168"/>
      <c r="AC262" s="173"/>
      <c r="AD262" s="5"/>
    </row>
    <row r="263" spans="1:30" s="23" customFormat="1" x14ac:dyDescent="0.3">
      <c r="A263" s="174"/>
      <c r="B263" s="40" t="s">
        <v>55</v>
      </c>
      <c r="C263" s="40"/>
      <c r="D263" s="40"/>
      <c r="E263" s="40"/>
      <c r="F263" s="40"/>
      <c r="G263" s="40"/>
      <c r="H263" s="40"/>
      <c r="I263" s="40"/>
      <c r="J263" s="40"/>
      <c r="K263" s="40"/>
      <c r="L263" s="40"/>
      <c r="M263" s="40"/>
      <c r="N263" s="40"/>
      <c r="O263" s="40"/>
      <c r="P263" s="40"/>
      <c r="Q263" s="40"/>
      <c r="R263" s="40"/>
      <c r="S263" s="40"/>
      <c r="T263" s="40"/>
      <c r="U263" s="40"/>
      <c r="V263" s="40"/>
      <c r="W263" s="40"/>
      <c r="X263" s="40"/>
      <c r="Y263" s="48"/>
      <c r="Z263" s="162">
        <f>AB166</f>
        <v>1</v>
      </c>
      <c r="AA263" s="40"/>
      <c r="AB263" s="163"/>
      <c r="AC263" s="175"/>
      <c r="AD263" s="22"/>
    </row>
    <row r="264" spans="1:30" s="23" customFormat="1" x14ac:dyDescent="0.3">
      <c r="A264" s="160"/>
      <c r="B264" s="40" t="s">
        <v>56</v>
      </c>
      <c r="C264" s="97"/>
      <c r="D264" s="40"/>
      <c r="E264" s="40"/>
      <c r="F264" s="40"/>
      <c r="G264" s="40"/>
      <c r="H264" s="40"/>
      <c r="I264" s="40"/>
      <c r="J264" s="40"/>
      <c r="K264" s="40"/>
      <c r="L264" s="40"/>
      <c r="M264" s="40"/>
      <c r="N264" s="40"/>
      <c r="O264" s="40"/>
      <c r="P264" s="40"/>
      <c r="Q264" s="40"/>
      <c r="R264" s="40"/>
      <c r="S264" s="40"/>
      <c r="T264" s="40"/>
      <c r="U264" s="40"/>
      <c r="V264" s="40"/>
      <c r="W264" s="40"/>
      <c r="X264" s="40"/>
      <c r="Y264" s="48"/>
      <c r="Z264" s="162">
        <f>Z263+'March 2023'!Z264</f>
        <v>3</v>
      </c>
      <c r="AA264" s="40"/>
      <c r="AB264" s="163"/>
      <c r="AC264" s="175"/>
      <c r="AD264" s="22"/>
    </row>
    <row r="265" spans="1:30" x14ac:dyDescent="0.3">
      <c r="A265" s="170"/>
      <c r="B265" s="166" t="s">
        <v>125</v>
      </c>
      <c r="C265" s="171"/>
      <c r="D265" s="59"/>
      <c r="E265" s="59"/>
      <c r="F265" s="59"/>
      <c r="G265" s="59"/>
      <c r="H265" s="59"/>
      <c r="I265" s="59"/>
      <c r="J265" s="59"/>
      <c r="K265" s="59"/>
      <c r="L265" s="59"/>
      <c r="M265" s="59"/>
      <c r="N265" s="59"/>
      <c r="O265" s="59"/>
      <c r="P265" s="59"/>
      <c r="Q265" s="59"/>
      <c r="R265" s="59"/>
      <c r="S265" s="59"/>
      <c r="T265" s="59"/>
      <c r="U265" s="59"/>
      <c r="V265" s="59"/>
      <c r="W265" s="59"/>
      <c r="X265" s="59"/>
      <c r="Y265" s="176"/>
      <c r="Z265" s="172"/>
      <c r="AA265" s="59"/>
      <c r="AB265" s="168"/>
      <c r="AC265" s="173"/>
      <c r="AD265" s="5"/>
    </row>
    <row r="266" spans="1:30" s="23" customFormat="1" x14ac:dyDescent="0.3">
      <c r="A266" s="174"/>
      <c r="B266" s="40" t="s">
        <v>134</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v>0</v>
      </c>
      <c r="Z266" s="162">
        <v>0</v>
      </c>
      <c r="AA266" s="40"/>
      <c r="AB266" s="163"/>
      <c r="AC266" s="175"/>
      <c r="AD266" s="22"/>
    </row>
    <row r="267" spans="1:30" s="23" customFormat="1" x14ac:dyDescent="0.3">
      <c r="A267" s="160"/>
      <c r="B267" s="40" t="s">
        <v>57</v>
      </c>
      <c r="C267" s="70"/>
      <c r="D267" s="40"/>
      <c r="E267" s="40"/>
      <c r="F267" s="40"/>
      <c r="G267" s="40"/>
      <c r="H267" s="40"/>
      <c r="I267" s="40"/>
      <c r="J267" s="40"/>
      <c r="K267" s="40"/>
      <c r="L267" s="40"/>
      <c r="M267" s="40"/>
      <c r="N267" s="40"/>
      <c r="O267" s="40"/>
      <c r="P267" s="40"/>
      <c r="Q267" s="40"/>
      <c r="R267" s="40"/>
      <c r="S267" s="40"/>
      <c r="T267" s="40"/>
      <c r="U267" s="40"/>
      <c r="V267" s="40"/>
      <c r="W267" s="40"/>
      <c r="X267" s="40"/>
      <c r="Y267" s="40"/>
      <c r="Z267" s="177">
        <v>0</v>
      </c>
      <c r="AA267" s="40"/>
      <c r="AB267" s="163"/>
      <c r="AC267" s="175"/>
      <c r="AD267" s="22"/>
    </row>
    <row r="268" spans="1:30" s="23" customFormat="1" x14ac:dyDescent="0.3">
      <c r="A268" s="160"/>
      <c r="B268" s="40" t="s">
        <v>58</v>
      </c>
      <c r="C268" s="70"/>
      <c r="D268" s="40"/>
      <c r="E268" s="40"/>
      <c r="F268" s="40"/>
      <c r="G268" s="40"/>
      <c r="H268" s="40"/>
      <c r="I268" s="40"/>
      <c r="J268" s="40"/>
      <c r="K268" s="40"/>
      <c r="L268" s="40"/>
      <c r="M268" s="40"/>
      <c r="N268" s="40"/>
      <c r="O268" s="40"/>
      <c r="P268" s="40"/>
      <c r="Q268" s="40"/>
      <c r="R268" s="40"/>
      <c r="S268" s="40"/>
      <c r="T268" s="40"/>
      <c r="U268" s="40"/>
      <c r="V268" s="40"/>
      <c r="W268" s="40"/>
      <c r="X268" s="40"/>
      <c r="Y268" s="40"/>
      <c r="Z268" s="177">
        <v>0</v>
      </c>
      <c r="AA268" s="40"/>
      <c r="AB268" s="163"/>
      <c r="AC268" s="175"/>
      <c r="AD268" s="22"/>
    </row>
    <row r="269" spans="1:30" x14ac:dyDescent="0.3">
      <c r="A269" s="165"/>
      <c r="B269" s="166" t="s">
        <v>116</v>
      </c>
      <c r="C269" s="178"/>
      <c r="D269" s="59"/>
      <c r="E269" s="59"/>
      <c r="F269" s="59"/>
      <c r="G269" s="59"/>
      <c r="H269" s="59"/>
      <c r="I269" s="59"/>
      <c r="J269" s="59"/>
      <c r="K269" s="59"/>
      <c r="L269" s="59"/>
      <c r="M269" s="59"/>
      <c r="N269" s="59"/>
      <c r="O269" s="59"/>
      <c r="P269" s="59"/>
      <c r="Q269" s="59"/>
      <c r="R269" s="59"/>
      <c r="S269" s="59"/>
      <c r="T269" s="59"/>
      <c r="U269" s="59"/>
      <c r="V269" s="59"/>
      <c r="W269" s="59"/>
      <c r="X269" s="59"/>
      <c r="Y269" s="112"/>
      <c r="Z269" s="179"/>
      <c r="AA269" s="59"/>
      <c r="AB269" s="168"/>
      <c r="AC269" s="173"/>
      <c r="AD269" s="5"/>
    </row>
    <row r="270" spans="1:30" s="23" customFormat="1" x14ac:dyDescent="0.3">
      <c r="A270" s="160"/>
      <c r="B270" s="40" t="s">
        <v>134</v>
      </c>
      <c r="C270" s="7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0" s="23" customFormat="1" x14ac:dyDescent="0.3">
      <c r="A271" s="160"/>
      <c r="B271" s="40" t="s">
        <v>117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71"/>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x14ac:dyDescent="0.3">
      <c r="A273" s="165"/>
      <c r="B273" s="171"/>
      <c r="C273" s="178"/>
      <c r="D273" s="59"/>
      <c r="E273" s="59"/>
      <c r="F273" s="59"/>
      <c r="G273" s="59"/>
      <c r="H273" s="59"/>
      <c r="I273" s="59"/>
      <c r="J273" s="59"/>
      <c r="K273" s="59"/>
      <c r="L273" s="59"/>
      <c r="M273" s="59"/>
      <c r="N273" s="59"/>
      <c r="O273" s="59"/>
      <c r="P273" s="59"/>
      <c r="Q273" s="59"/>
      <c r="R273" s="59"/>
      <c r="S273" s="59"/>
      <c r="T273" s="59"/>
      <c r="U273" s="59"/>
      <c r="V273" s="59"/>
      <c r="W273" s="59"/>
      <c r="X273" s="59"/>
      <c r="Y273" s="59"/>
      <c r="Z273" s="180"/>
      <c r="AA273" s="59"/>
      <c r="AB273" s="168"/>
      <c r="AC273" s="173"/>
      <c r="AD273" s="5"/>
    </row>
    <row r="274" spans="1:30" ht="18" x14ac:dyDescent="0.35">
      <c r="A274" s="165"/>
      <c r="B274" s="181" t="s">
        <v>109</v>
      </c>
      <c r="C274" s="178"/>
      <c r="D274" s="59"/>
      <c r="E274" s="59"/>
      <c r="F274" s="59"/>
      <c r="G274" s="59"/>
      <c r="H274" s="59"/>
      <c r="I274" s="59"/>
      <c r="J274" s="59"/>
      <c r="K274" s="59"/>
      <c r="L274" s="182"/>
      <c r="M274" s="182"/>
      <c r="N274" s="182"/>
      <c r="O274" s="182"/>
      <c r="P274" s="261" t="s">
        <v>168</v>
      </c>
      <c r="Q274" s="182"/>
      <c r="R274" s="182"/>
      <c r="S274" s="182"/>
      <c r="T274" s="182"/>
      <c r="U274" s="182"/>
      <c r="V274" s="182"/>
      <c r="W274" s="59"/>
      <c r="X274" s="183"/>
      <c r="Y274" s="182"/>
      <c r="Z274" s="180"/>
      <c r="AA274" s="59"/>
      <c r="AB274" s="168"/>
      <c r="AC274" s="173"/>
      <c r="AD274" s="5"/>
    </row>
    <row r="275" spans="1:30" ht="18" x14ac:dyDescent="0.35">
      <c r="A275" s="184"/>
      <c r="B275" s="185"/>
      <c r="C275" s="186"/>
      <c r="D275" s="99"/>
      <c r="E275" s="99"/>
      <c r="F275" s="99"/>
      <c r="G275" s="99"/>
      <c r="H275" s="99"/>
      <c r="I275" s="99"/>
      <c r="J275" s="99"/>
      <c r="K275" s="99"/>
      <c r="L275" s="187"/>
      <c r="M275" s="187"/>
      <c r="N275" s="187"/>
      <c r="O275" s="187"/>
      <c r="P275" s="187"/>
      <c r="Q275" s="187"/>
      <c r="R275" s="187"/>
      <c r="S275" s="187"/>
      <c r="T275" s="187"/>
      <c r="U275" s="187"/>
      <c r="V275" s="187"/>
      <c r="W275" s="99"/>
      <c r="X275" s="99"/>
      <c r="Y275" s="99"/>
      <c r="Z275" s="188"/>
      <c r="AA275" s="99"/>
      <c r="AB275" s="152"/>
      <c r="AC275" s="189"/>
      <c r="AD275" s="5"/>
    </row>
    <row r="276" spans="1:30" x14ac:dyDescent="0.3">
      <c r="A276" s="33"/>
      <c r="B276" s="102" t="s">
        <v>126</v>
      </c>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54" t="s">
        <v>69</v>
      </c>
      <c r="Y276" s="103" t="s">
        <v>70</v>
      </c>
      <c r="Z276" s="154" t="s">
        <v>75</v>
      </c>
      <c r="AA276" s="103" t="s">
        <v>70</v>
      </c>
      <c r="AB276" s="34"/>
      <c r="AC276" s="190"/>
      <c r="AD276" s="5"/>
    </row>
    <row r="277" spans="1:30" s="23" customFormat="1" x14ac:dyDescent="0.3">
      <c r="A277" s="18"/>
      <c r="B277" s="106" t="s">
        <v>59</v>
      </c>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06">
        <f t="shared" ref="X277:X284" si="0">+X289+X301+X323</f>
        <v>3424</v>
      </c>
      <c r="Y277" s="192">
        <f>X277/$X$286</f>
        <v>0.99912459877443827</v>
      </c>
      <c r="Z277" s="107">
        <f t="shared" ref="Z277:Z284" si="1">+Z289+Z301+Z323</f>
        <v>646031</v>
      </c>
      <c r="AA277" s="192">
        <f>Z277/$Z$286</f>
        <v>0.99872768816456259</v>
      </c>
      <c r="AB277" s="158"/>
      <c r="AC277" s="193"/>
      <c r="AD277" s="22"/>
    </row>
    <row r="278" spans="1:30" s="23" customFormat="1" x14ac:dyDescent="0.3">
      <c r="A278" s="47"/>
      <c r="B278" s="97" t="s">
        <v>60</v>
      </c>
      <c r="C278" s="194"/>
      <c r="D278" s="194"/>
      <c r="E278" s="194"/>
      <c r="F278" s="194"/>
      <c r="G278" s="194"/>
      <c r="H278" s="194"/>
      <c r="I278" s="194"/>
      <c r="J278" s="194"/>
      <c r="K278" s="194"/>
      <c r="L278" s="194"/>
      <c r="M278" s="194"/>
      <c r="N278" s="194"/>
      <c r="O278" s="194"/>
      <c r="P278" s="194"/>
      <c r="Q278" s="194"/>
      <c r="R278" s="194"/>
      <c r="S278" s="194"/>
      <c r="T278" s="194"/>
      <c r="U278" s="194"/>
      <c r="V278" s="194"/>
      <c r="W278" s="194"/>
      <c r="X278" s="195">
        <f t="shared" si="0"/>
        <v>1</v>
      </c>
      <c r="Y278" s="196">
        <f t="shared" ref="Y278:Y284" si="2">X278/$X$286</f>
        <v>2.9180040852057191E-4</v>
      </c>
      <c r="Z278" s="197">
        <f t="shared" si="1"/>
        <v>584</v>
      </c>
      <c r="AA278" s="198">
        <f>Z278/$Z$286</f>
        <v>9.0283124167122718E-4</v>
      </c>
      <c r="AB278" s="163"/>
      <c r="AC278" s="175"/>
      <c r="AD278" s="22"/>
    </row>
    <row r="279" spans="1:30" s="23" customFormat="1" x14ac:dyDescent="0.3">
      <c r="A279" s="47"/>
      <c r="B279" s="97" t="s">
        <v>61</v>
      </c>
      <c r="C279" s="194"/>
      <c r="D279" s="194"/>
      <c r="E279" s="194"/>
      <c r="F279" s="194"/>
      <c r="G279" s="194"/>
      <c r="H279" s="194"/>
      <c r="I279" s="194"/>
      <c r="J279" s="194"/>
      <c r="K279" s="194"/>
      <c r="L279" s="194"/>
      <c r="M279" s="194"/>
      <c r="N279" s="194"/>
      <c r="O279" s="194"/>
      <c r="P279" s="194"/>
      <c r="Q279" s="194"/>
      <c r="R279" s="194"/>
      <c r="S279" s="194"/>
      <c r="T279" s="194"/>
      <c r="U279" s="194"/>
      <c r="V279" s="194"/>
      <c r="W279" s="194"/>
      <c r="X279" s="199">
        <f t="shared" si="0"/>
        <v>0</v>
      </c>
      <c r="Y279" s="200">
        <f t="shared" si="2"/>
        <v>0</v>
      </c>
      <c r="Z279" s="131">
        <f t="shared" si="1"/>
        <v>0</v>
      </c>
      <c r="AA279" s="198">
        <f t="shared" ref="AA279:AA284" si="3">Z279/$Z$286</f>
        <v>0</v>
      </c>
      <c r="AB279" s="163"/>
      <c r="AC279" s="175"/>
      <c r="AD279" s="22"/>
    </row>
    <row r="280" spans="1:30" s="23" customFormat="1" x14ac:dyDescent="0.3">
      <c r="A280" s="47"/>
      <c r="B280" s="97" t="s">
        <v>100</v>
      </c>
      <c r="C280" s="194"/>
      <c r="D280" s="194"/>
      <c r="E280" s="194"/>
      <c r="F280" s="194"/>
      <c r="G280" s="194"/>
      <c r="H280" s="194"/>
      <c r="I280" s="194"/>
      <c r="J280" s="194"/>
      <c r="K280" s="194"/>
      <c r="L280" s="194"/>
      <c r="M280" s="194"/>
      <c r="N280" s="194"/>
      <c r="O280" s="194"/>
      <c r="P280" s="194"/>
      <c r="Q280" s="194"/>
      <c r="R280" s="194"/>
      <c r="S280" s="194"/>
      <c r="T280" s="194"/>
      <c r="U280" s="194"/>
      <c r="V280" s="194"/>
      <c r="W280" s="194"/>
      <c r="X280" s="199">
        <f t="shared" si="0"/>
        <v>0</v>
      </c>
      <c r="Y280" s="200">
        <f t="shared" si="2"/>
        <v>0</v>
      </c>
      <c r="Z280" s="131">
        <f t="shared" si="1"/>
        <v>0</v>
      </c>
      <c r="AA280" s="198">
        <f t="shared" si="3"/>
        <v>0</v>
      </c>
      <c r="AB280" s="163"/>
      <c r="AC280" s="175"/>
      <c r="AD280" s="22"/>
    </row>
    <row r="281" spans="1:30" s="23" customFormat="1" x14ac:dyDescent="0.3">
      <c r="A281" s="47"/>
      <c r="B281" s="97" t="s">
        <v>101</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9">
        <f t="shared" si="0"/>
        <v>1</v>
      </c>
      <c r="Y281" s="200">
        <f t="shared" si="2"/>
        <v>2.9180040852057191E-4</v>
      </c>
      <c r="Z281" s="131">
        <f t="shared" si="1"/>
        <v>176</v>
      </c>
      <c r="AA281" s="198">
        <f t="shared" si="3"/>
        <v>2.720861276269452E-4</v>
      </c>
      <c r="AB281" s="163"/>
      <c r="AC281" s="175"/>
      <c r="AD281" s="22"/>
    </row>
    <row r="282" spans="1:30" s="23" customFormat="1" x14ac:dyDescent="0.3">
      <c r="A282" s="47"/>
      <c r="B282" s="97" t="s">
        <v>102</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0"/>
        <v>0</v>
      </c>
      <c r="Y282" s="200">
        <f t="shared" si="2"/>
        <v>0</v>
      </c>
      <c r="Z282" s="131">
        <f t="shared" si="1"/>
        <v>0</v>
      </c>
      <c r="AA282" s="198">
        <f t="shared" si="3"/>
        <v>0</v>
      </c>
      <c r="AB282" s="163"/>
      <c r="AC282" s="175"/>
      <c r="AD282" s="22"/>
    </row>
    <row r="283" spans="1:30" s="23" customFormat="1" x14ac:dyDescent="0.3">
      <c r="A283" s="47"/>
      <c r="B283" s="97" t="s">
        <v>103</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201">
        <f t="shared" si="0"/>
        <v>1</v>
      </c>
      <c r="Y283" s="202">
        <f t="shared" si="2"/>
        <v>2.9180040852057191E-4</v>
      </c>
      <c r="Z283" s="203">
        <f t="shared" si="1"/>
        <v>63</v>
      </c>
      <c r="AA283" s="198">
        <f t="shared" si="3"/>
        <v>9.7394466139190611E-5</v>
      </c>
      <c r="AB283" s="163"/>
      <c r="AC283" s="175"/>
      <c r="AD283" s="22"/>
    </row>
    <row r="284" spans="1:30" s="23" customFormat="1" x14ac:dyDescent="0.3">
      <c r="A284" s="47"/>
      <c r="B284" s="97" t="s">
        <v>104</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06">
        <f t="shared" si="0"/>
        <v>0</v>
      </c>
      <c r="Y284" s="198">
        <f t="shared" si="2"/>
        <v>0</v>
      </c>
      <c r="Z284" s="107">
        <f t="shared" si="1"/>
        <v>0</v>
      </c>
      <c r="AA284" s="198">
        <f t="shared" si="3"/>
        <v>0</v>
      </c>
      <c r="AB284" s="163"/>
      <c r="AC284" s="175"/>
      <c r="AD284" s="22"/>
    </row>
    <row r="285" spans="1:30" s="23" customFormat="1" x14ac:dyDescent="0.3">
      <c r="A285" s="47"/>
      <c r="B285" s="97"/>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97"/>
      <c r="Y285" s="198"/>
      <c r="Z285" s="98"/>
      <c r="AA285" s="198"/>
      <c r="AB285" s="163"/>
      <c r="AC285" s="175"/>
      <c r="AD285" s="22"/>
    </row>
    <row r="286" spans="1:30" s="23" customFormat="1" x14ac:dyDescent="0.3">
      <c r="A286" s="47"/>
      <c r="B286" s="40" t="s">
        <v>80</v>
      </c>
      <c r="C286" s="40"/>
      <c r="D286" s="204"/>
      <c r="E286" s="204"/>
      <c r="F286" s="204"/>
      <c r="G286" s="204"/>
      <c r="H286" s="204"/>
      <c r="I286" s="204"/>
      <c r="J286" s="204"/>
      <c r="K286" s="204"/>
      <c r="L286" s="204"/>
      <c r="M286" s="204"/>
      <c r="N286" s="204"/>
      <c r="O286" s="204"/>
      <c r="P286" s="204"/>
      <c r="Q286" s="204"/>
      <c r="R286" s="204"/>
      <c r="S286" s="204"/>
      <c r="T286" s="204"/>
      <c r="U286" s="204"/>
      <c r="V286" s="204"/>
      <c r="W286" s="204"/>
      <c r="X286" s="97">
        <f>SUM(X277:X285)</f>
        <v>3427</v>
      </c>
      <c r="Y286" s="198">
        <f>SUM(Y277:Y285)</f>
        <v>1</v>
      </c>
      <c r="Z286" s="98">
        <f>SUM(Z277:Z285)</f>
        <v>646854</v>
      </c>
      <c r="AA286" s="198">
        <f>SUM(AA277:AA285)</f>
        <v>1</v>
      </c>
      <c r="AB286" s="40"/>
      <c r="AC286" s="43"/>
      <c r="AD286" s="22"/>
    </row>
    <row r="287" spans="1:30" x14ac:dyDescent="0.3">
      <c r="A287" s="7"/>
      <c r="B287" s="151"/>
      <c r="C287" s="186"/>
      <c r="D287" s="99"/>
      <c r="E287" s="99"/>
      <c r="F287" s="99"/>
      <c r="G287" s="99"/>
      <c r="H287" s="99"/>
      <c r="I287" s="99"/>
      <c r="J287" s="99"/>
      <c r="K287" s="99"/>
      <c r="L287" s="99"/>
      <c r="M287" s="99"/>
      <c r="N287" s="99"/>
      <c r="O287" s="99"/>
      <c r="P287" s="99"/>
      <c r="Q287" s="99"/>
      <c r="R287" s="99"/>
      <c r="S287" s="99"/>
      <c r="T287" s="99"/>
      <c r="U287" s="99"/>
      <c r="V287" s="99"/>
      <c r="W287" s="99"/>
      <c r="X287" s="99"/>
      <c r="Y287" s="99"/>
      <c r="Z287" s="188"/>
      <c r="AA287" s="99"/>
      <c r="AB287" s="99"/>
      <c r="AC287" s="10"/>
      <c r="AD287" s="5"/>
    </row>
    <row r="288" spans="1:30" x14ac:dyDescent="0.3">
      <c r="A288" s="33"/>
      <c r="B288" s="102" t="s">
        <v>105</v>
      </c>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54" t="s">
        <v>69</v>
      </c>
      <c r="Y288" s="103" t="s">
        <v>70</v>
      </c>
      <c r="Z288" s="154" t="s">
        <v>75</v>
      </c>
      <c r="AA288" s="103" t="s">
        <v>70</v>
      </c>
      <c r="AB288" s="34"/>
      <c r="AC288" s="190"/>
      <c r="AD288" s="5"/>
    </row>
    <row r="289" spans="1:31" s="23" customFormat="1" x14ac:dyDescent="0.3">
      <c r="A289" s="18"/>
      <c r="B289" s="106" t="s">
        <v>59</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06">
        <v>3424</v>
      </c>
      <c r="Y289" s="192">
        <f>X289/$X$298</f>
        <v>0.99970802919708024</v>
      </c>
      <c r="Z289" s="107">
        <v>646031</v>
      </c>
      <c r="AA289" s="192">
        <f>Z289/$Z$298</f>
        <v>0.99972764145235193</v>
      </c>
      <c r="AB289" s="158"/>
      <c r="AC289" s="193"/>
      <c r="AD289" s="22"/>
    </row>
    <row r="290" spans="1:31" s="23" customFormat="1" x14ac:dyDescent="0.3">
      <c r="A290" s="47"/>
      <c r="B290" s="97" t="s">
        <v>60</v>
      </c>
      <c r="C290" s="194"/>
      <c r="D290" s="194"/>
      <c r="E290" s="194"/>
      <c r="F290" s="194"/>
      <c r="G290" s="194"/>
      <c r="H290" s="194"/>
      <c r="I290" s="194"/>
      <c r="J290" s="194"/>
      <c r="K290" s="194"/>
      <c r="L290" s="194"/>
      <c r="M290" s="194"/>
      <c r="N290" s="194"/>
      <c r="O290" s="194"/>
      <c r="P290" s="194"/>
      <c r="Q290" s="194"/>
      <c r="R290" s="194"/>
      <c r="S290" s="194"/>
      <c r="T290" s="194"/>
      <c r="U290" s="194"/>
      <c r="V290" s="194"/>
      <c r="W290" s="194"/>
      <c r="X290" s="97">
        <v>0</v>
      </c>
      <c r="Y290" s="198">
        <f t="shared" ref="Y290:Y296" si="4">X290/$X$298</f>
        <v>0</v>
      </c>
      <c r="Z290" s="98">
        <v>0</v>
      </c>
      <c r="AA290" s="198">
        <f t="shared" ref="AA290:AA296" si="5">Z290/$Z$298</f>
        <v>0</v>
      </c>
      <c r="AB290" s="163"/>
      <c r="AC290" s="175"/>
      <c r="AD290" s="22"/>
      <c r="AE290" s="115"/>
    </row>
    <row r="291" spans="1:31" s="23" customFormat="1" x14ac:dyDescent="0.3">
      <c r="A291" s="47"/>
      <c r="B291" s="97" t="s">
        <v>61</v>
      </c>
      <c r="C291" s="194"/>
      <c r="D291" s="194"/>
      <c r="E291" s="194"/>
      <c r="F291" s="194"/>
      <c r="G291" s="194"/>
      <c r="H291" s="194"/>
      <c r="I291" s="194"/>
      <c r="J291" s="194"/>
      <c r="K291" s="194"/>
      <c r="L291" s="194"/>
      <c r="M291" s="194"/>
      <c r="N291" s="194"/>
      <c r="O291" s="194"/>
      <c r="P291" s="194"/>
      <c r="Q291" s="194"/>
      <c r="R291" s="194"/>
      <c r="S291" s="194"/>
      <c r="T291" s="194"/>
      <c r="U291" s="194"/>
      <c r="V291" s="194"/>
      <c r="W291" s="194"/>
      <c r="X291" s="97">
        <v>0</v>
      </c>
      <c r="Y291" s="198">
        <f t="shared" si="4"/>
        <v>0</v>
      </c>
      <c r="Z291" s="98">
        <v>0</v>
      </c>
      <c r="AA291" s="198">
        <f t="shared" si="5"/>
        <v>0</v>
      </c>
      <c r="AB291" s="163"/>
      <c r="AC291" s="175"/>
      <c r="AD291" s="22"/>
    </row>
    <row r="292" spans="1:31" s="23" customFormat="1" x14ac:dyDescent="0.3">
      <c r="A292" s="47"/>
      <c r="B292" s="97" t="s">
        <v>100</v>
      </c>
      <c r="C292" s="194"/>
      <c r="D292" s="194"/>
      <c r="E292" s="194"/>
      <c r="F292" s="194"/>
      <c r="G292" s="194"/>
      <c r="H292" s="194"/>
      <c r="I292" s="194"/>
      <c r="J292" s="194"/>
      <c r="K292" s="194"/>
      <c r="L292" s="194"/>
      <c r="M292" s="194"/>
      <c r="N292" s="194"/>
      <c r="O292" s="194"/>
      <c r="P292" s="194"/>
      <c r="Q292" s="194"/>
      <c r="R292" s="194"/>
      <c r="S292" s="194"/>
      <c r="T292" s="194"/>
      <c r="U292" s="194"/>
      <c r="V292" s="194"/>
      <c r="W292" s="194"/>
      <c r="X292" s="97">
        <v>0</v>
      </c>
      <c r="Y292" s="198">
        <f t="shared" si="4"/>
        <v>0</v>
      </c>
      <c r="Z292" s="98">
        <v>0</v>
      </c>
      <c r="AA292" s="198">
        <f t="shared" si="5"/>
        <v>0</v>
      </c>
      <c r="AB292" s="163"/>
      <c r="AC292" s="175"/>
      <c r="AD292" s="22"/>
      <c r="AE292" s="115"/>
    </row>
    <row r="293" spans="1:31" s="23" customFormat="1" x14ac:dyDescent="0.3">
      <c r="A293" s="47"/>
      <c r="B293" s="97" t="s">
        <v>101</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1</v>
      </c>
      <c r="Y293" s="198">
        <f t="shared" si="4"/>
        <v>2.9197080291970805E-4</v>
      </c>
      <c r="Z293" s="98">
        <v>176</v>
      </c>
      <c r="AA293" s="198">
        <f t="shared" si="5"/>
        <v>2.7235854764804464E-4</v>
      </c>
      <c r="AB293" s="163"/>
      <c r="AC293" s="175"/>
      <c r="AD293" s="22"/>
    </row>
    <row r="294" spans="1:31" s="23" customFormat="1" x14ac:dyDescent="0.3">
      <c r="A294" s="47"/>
      <c r="B294" s="97" t="s">
        <v>102</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4"/>
        <v>0</v>
      </c>
      <c r="Z294" s="98">
        <v>0</v>
      </c>
      <c r="AA294" s="198">
        <f t="shared" si="5"/>
        <v>0</v>
      </c>
      <c r="AB294" s="163"/>
      <c r="AC294" s="175"/>
      <c r="AD294" s="22"/>
      <c r="AE294" s="115"/>
    </row>
    <row r="295" spans="1:31" s="23" customFormat="1" x14ac:dyDescent="0.3">
      <c r="A295" s="47"/>
      <c r="B295" s="97" t="s">
        <v>103</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0</v>
      </c>
      <c r="Y295" s="198">
        <f>X295/$X$298</f>
        <v>0</v>
      </c>
      <c r="Z295" s="98">
        <v>0</v>
      </c>
      <c r="AA295" s="198">
        <f t="shared" si="5"/>
        <v>0</v>
      </c>
      <c r="AB295" s="163"/>
      <c r="AC295" s="175"/>
      <c r="AD295" s="22"/>
    </row>
    <row r="296" spans="1:31" s="23" customFormat="1" x14ac:dyDescent="0.3">
      <c r="A296" s="47"/>
      <c r="B296" s="97" t="s">
        <v>104</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4"/>
        <v>0</v>
      </c>
      <c r="Z296" s="98">
        <v>0</v>
      </c>
      <c r="AA296" s="198">
        <f t="shared" si="5"/>
        <v>0</v>
      </c>
      <c r="AB296" s="163"/>
      <c r="AC296" s="175"/>
      <c r="AD296" s="22"/>
      <c r="AE296" s="115"/>
    </row>
    <row r="297" spans="1:31" s="23" customFormat="1" x14ac:dyDescent="0.3">
      <c r="A297" s="47"/>
      <c r="B297" s="97"/>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c r="Y297" s="198"/>
      <c r="Z297" s="98"/>
      <c r="AA297" s="198"/>
      <c r="AB297" s="163"/>
      <c r="AC297" s="175"/>
      <c r="AD297" s="22"/>
    </row>
    <row r="298" spans="1:31" s="23" customFormat="1" x14ac:dyDescent="0.3">
      <c r="A298" s="47"/>
      <c r="B298" s="40" t="s">
        <v>80</v>
      </c>
      <c r="C298" s="40"/>
      <c r="D298" s="204"/>
      <c r="E298" s="204"/>
      <c r="F298" s="204"/>
      <c r="G298" s="204"/>
      <c r="H298" s="204"/>
      <c r="I298" s="204"/>
      <c r="J298" s="204"/>
      <c r="K298" s="204"/>
      <c r="L298" s="204"/>
      <c r="M298" s="204"/>
      <c r="N298" s="204"/>
      <c r="O298" s="204"/>
      <c r="P298" s="204"/>
      <c r="Q298" s="204"/>
      <c r="R298" s="204"/>
      <c r="S298" s="204"/>
      <c r="T298" s="204"/>
      <c r="U298" s="204"/>
      <c r="V298" s="204"/>
      <c r="W298" s="204"/>
      <c r="X298" s="97">
        <f>SUM(X289:X297)</f>
        <v>3425</v>
      </c>
      <c r="Y298" s="198">
        <f>SUM(Y289:Y297)</f>
        <v>1</v>
      </c>
      <c r="Z298" s="98">
        <f>SUM(Z289:Z297)</f>
        <v>646207</v>
      </c>
      <c r="AA298" s="198">
        <f>SUM(AA289:AA297)</f>
        <v>1</v>
      </c>
      <c r="AB298" s="40"/>
      <c r="AC298" s="43"/>
      <c r="AD298" s="22"/>
    </row>
    <row r="299" spans="1:31" x14ac:dyDescent="0.3">
      <c r="A299" s="7"/>
      <c r="B299" s="99"/>
      <c r="C299" s="99"/>
      <c r="D299" s="205"/>
      <c r="E299" s="205"/>
      <c r="F299" s="205"/>
      <c r="G299" s="205"/>
      <c r="H299" s="205"/>
      <c r="I299" s="205"/>
      <c r="J299" s="205"/>
      <c r="K299" s="205"/>
      <c r="L299" s="205"/>
      <c r="M299" s="205"/>
      <c r="N299" s="205"/>
      <c r="O299" s="205"/>
      <c r="P299" s="205"/>
      <c r="Q299" s="205"/>
      <c r="R299" s="205"/>
      <c r="S299" s="205"/>
      <c r="T299" s="205"/>
      <c r="U299" s="205"/>
      <c r="V299" s="205"/>
      <c r="W299" s="205"/>
      <c r="X299" s="100"/>
      <c r="Y299" s="206"/>
      <c r="Z299" s="207"/>
      <c r="AA299" s="206"/>
      <c r="AB299" s="99"/>
      <c r="AC299" s="10"/>
      <c r="AD299" s="5"/>
    </row>
    <row r="300" spans="1:31" x14ac:dyDescent="0.3">
      <c r="A300" s="33"/>
      <c r="B300" s="102" t="s">
        <v>121</v>
      </c>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54" t="s">
        <v>69</v>
      </c>
      <c r="Y300" s="103" t="s">
        <v>70</v>
      </c>
      <c r="Z300" s="154" t="s">
        <v>75</v>
      </c>
      <c r="AA300" s="103" t="s">
        <v>70</v>
      </c>
      <c r="AB300" s="34"/>
      <c r="AC300" s="36"/>
      <c r="AD300" s="5"/>
    </row>
    <row r="301" spans="1:31" s="23" customFormat="1" x14ac:dyDescent="0.3">
      <c r="A301" s="18"/>
      <c r="B301" s="106" t="s">
        <v>59</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06">
        <v>0</v>
      </c>
      <c r="Y301" s="192">
        <v>0</v>
      </c>
      <c r="Z301" s="107">
        <v>0</v>
      </c>
      <c r="AA301" s="192">
        <v>0</v>
      </c>
      <c r="AB301" s="37"/>
      <c r="AC301" s="21"/>
      <c r="AD301" s="22"/>
    </row>
    <row r="302" spans="1:31" s="23" customFormat="1" x14ac:dyDescent="0.3">
      <c r="A302" s="47"/>
      <c r="B302" s="97" t="s">
        <v>60</v>
      </c>
      <c r="C302" s="194"/>
      <c r="D302" s="194"/>
      <c r="E302" s="194"/>
      <c r="F302" s="194"/>
      <c r="G302" s="194"/>
      <c r="H302" s="194"/>
      <c r="I302" s="194"/>
      <c r="J302" s="194"/>
      <c r="K302" s="194"/>
      <c r="L302" s="194"/>
      <c r="M302" s="194"/>
      <c r="N302" s="194"/>
      <c r="O302" s="194"/>
      <c r="P302" s="194"/>
      <c r="Q302" s="194"/>
      <c r="R302" s="194"/>
      <c r="S302" s="194"/>
      <c r="T302" s="194"/>
      <c r="U302" s="194"/>
      <c r="V302" s="194"/>
      <c r="W302" s="194"/>
      <c r="X302" s="97">
        <v>1</v>
      </c>
      <c r="Y302" s="198">
        <f>X302/X310</f>
        <v>0.5</v>
      </c>
      <c r="Z302" s="98">
        <v>584</v>
      </c>
      <c r="AA302" s="198">
        <f>Z302/Z310</f>
        <v>0.90262751159196286</v>
      </c>
      <c r="AB302" s="40"/>
      <c r="AC302" s="43"/>
      <c r="AD302" s="22"/>
    </row>
    <row r="303" spans="1:31" s="23" customFormat="1" x14ac:dyDescent="0.3">
      <c r="A303" s="47"/>
      <c r="B303" s="97" t="s">
        <v>61</v>
      </c>
      <c r="C303" s="194"/>
      <c r="D303" s="194"/>
      <c r="E303" s="194"/>
      <c r="F303" s="194"/>
      <c r="G303" s="194"/>
      <c r="H303" s="194"/>
      <c r="I303" s="194"/>
      <c r="J303" s="194"/>
      <c r="K303" s="194"/>
      <c r="L303" s="194"/>
      <c r="M303" s="194"/>
      <c r="N303" s="194"/>
      <c r="O303" s="194"/>
      <c r="P303" s="194"/>
      <c r="Q303" s="194"/>
      <c r="R303" s="194"/>
      <c r="S303" s="194"/>
      <c r="T303" s="194"/>
      <c r="U303" s="194"/>
      <c r="V303" s="194"/>
      <c r="W303" s="194"/>
      <c r="X303" s="97">
        <v>0</v>
      </c>
      <c r="Y303" s="198">
        <f>X303/X310</f>
        <v>0</v>
      </c>
      <c r="Z303" s="98">
        <v>0</v>
      </c>
      <c r="AA303" s="198">
        <f>Z303/Z310</f>
        <v>0</v>
      </c>
      <c r="AB303" s="40"/>
      <c r="AC303" s="43"/>
      <c r="AD303" s="22"/>
    </row>
    <row r="304" spans="1:31" s="23" customFormat="1" x14ac:dyDescent="0.3">
      <c r="A304" s="47"/>
      <c r="B304" s="97" t="s">
        <v>100</v>
      </c>
      <c r="C304" s="194"/>
      <c r="D304" s="194"/>
      <c r="E304" s="194"/>
      <c r="F304" s="194"/>
      <c r="G304" s="194"/>
      <c r="H304" s="194"/>
      <c r="I304" s="194"/>
      <c r="J304" s="194"/>
      <c r="K304" s="194"/>
      <c r="L304" s="194"/>
      <c r="M304" s="194"/>
      <c r="N304" s="194"/>
      <c r="O304" s="194"/>
      <c r="P304" s="194"/>
      <c r="Q304" s="194"/>
      <c r="R304" s="194"/>
      <c r="S304" s="194"/>
      <c r="T304" s="194"/>
      <c r="U304" s="194"/>
      <c r="V304" s="194"/>
      <c r="W304" s="194"/>
      <c r="X304" s="97">
        <v>0</v>
      </c>
      <c r="Y304" s="198">
        <f>X304/X310</f>
        <v>0</v>
      </c>
      <c r="Z304" s="98">
        <v>0</v>
      </c>
      <c r="AA304" s="198">
        <f>Z304/Z310</f>
        <v>0</v>
      </c>
      <c r="AB304" s="40"/>
      <c r="AC304" s="43"/>
      <c r="AD304" s="22"/>
    </row>
    <row r="305" spans="1:30" s="23" customFormat="1" x14ac:dyDescent="0.3">
      <c r="A305" s="47"/>
      <c r="B305" s="97" t="s">
        <v>101</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102</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103</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1</v>
      </c>
      <c r="Y307" s="198">
        <f>X307/X310</f>
        <v>0.5</v>
      </c>
      <c r="Z307" s="98">
        <v>63</v>
      </c>
      <c r="AA307" s="198">
        <f>Z307/Z310</f>
        <v>9.7372488408037097E-2</v>
      </c>
      <c r="AB307" s="40"/>
      <c r="AC307" s="43"/>
      <c r="AD307" s="22"/>
    </row>
    <row r="308" spans="1:30" s="23" customFormat="1" x14ac:dyDescent="0.3">
      <c r="A308" s="47"/>
      <c r="B308" s="97" t="s">
        <v>104</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c r="Y309" s="198"/>
      <c r="Z309" s="98"/>
      <c r="AA309" s="198"/>
      <c r="AB309" s="40"/>
      <c r="AC309" s="43"/>
      <c r="AD309" s="22"/>
    </row>
    <row r="310" spans="1:30" s="23" customFormat="1" x14ac:dyDescent="0.3">
      <c r="A310" s="47"/>
      <c r="B310" s="40" t="s">
        <v>80</v>
      </c>
      <c r="C310" s="40"/>
      <c r="D310" s="204"/>
      <c r="E310" s="204"/>
      <c r="F310" s="204"/>
      <c r="G310" s="204"/>
      <c r="H310" s="204"/>
      <c r="I310" s="204"/>
      <c r="J310" s="204"/>
      <c r="K310" s="204"/>
      <c r="L310" s="204"/>
      <c r="M310" s="204"/>
      <c r="N310" s="204"/>
      <c r="O310" s="204"/>
      <c r="P310" s="204"/>
      <c r="Q310" s="204"/>
      <c r="R310" s="204"/>
      <c r="S310" s="204"/>
      <c r="T310" s="204"/>
      <c r="U310" s="204"/>
      <c r="V310" s="204"/>
      <c r="W310" s="204"/>
      <c r="X310" s="97">
        <f>SUM(X301:X309)</f>
        <v>2</v>
      </c>
      <c r="Y310" s="198">
        <f>SUM(Y301:Y309)</f>
        <v>1</v>
      </c>
      <c r="Z310" s="98">
        <f>SUM(Z301:Z309)</f>
        <v>647</v>
      </c>
      <c r="AA310" s="198">
        <f>SUM(AA301:AA309)</f>
        <v>1</v>
      </c>
      <c r="AB310" s="40"/>
      <c r="AC310" s="43"/>
      <c r="AD310" s="22"/>
    </row>
    <row r="311" spans="1:30" s="23" customFormat="1" x14ac:dyDescent="0.3">
      <c r="A311" s="47"/>
      <c r="B311" s="40"/>
      <c r="C311" s="40"/>
      <c r="D311" s="204"/>
      <c r="E311" s="204"/>
      <c r="F311" s="204"/>
      <c r="G311" s="204"/>
      <c r="H311" s="204"/>
      <c r="I311" s="204"/>
      <c r="J311" s="204"/>
      <c r="K311" s="204"/>
      <c r="L311" s="204"/>
      <c r="M311" s="204"/>
      <c r="N311" s="204"/>
      <c r="O311" s="204"/>
      <c r="P311" s="204"/>
      <c r="Q311" s="204"/>
      <c r="R311" s="204"/>
      <c r="S311" s="204"/>
      <c r="T311" s="204"/>
      <c r="U311" s="204"/>
      <c r="V311" s="204"/>
      <c r="W311" s="204"/>
      <c r="X311" s="97"/>
      <c r="Y311" s="198"/>
      <c r="Z311" s="98"/>
      <c r="AA311" s="198"/>
      <c r="AB311" s="40"/>
      <c r="AC311" s="43"/>
      <c r="AD311" s="22"/>
    </row>
    <row r="312" spans="1:30" s="23" customFormat="1" x14ac:dyDescent="0.3">
      <c r="A312" s="242"/>
      <c r="B312" s="243" t="s">
        <v>299</v>
      </c>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62" t="s">
        <v>69</v>
      </c>
      <c r="Y312" s="263" t="s">
        <v>70</v>
      </c>
      <c r="Z312" s="262" t="s">
        <v>75</v>
      </c>
      <c r="AA312" s="263" t="s">
        <v>70</v>
      </c>
      <c r="AB312" s="243"/>
      <c r="AC312" s="243"/>
      <c r="AD312" s="22"/>
    </row>
    <row r="313" spans="1:30" s="23" customFormat="1" x14ac:dyDescent="0.3">
      <c r="A313" s="272"/>
      <c r="B313" s="273" t="s">
        <v>295</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275">
        <v>1</v>
      </c>
      <c r="Y313" s="276">
        <f>X313/X320</f>
        <v>0.5</v>
      </c>
      <c r="Z313" s="277">
        <v>584</v>
      </c>
      <c r="AA313" s="276">
        <f>Z313/Z320</f>
        <v>0.90262751159196286</v>
      </c>
      <c r="AB313" s="40"/>
      <c r="AC313" s="43"/>
      <c r="AD313" s="22"/>
    </row>
    <row r="314" spans="1:30" s="23" customFormat="1" x14ac:dyDescent="0.3">
      <c r="A314" s="272"/>
      <c r="B314" s="273" t="s">
        <v>296</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275">
        <v>0</v>
      </c>
      <c r="Y314" s="276">
        <v>0</v>
      </c>
      <c r="Z314" s="277">
        <v>0</v>
      </c>
      <c r="AA314" s="276">
        <v>0</v>
      </c>
      <c r="AB314" s="40"/>
      <c r="AC314" s="43"/>
      <c r="AD314" s="22"/>
    </row>
    <row r="315" spans="1:30" s="23" customFormat="1" x14ac:dyDescent="0.3">
      <c r="A315" s="272"/>
      <c r="B315" s="273" t="s">
        <v>297</v>
      </c>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275">
        <v>0</v>
      </c>
      <c r="Y315" s="276">
        <v>0</v>
      </c>
      <c r="Z315" s="277">
        <v>0</v>
      </c>
      <c r="AA315" s="276">
        <v>0</v>
      </c>
      <c r="AB315" s="40"/>
      <c r="AC315" s="43"/>
      <c r="AD315" s="22"/>
    </row>
    <row r="316" spans="1:30" s="23" customFormat="1" x14ac:dyDescent="0.3">
      <c r="A316" s="272"/>
      <c r="B316" s="273" t="s">
        <v>298</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5">
        <v>0</v>
      </c>
      <c r="Y316" s="276">
        <f>X316/X320</f>
        <v>0</v>
      </c>
      <c r="Z316" s="277">
        <v>0</v>
      </c>
      <c r="AA316" s="276">
        <f>Z316/Z320</f>
        <v>0</v>
      </c>
      <c r="AB316" s="40"/>
      <c r="AC316" s="43"/>
      <c r="AD316" s="22"/>
    </row>
    <row r="317" spans="1:30" s="23" customFormat="1" x14ac:dyDescent="0.3">
      <c r="A317" s="272"/>
      <c r="B317" s="273" t="s">
        <v>368</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5">
        <v>1</v>
      </c>
      <c r="Y317" s="276">
        <f>X317/X320</f>
        <v>0.5</v>
      </c>
      <c r="Z317" s="277">
        <v>63</v>
      </c>
      <c r="AA317" s="276">
        <f>Z317/Z320</f>
        <v>9.7372488408037097E-2</v>
      </c>
      <c r="AB317" s="40"/>
      <c r="AC317" s="43"/>
      <c r="AD317" s="22"/>
    </row>
    <row r="318" spans="1:30" s="23" customFormat="1" x14ac:dyDescent="0.3">
      <c r="A318" s="272"/>
      <c r="B318" s="274" t="s">
        <v>300</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5">
        <v>0</v>
      </c>
      <c r="Y318" s="276">
        <v>0</v>
      </c>
      <c r="Z318" s="277">
        <v>0</v>
      </c>
      <c r="AA318" s="276">
        <v>0</v>
      </c>
      <c r="AB318" s="40"/>
      <c r="AC318" s="43"/>
      <c r="AD318" s="22"/>
    </row>
    <row r="319" spans="1:30" s="23" customFormat="1" x14ac:dyDescent="0.3">
      <c r="A319" s="272"/>
      <c r="B319" s="273"/>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5"/>
      <c r="Y319" s="276"/>
      <c r="Z319" s="277"/>
      <c r="AA319" s="276"/>
      <c r="AB319" s="40"/>
      <c r="AC319" s="43"/>
      <c r="AD319" s="22"/>
    </row>
    <row r="320" spans="1:30" s="23" customFormat="1" x14ac:dyDescent="0.3">
      <c r="A320" s="272"/>
      <c r="B320" s="273" t="s">
        <v>80</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5">
        <f>SUM(X313:X319)</f>
        <v>2</v>
      </c>
      <c r="Y320" s="276">
        <f>SUM(Y313:Y318)</f>
        <v>1</v>
      </c>
      <c r="Z320" s="277">
        <f>SUM(Z313:Z318)</f>
        <v>647</v>
      </c>
      <c r="AA320" s="276">
        <f>SUM(AA313:AA319)</f>
        <v>1</v>
      </c>
      <c r="AB320" s="40"/>
      <c r="AC320" s="43"/>
      <c r="AD320" s="22"/>
    </row>
    <row r="321" spans="1:30" x14ac:dyDescent="0.3">
      <c r="A321" s="7"/>
      <c r="B321" s="99"/>
      <c r="C321" s="99"/>
      <c r="D321" s="205"/>
      <c r="E321" s="205"/>
      <c r="F321" s="205"/>
      <c r="G321" s="205"/>
      <c r="H321" s="205"/>
      <c r="I321" s="205"/>
      <c r="J321" s="205"/>
      <c r="K321" s="205"/>
      <c r="L321" s="205"/>
      <c r="M321" s="205"/>
      <c r="N321" s="205"/>
      <c r="O321" s="205"/>
      <c r="P321" s="205"/>
      <c r="Q321" s="205"/>
      <c r="R321" s="205"/>
      <c r="S321" s="205"/>
      <c r="T321" s="205"/>
      <c r="U321" s="205"/>
      <c r="V321" s="205"/>
      <c r="W321" s="205"/>
      <c r="X321" s="100"/>
      <c r="Y321" s="206"/>
      <c r="Z321" s="207"/>
      <c r="AA321" s="206"/>
      <c r="AB321" s="99"/>
      <c r="AC321" s="10"/>
      <c r="AD321" s="5"/>
    </row>
    <row r="322" spans="1:30" x14ac:dyDescent="0.3">
      <c r="A322" s="33"/>
      <c r="B322" s="102" t="s">
        <v>106</v>
      </c>
      <c r="C322" s="34"/>
      <c r="D322" s="208"/>
      <c r="E322" s="208"/>
      <c r="F322" s="208"/>
      <c r="G322" s="208"/>
      <c r="H322" s="208"/>
      <c r="I322" s="208"/>
      <c r="J322" s="208"/>
      <c r="K322" s="208"/>
      <c r="L322" s="208"/>
      <c r="M322" s="208"/>
      <c r="N322" s="208"/>
      <c r="O322" s="208"/>
      <c r="P322" s="208"/>
      <c r="Q322" s="208"/>
      <c r="R322" s="208"/>
      <c r="S322" s="208"/>
      <c r="T322" s="208"/>
      <c r="U322" s="208"/>
      <c r="V322" s="208"/>
      <c r="W322" s="208"/>
      <c r="X322" s="154" t="s">
        <v>69</v>
      </c>
      <c r="Y322" s="103" t="s">
        <v>70</v>
      </c>
      <c r="Z322" s="154" t="s">
        <v>75</v>
      </c>
      <c r="AA322" s="103" t="s">
        <v>70</v>
      </c>
      <c r="AB322" s="34"/>
      <c r="AC322" s="36"/>
      <c r="AD322" s="5"/>
    </row>
    <row r="323" spans="1:30" s="23" customFormat="1" x14ac:dyDescent="0.3">
      <c r="A323" s="18"/>
      <c r="B323" s="106" t="s">
        <v>59</v>
      </c>
      <c r="C323" s="37"/>
      <c r="D323" s="209"/>
      <c r="E323" s="209"/>
      <c r="F323" s="209"/>
      <c r="G323" s="209"/>
      <c r="H323" s="209"/>
      <c r="I323" s="209"/>
      <c r="J323" s="209"/>
      <c r="K323" s="209"/>
      <c r="L323" s="209"/>
      <c r="M323" s="209"/>
      <c r="N323" s="209"/>
      <c r="O323" s="209"/>
      <c r="P323" s="209"/>
      <c r="Q323" s="209"/>
      <c r="R323" s="209"/>
      <c r="S323" s="209"/>
      <c r="T323" s="209"/>
      <c r="U323" s="209"/>
      <c r="V323" s="209"/>
      <c r="W323" s="209"/>
      <c r="X323" s="106">
        <v>0</v>
      </c>
      <c r="Y323" s="192">
        <v>0</v>
      </c>
      <c r="Z323" s="107">
        <v>0</v>
      </c>
      <c r="AA323" s="192">
        <v>0</v>
      </c>
      <c r="AB323" s="37"/>
      <c r="AC323" s="21"/>
      <c r="AD323" s="22"/>
    </row>
    <row r="324" spans="1:30" s="23" customFormat="1" x14ac:dyDescent="0.3">
      <c r="A324" s="47"/>
      <c r="B324" s="97" t="s">
        <v>60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97">
        <v>0</v>
      </c>
      <c r="Y324" s="198">
        <v>0</v>
      </c>
      <c r="Z324" s="98">
        <v>0</v>
      </c>
      <c r="AA324" s="198">
        <v>0</v>
      </c>
      <c r="AB324" s="40"/>
      <c r="AC324" s="43"/>
      <c r="AD324" s="22"/>
    </row>
    <row r="325" spans="1:30" s="23" customFormat="1" x14ac:dyDescent="0.3">
      <c r="A325" s="47"/>
      <c r="B325" s="97" t="s">
        <v>61</v>
      </c>
      <c r="C325" s="40"/>
      <c r="D325" s="204"/>
      <c r="E325" s="204"/>
      <c r="F325" s="204"/>
      <c r="G325" s="204"/>
      <c r="H325" s="204"/>
      <c r="I325" s="204"/>
      <c r="J325" s="204"/>
      <c r="K325" s="204"/>
      <c r="L325" s="204"/>
      <c r="M325" s="204"/>
      <c r="N325" s="204"/>
      <c r="O325" s="204"/>
      <c r="P325" s="204"/>
      <c r="Q325" s="204"/>
      <c r="R325" s="204"/>
      <c r="S325" s="204"/>
      <c r="T325" s="204"/>
      <c r="U325" s="204"/>
      <c r="V325" s="204"/>
      <c r="W325" s="204"/>
      <c r="X325" s="97">
        <v>0</v>
      </c>
      <c r="Y325" s="198">
        <v>0</v>
      </c>
      <c r="Z325" s="98">
        <v>0</v>
      </c>
      <c r="AA325" s="198">
        <v>0</v>
      </c>
      <c r="AB325" s="40"/>
      <c r="AC325" s="43"/>
      <c r="AD325" s="22"/>
    </row>
    <row r="326" spans="1:30" s="23" customFormat="1" x14ac:dyDescent="0.3">
      <c r="A326" s="47"/>
      <c r="B326" s="97" t="s">
        <v>100</v>
      </c>
      <c r="C326" s="40"/>
      <c r="D326" s="204"/>
      <c r="E326" s="204"/>
      <c r="F326" s="204"/>
      <c r="G326" s="204"/>
      <c r="H326" s="204"/>
      <c r="I326" s="204"/>
      <c r="J326" s="204"/>
      <c r="K326" s="204"/>
      <c r="L326" s="204"/>
      <c r="M326" s="204"/>
      <c r="N326" s="204"/>
      <c r="O326" s="204"/>
      <c r="P326" s="204"/>
      <c r="Q326" s="204"/>
      <c r="R326" s="204"/>
      <c r="S326" s="204"/>
      <c r="T326" s="204"/>
      <c r="U326" s="204"/>
      <c r="V326" s="204"/>
      <c r="W326" s="204"/>
      <c r="X326" s="97">
        <v>0</v>
      </c>
      <c r="Y326" s="198">
        <v>0</v>
      </c>
      <c r="Z326" s="98">
        <v>0</v>
      </c>
      <c r="AA326" s="198">
        <v>0</v>
      </c>
      <c r="AB326" s="40"/>
      <c r="AC326" s="43"/>
      <c r="AD326" s="22"/>
    </row>
    <row r="327" spans="1:30" s="23" customFormat="1" x14ac:dyDescent="0.3">
      <c r="A327" s="47"/>
      <c r="B327" s="97" t="s">
        <v>101</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102</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103</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104</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c r="Y331" s="198"/>
      <c r="Z331" s="98"/>
      <c r="AA331" s="198"/>
      <c r="AB331" s="40"/>
      <c r="AC331" s="43"/>
      <c r="AD331" s="22"/>
    </row>
    <row r="332" spans="1:30" s="23" customFormat="1" x14ac:dyDescent="0.3">
      <c r="A332" s="47"/>
      <c r="B332" s="40" t="s">
        <v>80</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f>SUM(X323:X330)</f>
        <v>0</v>
      </c>
      <c r="Y332" s="198">
        <f>SUM(Y323:Y330)</f>
        <v>0</v>
      </c>
      <c r="Z332" s="98">
        <f>SUM(Z323:Z330)</f>
        <v>0</v>
      </c>
      <c r="AA332" s="198">
        <f>SUM(AA323:AA330)</f>
        <v>0</v>
      </c>
      <c r="AB332" s="40"/>
      <c r="AC332" s="43"/>
      <c r="AD332" s="22"/>
    </row>
    <row r="333" spans="1:30" s="23" customFormat="1" x14ac:dyDescent="0.3">
      <c r="A333" s="47"/>
      <c r="B333" s="40"/>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c r="Y333" s="198"/>
      <c r="Z333" s="98"/>
      <c r="AA333" s="198"/>
      <c r="AB333" s="40"/>
      <c r="AC333" s="43"/>
      <c r="AD333" s="22"/>
    </row>
    <row r="334" spans="1:30" s="23" customFormat="1" x14ac:dyDescent="0.3">
      <c r="A334" s="47"/>
      <c r="B334" s="44" t="s">
        <v>139</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210">
        <f>X332+X310+X298</f>
        <v>3427</v>
      </c>
      <c r="Y334" s="198"/>
      <c r="Z334" s="211">
        <f>+Z332+Z310+Z298</f>
        <v>646854</v>
      </c>
      <c r="AA334" s="198"/>
      <c r="AB334" s="40"/>
      <c r="AC334" s="43"/>
      <c r="AD334" s="22"/>
    </row>
    <row r="335" spans="1:30" s="23" customFormat="1" x14ac:dyDescent="0.3">
      <c r="A335" s="47"/>
      <c r="B335" s="44" t="s">
        <v>280</v>
      </c>
      <c r="C335" s="44"/>
      <c r="D335" s="212"/>
      <c r="E335" s="212"/>
      <c r="F335" s="212"/>
      <c r="G335" s="212"/>
      <c r="H335" s="212"/>
      <c r="I335" s="212"/>
      <c r="J335" s="212"/>
      <c r="K335" s="212"/>
      <c r="L335" s="212"/>
      <c r="M335" s="212"/>
      <c r="N335" s="212"/>
      <c r="O335" s="212"/>
      <c r="P335" s="212"/>
      <c r="Q335" s="212"/>
      <c r="R335" s="212"/>
      <c r="S335" s="212"/>
      <c r="T335" s="212"/>
      <c r="U335" s="212"/>
      <c r="V335" s="212"/>
      <c r="W335" s="212"/>
      <c r="X335" s="210"/>
      <c r="Y335" s="213"/>
      <c r="Z335" s="211">
        <f>+AB64+AB63</f>
        <v>2</v>
      </c>
      <c r="AA335" s="198"/>
      <c r="AB335" s="40"/>
      <c r="AC335" s="43"/>
      <c r="AD335" s="22"/>
    </row>
    <row r="336" spans="1:30" s="23" customFormat="1" x14ac:dyDescent="0.3">
      <c r="A336" s="47"/>
      <c r="B336" s="44" t="s">
        <v>107</v>
      </c>
      <c r="C336" s="44"/>
      <c r="D336" s="212"/>
      <c r="E336" s="212"/>
      <c r="F336" s="212"/>
      <c r="G336" s="212"/>
      <c r="H336" s="212"/>
      <c r="I336" s="212"/>
      <c r="J336" s="212"/>
      <c r="K336" s="212"/>
      <c r="L336" s="212"/>
      <c r="M336" s="212"/>
      <c r="N336" s="212"/>
      <c r="O336" s="212"/>
      <c r="P336" s="212"/>
      <c r="Q336" s="212"/>
      <c r="R336" s="212"/>
      <c r="S336" s="212"/>
      <c r="T336" s="212"/>
      <c r="U336" s="212"/>
      <c r="V336" s="212"/>
      <c r="W336" s="212"/>
      <c r="X336" s="210"/>
      <c r="Y336" s="213"/>
      <c r="Z336" s="211">
        <f>+Z334+Z335</f>
        <v>646856</v>
      </c>
      <c r="AA336" s="198"/>
      <c r="AB336" s="40"/>
      <c r="AC336" s="43"/>
      <c r="AD336" s="22"/>
    </row>
    <row r="337" spans="1:30" s="23" customFormat="1" x14ac:dyDescent="0.3">
      <c r="A337" s="47"/>
      <c r="B337" s="44" t="s">
        <v>245</v>
      </c>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210"/>
      <c r="Y337" s="198"/>
      <c r="Z337" s="211">
        <f>+AB66</f>
        <v>646856</v>
      </c>
      <c r="AA337" s="198"/>
      <c r="AB337" s="40"/>
      <c r="AC337" s="43"/>
      <c r="AD337" s="22"/>
    </row>
    <row r="338" spans="1:30" s="23" customFormat="1" x14ac:dyDescent="0.3">
      <c r="A338" s="47"/>
      <c r="B338" s="44"/>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c r="Y338" s="198"/>
      <c r="Z338" s="211"/>
      <c r="AA338" s="198"/>
      <c r="AB338" s="40"/>
      <c r="AC338" s="43"/>
      <c r="AD338" s="22"/>
    </row>
    <row r="339" spans="1:30" s="23" customFormat="1" x14ac:dyDescent="0.3">
      <c r="A339" s="47"/>
      <c r="B339" s="44" t="s">
        <v>327</v>
      </c>
      <c r="C339" s="40"/>
      <c r="D339" s="204"/>
      <c r="E339" s="204"/>
      <c r="F339" s="204"/>
      <c r="G339" s="204"/>
      <c r="H339" s="204"/>
      <c r="I339" s="204"/>
      <c r="J339" s="204"/>
      <c r="K339" s="204"/>
      <c r="L339" s="204"/>
      <c r="M339" s="204"/>
      <c r="N339" s="204"/>
      <c r="O339" s="204"/>
      <c r="P339" s="204"/>
      <c r="Q339" s="204"/>
      <c r="R339" s="204"/>
      <c r="S339" s="204"/>
      <c r="T339" s="204"/>
      <c r="U339" s="204"/>
      <c r="V339" s="204"/>
      <c r="W339" s="204"/>
      <c r="X339" s="210"/>
      <c r="Y339" s="198"/>
      <c r="Z339" s="236">
        <f>(F31+H31+J31+L31+N31)/AB31</f>
        <v>1</v>
      </c>
      <c r="AA339" s="198"/>
      <c r="AB339" s="40"/>
      <c r="AC339" s="43"/>
      <c r="AD339" s="22"/>
    </row>
    <row r="340" spans="1:30" s="23" customFormat="1" x14ac:dyDescent="0.3">
      <c r="A340" s="18"/>
      <c r="B340" s="20"/>
      <c r="C340" s="20"/>
      <c r="D340" s="214"/>
      <c r="E340" s="214"/>
      <c r="F340" s="214"/>
      <c r="G340" s="214"/>
      <c r="H340" s="214"/>
      <c r="I340" s="214"/>
      <c r="J340" s="214"/>
      <c r="K340" s="214"/>
      <c r="L340" s="214"/>
      <c r="M340" s="214"/>
      <c r="N340" s="214"/>
      <c r="O340" s="214"/>
      <c r="P340" s="214"/>
      <c r="Q340" s="214"/>
      <c r="R340" s="214"/>
      <c r="S340" s="214"/>
      <c r="T340" s="214"/>
      <c r="U340" s="214"/>
      <c r="V340" s="214"/>
      <c r="W340" s="214"/>
      <c r="X340" s="214"/>
      <c r="Y340" s="214"/>
      <c r="Z340" s="215"/>
      <c r="AA340" s="214"/>
      <c r="AB340" s="20"/>
      <c r="AC340" s="21"/>
      <c r="AD340" s="22"/>
    </row>
    <row r="341" spans="1:30" s="23" customFormat="1" x14ac:dyDescent="0.3">
      <c r="A341" s="18"/>
      <c r="B341" s="19" t="s">
        <v>62</v>
      </c>
      <c r="C341" s="20"/>
      <c r="D341" s="216" t="s">
        <v>66</v>
      </c>
      <c r="E341" s="19"/>
      <c r="F341" s="19" t="s">
        <v>67</v>
      </c>
      <c r="G341" s="20"/>
      <c r="H341" s="19"/>
      <c r="I341" s="20"/>
      <c r="J341" s="20"/>
      <c r="K341" s="20"/>
      <c r="L341" s="20"/>
      <c r="M341" s="20"/>
      <c r="N341" s="20"/>
      <c r="O341" s="20"/>
      <c r="P341" s="20"/>
      <c r="Q341" s="20"/>
      <c r="R341" s="20"/>
      <c r="S341" s="20"/>
      <c r="T341" s="20"/>
      <c r="U341" s="20"/>
      <c r="V341" s="20"/>
      <c r="W341" s="20"/>
      <c r="X341" s="20"/>
      <c r="Y341" s="20"/>
      <c r="Z341" s="20"/>
      <c r="AA341" s="20"/>
      <c r="AB341" s="20"/>
      <c r="AC341" s="21"/>
      <c r="AD341" s="22"/>
    </row>
    <row r="342" spans="1:30" s="23" customFormat="1" x14ac:dyDescent="0.3">
      <c r="A342" s="18"/>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1"/>
      <c r="AD342" s="22"/>
    </row>
    <row r="343" spans="1:30" s="23" customFormat="1" x14ac:dyDescent="0.3">
      <c r="A343" s="18"/>
      <c r="B343" s="19" t="s">
        <v>152</v>
      </c>
      <c r="C343" s="19"/>
      <c r="D343" s="217" t="s">
        <v>122</v>
      </c>
      <c r="E343" s="19"/>
      <c r="F343" s="19" t="s">
        <v>169</v>
      </c>
      <c r="G343" s="19"/>
      <c r="H343" s="19"/>
      <c r="I343" s="20"/>
      <c r="J343" s="20"/>
      <c r="K343" s="20"/>
      <c r="L343" s="20"/>
      <c r="M343" s="20"/>
      <c r="N343" s="20"/>
      <c r="O343" s="20"/>
      <c r="P343" s="20"/>
      <c r="Q343" s="20"/>
      <c r="R343" s="20"/>
      <c r="S343" s="20"/>
      <c r="T343" s="20"/>
      <c r="U343" s="20"/>
      <c r="V343" s="20"/>
      <c r="W343" s="20"/>
      <c r="X343" s="20"/>
      <c r="Y343" s="20"/>
      <c r="Z343" s="20"/>
      <c r="AA343" s="20"/>
      <c r="AB343" s="20"/>
      <c r="AC343" s="21"/>
      <c r="AD343" s="22"/>
    </row>
    <row r="344" spans="1:30" s="23" customFormat="1" x14ac:dyDescent="0.3">
      <c r="A344" s="18"/>
      <c r="B344" s="19" t="s">
        <v>153</v>
      </c>
      <c r="C344" s="19"/>
      <c r="D344" s="217" t="s">
        <v>98</v>
      </c>
      <c r="E344" s="19"/>
      <c r="F344" s="19" t="s">
        <v>170</v>
      </c>
      <c r="G344" s="19"/>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s="23" customFormat="1" x14ac:dyDescent="0.3">
      <c r="A345" s="18"/>
      <c r="B345" s="19"/>
      <c r="C345" s="19"/>
      <c r="D345" s="217"/>
      <c r="E345" s="19"/>
      <c r="F345" s="19"/>
      <c r="G345" s="19"/>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ht="18" x14ac:dyDescent="0.35">
      <c r="A346" s="218"/>
      <c r="B346" s="259" t="s">
        <v>109</v>
      </c>
      <c r="C346" s="219"/>
      <c r="D346" s="220"/>
      <c r="E346" s="220"/>
      <c r="F346" s="220"/>
      <c r="G346" s="220"/>
      <c r="H346" s="220"/>
      <c r="I346" s="220"/>
      <c r="J346" s="220"/>
      <c r="K346" s="220"/>
      <c r="L346" s="220"/>
      <c r="M346" s="220"/>
      <c r="N346" s="220"/>
      <c r="O346" s="220"/>
      <c r="P346" s="260" t="s">
        <v>168</v>
      </c>
      <c r="Q346" s="220"/>
      <c r="R346" s="220"/>
      <c r="S346" s="220"/>
      <c r="T346" s="220"/>
      <c r="U346" s="220"/>
      <c r="V346" s="220"/>
      <c r="W346" s="220"/>
      <c r="X346" s="220"/>
      <c r="Y346" s="220"/>
      <c r="Z346" s="220"/>
      <c r="AA346" s="220"/>
      <c r="AB346" s="220"/>
      <c r="AC346" s="221"/>
      <c r="AD346" s="5"/>
    </row>
    <row r="347" spans="1:30" ht="18" x14ac:dyDescent="0.35">
      <c r="A347" s="218"/>
      <c r="B347" s="259"/>
      <c r="C347" s="219"/>
      <c r="D347" s="220"/>
      <c r="E347" s="220"/>
      <c r="F347" s="220"/>
      <c r="G347" s="220"/>
      <c r="H347" s="220"/>
      <c r="I347" s="220"/>
      <c r="J347" s="220"/>
      <c r="K347" s="220"/>
      <c r="L347" s="220"/>
      <c r="M347" s="220"/>
      <c r="N347" s="220"/>
      <c r="O347" s="220"/>
      <c r="P347" s="260"/>
      <c r="Q347" s="220"/>
      <c r="R347" s="220"/>
      <c r="S347" s="220"/>
      <c r="T347" s="220"/>
      <c r="U347" s="220"/>
      <c r="V347" s="220"/>
      <c r="W347" s="220"/>
      <c r="X347" s="220"/>
      <c r="Y347" s="220"/>
      <c r="Z347" s="220"/>
      <c r="AA347" s="220"/>
      <c r="AB347" s="220"/>
      <c r="AC347" s="221"/>
      <c r="AD347" s="5"/>
    </row>
    <row r="348" spans="1:30" ht="18.600000000000001" thickBot="1" x14ac:dyDescent="0.4">
      <c r="A348" s="218"/>
      <c r="B348" s="222" t="str">
        <f>B234</f>
        <v>PM27 INVESTOR REPORT QUARTER ENDING JUNE 2023</v>
      </c>
      <c r="C348" s="219"/>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c r="AA348" s="220"/>
      <c r="AB348" s="220"/>
      <c r="AC348" s="223"/>
      <c r="AD348" s="5"/>
    </row>
    <row r="349" spans="1:30" x14ac:dyDescent="0.3">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c r="Y349" s="224"/>
      <c r="Z349" s="224"/>
      <c r="AA349" s="224"/>
      <c r="AB349" s="224"/>
      <c r="AC349" s="224"/>
    </row>
    <row r="350" spans="1:30" x14ac:dyDescent="0.3">
      <c r="B350" s="278" t="s">
        <v>351</v>
      </c>
    </row>
    <row r="351" spans="1:30" x14ac:dyDescent="0.3">
      <c r="B351" s="270" t="s">
        <v>352</v>
      </c>
    </row>
    <row r="352" spans="1:30" x14ac:dyDescent="0.3">
      <c r="B352" s="298" t="s">
        <v>353</v>
      </c>
    </row>
    <row r="354" spans="2:2" x14ac:dyDescent="0.3">
      <c r="B354" s="270" t="s">
        <v>365</v>
      </c>
    </row>
    <row r="355" spans="2:2" x14ac:dyDescent="0.3">
      <c r="B355" s="270" t="s">
        <v>364</v>
      </c>
    </row>
  </sheetData>
  <hyperlinks>
    <hyperlink ref="K9" r:id="rId1" display="http://www.paragon-group.co.uk" xr:uid="{D9158483-72C2-4C8D-BBC1-82E3AACE1DC4}"/>
    <hyperlink ref="P346" r:id="rId2" xr:uid="{E584D2B6-2B2D-4432-9F9F-E27DC8C90F08}"/>
    <hyperlink ref="P274" r:id="rId3" xr:uid="{ABE3544E-5D57-426A-8FEE-FD8DAF6DDB42}"/>
    <hyperlink ref="B352" r:id="rId4" display="https://investorreporting.paragonbankinggroup.co.uk/bondinvestor_viewer/resources/bondinvestor/pdf/investornews/2021/libor-mortgages-transition-july-19" xr:uid="{577C6731-BC05-482E-9F98-77E1B59F6580}"/>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1" max="18" man="1"/>
    <brk id="234" max="18" man="1"/>
  </rowBreaks>
  <colBreaks count="1" manualBreakCount="1">
    <brk id="29" max="299" man="1"/>
  </colBreaks>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885823-7631-4AC1-B12A-61754A45E90E}">
  <sheetPr>
    <tabColor rgb="FF2D2926"/>
  </sheetPr>
  <dimension ref="A1:JB355"/>
  <sheetViews>
    <sheetView showGridLines="0" showOutlineSymbols="0" zoomScale="70" zoomScaleNormal="70" workbookViewId="0"/>
  </sheetViews>
  <sheetFormatPr defaultColWidth="9.81640625" defaultRowHeight="15.6" x14ac:dyDescent="0.3"/>
  <cols>
    <col min="1" max="1" width="4" style="6" customWidth="1"/>
    <col min="2" max="2" width="71.08984375" style="6" customWidth="1"/>
    <col min="3" max="3" width="2.08984375" style="6" customWidth="1"/>
    <col min="4" max="4" width="16.08984375" style="6" customWidth="1"/>
    <col min="5" max="5" width="2.81640625" style="6" customWidth="1"/>
    <col min="6" max="6" width="16.08984375" style="6" customWidth="1"/>
    <col min="7" max="7" width="2.08984375" style="6" customWidth="1"/>
    <col min="8" max="8" width="17.81640625" style="6" customWidth="1"/>
    <col min="9" max="9" width="2.08984375" style="6" customWidth="1"/>
    <col min="10" max="10" width="14.8164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302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168</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301</v>
      </c>
      <c r="AC14" s="21"/>
      <c r="AD14" s="22"/>
    </row>
    <row r="15" spans="1:30" s="23" customFormat="1" x14ac:dyDescent="0.3">
      <c r="A15" s="18"/>
      <c r="B15" s="19" t="s">
        <v>278</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323</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3.6400000000000002E-2</v>
      </c>
      <c r="Z16" s="29" t="s">
        <v>264</v>
      </c>
      <c r="AA16" s="29">
        <v>0.96360000000000001</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2.9269652796096186E-2</v>
      </c>
      <c r="Z17" s="29" t="s">
        <v>264</v>
      </c>
      <c r="AA17" s="29">
        <v>0.97073034720390372</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6">
        <v>43951</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45219</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304</v>
      </c>
      <c r="G23" s="35"/>
      <c r="H23" s="35" t="s">
        <v>140</v>
      </c>
      <c r="I23" s="35"/>
      <c r="J23" s="35" t="s">
        <v>141</v>
      </c>
      <c r="K23" s="35"/>
      <c r="L23" s="35" t="s">
        <v>171</v>
      </c>
      <c r="M23" s="35"/>
      <c r="N23" s="35" t="s">
        <v>161</v>
      </c>
      <c r="O23" s="35"/>
      <c r="P23" s="35" t="s">
        <v>181</v>
      </c>
      <c r="Q23" s="35"/>
      <c r="R23" s="35" t="s">
        <v>182</v>
      </c>
      <c r="S23" s="35"/>
      <c r="T23" s="35" t="s">
        <v>183</v>
      </c>
      <c r="U23" s="35"/>
      <c r="V23" s="35" t="s">
        <v>184</v>
      </c>
      <c r="W23" s="35"/>
      <c r="X23" s="35" t="s">
        <v>185</v>
      </c>
      <c r="Y23" s="35" t="s">
        <v>186</v>
      </c>
      <c r="Z23" s="35"/>
      <c r="AA23" s="34"/>
      <c r="AB23" s="34"/>
      <c r="AC23" s="36"/>
      <c r="AD23" s="5"/>
    </row>
    <row r="24" spans="1:33" s="23" customFormat="1" x14ac:dyDescent="0.3">
      <c r="A24" s="18"/>
      <c r="B24" s="37" t="s">
        <v>158</v>
      </c>
      <c r="C24" s="38"/>
      <c r="D24" s="228"/>
      <c r="E24" s="228"/>
      <c r="F24" s="228" t="s">
        <v>220</v>
      </c>
      <c r="G24" s="228"/>
      <c r="H24" s="228" t="s">
        <v>221</v>
      </c>
      <c r="I24" s="228"/>
      <c r="J24" s="228" t="s">
        <v>269</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c r="E25" s="227"/>
      <c r="F25" s="227" t="s">
        <v>222</v>
      </c>
      <c r="G25" s="227"/>
      <c r="H25" s="227" t="s">
        <v>223</v>
      </c>
      <c r="I25" s="227"/>
      <c r="J25" s="227" t="s">
        <v>270</v>
      </c>
      <c r="K25" s="227"/>
      <c r="L25" s="227" t="s">
        <v>324</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159</v>
      </c>
      <c r="C26" s="41"/>
      <c r="D26" s="229"/>
      <c r="E26" s="229"/>
      <c r="F26" s="229" t="s">
        <v>220</v>
      </c>
      <c r="G26" s="229"/>
      <c r="H26" s="229" t="s">
        <v>220</v>
      </c>
      <c r="I26" s="229"/>
      <c r="J26" s="229" t="s">
        <v>355</v>
      </c>
      <c r="K26" s="229"/>
      <c r="L26" s="229" t="s">
        <v>356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c r="E27" s="229"/>
      <c r="F27" s="229" t="s">
        <v>222</v>
      </c>
      <c r="G27" s="229"/>
      <c r="H27" s="229" t="s">
        <v>223</v>
      </c>
      <c r="I27" s="229"/>
      <c r="J27" s="229" t="s">
        <v>270</v>
      </c>
      <c r="K27" s="229"/>
      <c r="L27" s="229" t="s">
        <v>324</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c r="E28" s="227"/>
      <c r="F28" s="227" t="s">
        <v>313</v>
      </c>
      <c r="G28" s="227"/>
      <c r="H28" s="227" t="s">
        <v>314</v>
      </c>
      <c r="I28" s="227"/>
      <c r="J28" s="227" t="s">
        <v>315</v>
      </c>
      <c r="K28" s="227"/>
      <c r="L28" s="227" t="s">
        <v>316</v>
      </c>
      <c r="M28" s="227"/>
      <c r="N28" s="227" t="s">
        <v>317</v>
      </c>
      <c r="O28" s="227"/>
      <c r="P28" s="227" t="s">
        <v>318</v>
      </c>
      <c r="Q28" s="227"/>
      <c r="R28" s="227" t="s">
        <v>83</v>
      </c>
      <c r="S28" s="227"/>
      <c r="T28" s="227" t="s">
        <v>319</v>
      </c>
      <c r="U28" s="227"/>
      <c r="V28" s="227" t="s">
        <v>320</v>
      </c>
      <c r="W28" s="227"/>
      <c r="X28" s="227" t="s">
        <v>321</v>
      </c>
      <c r="Y28" s="227" t="s">
        <v>322</v>
      </c>
      <c r="Z28" s="227"/>
      <c r="AA28" s="49"/>
      <c r="AB28" s="50"/>
      <c r="AC28" s="51"/>
      <c r="AD28" s="22"/>
      <c r="AE28" s="45"/>
      <c r="AG28" s="46"/>
    </row>
    <row r="29" spans="1:33" s="23" customFormat="1" x14ac:dyDescent="0.3">
      <c r="A29" s="39"/>
      <c r="B29" s="40" t="s">
        <v>91</v>
      </c>
      <c r="C29" s="52"/>
      <c r="D29" s="54"/>
      <c r="E29" s="53"/>
      <c r="F29" s="54">
        <v>648307</v>
      </c>
      <c r="G29" s="55"/>
      <c r="H29" s="54">
        <v>41826</v>
      </c>
      <c r="I29" s="55"/>
      <c r="J29" s="54">
        <v>22814</v>
      </c>
      <c r="K29" s="55"/>
      <c r="L29" s="54">
        <v>22814</v>
      </c>
      <c r="M29" s="50"/>
      <c r="N29" s="54">
        <v>24717</v>
      </c>
      <c r="O29" s="54"/>
      <c r="P29" s="231">
        <v>11637</v>
      </c>
      <c r="Q29" s="231"/>
      <c r="R29" s="231">
        <v>4175</v>
      </c>
      <c r="S29" s="54"/>
      <c r="T29" s="54" t="s">
        <v>83</v>
      </c>
      <c r="U29" s="54"/>
      <c r="V29" s="54" t="s">
        <v>83</v>
      </c>
      <c r="W29" s="54"/>
      <c r="X29" s="54" t="s">
        <v>83</v>
      </c>
      <c r="Y29" s="54" t="s">
        <v>83</v>
      </c>
      <c r="Z29" s="54"/>
      <c r="AA29" s="52"/>
      <c r="AB29" s="50">
        <f>SUM(F29:N29)</f>
        <v>760478</v>
      </c>
      <c r="AC29" s="51"/>
      <c r="AD29" s="22"/>
    </row>
    <row r="30" spans="1:33" s="23" customFormat="1" x14ac:dyDescent="0.3">
      <c r="A30" s="47"/>
      <c r="B30" s="40" t="s">
        <v>90</v>
      </c>
      <c r="C30" s="49"/>
      <c r="D30" s="54"/>
      <c r="E30" s="54"/>
      <c r="F30" s="54">
        <f>F29*F33</f>
        <v>534684.71518000006</v>
      </c>
      <c r="G30" s="54"/>
      <c r="H30" s="54">
        <f>H29</f>
        <v>41826</v>
      </c>
      <c r="I30" s="54"/>
      <c r="J30" s="54">
        <f>J29</f>
        <v>22814</v>
      </c>
      <c r="K30" s="54"/>
      <c r="L30" s="54">
        <f>L29</f>
        <v>22814</v>
      </c>
      <c r="M30" s="54"/>
      <c r="N30" s="54">
        <f>N29</f>
        <v>24717</v>
      </c>
      <c r="O30" s="54"/>
      <c r="P30" s="54">
        <f>P29*P33</f>
        <v>9394.5501000000004</v>
      </c>
      <c r="Q30" s="54"/>
      <c r="R30" s="54">
        <f>'December 2020'!R31</f>
        <v>0</v>
      </c>
      <c r="S30" s="54"/>
      <c r="T30" s="54" t="s">
        <v>83</v>
      </c>
      <c r="U30" s="54"/>
      <c r="V30" s="54" t="s">
        <v>83</v>
      </c>
      <c r="W30" s="54"/>
      <c r="X30" s="54" t="s">
        <v>83</v>
      </c>
      <c r="Y30" s="54" t="s">
        <v>83</v>
      </c>
      <c r="Z30" s="54"/>
      <c r="AA30" s="49"/>
      <c r="AB30" s="50">
        <f>SUM(F30:N30)</f>
        <v>646855.71518000006</v>
      </c>
      <c r="AC30" s="51"/>
      <c r="AD30" s="22"/>
    </row>
    <row r="31" spans="1:33" s="23" customFormat="1" x14ac:dyDescent="0.3">
      <c r="A31" s="47"/>
      <c r="B31" s="44" t="s">
        <v>92</v>
      </c>
      <c r="C31" s="49"/>
      <c r="D31" s="57"/>
      <c r="E31" s="57"/>
      <c r="F31" s="57">
        <f>F29*F32</f>
        <v>528143.29755000002</v>
      </c>
      <c r="G31" s="57"/>
      <c r="H31" s="57">
        <f>H29</f>
        <v>41826</v>
      </c>
      <c r="I31" s="57"/>
      <c r="J31" s="57">
        <f>J29</f>
        <v>22814</v>
      </c>
      <c r="K31" s="57"/>
      <c r="L31" s="57">
        <f>L29</f>
        <v>22814</v>
      </c>
      <c r="M31" s="57"/>
      <c r="N31" s="57">
        <f>N29</f>
        <v>24717</v>
      </c>
      <c r="O31" s="57"/>
      <c r="P31" s="57">
        <f>P29*P32</f>
        <v>9331.5939299999991</v>
      </c>
      <c r="Q31" s="57"/>
      <c r="R31" s="57">
        <v>0</v>
      </c>
      <c r="S31" s="57"/>
      <c r="T31" s="57" t="s">
        <v>83</v>
      </c>
      <c r="U31" s="57"/>
      <c r="V31" s="57" t="s">
        <v>83</v>
      </c>
      <c r="W31" s="57"/>
      <c r="X31" s="57" t="s">
        <v>83</v>
      </c>
      <c r="Y31" s="57" t="s">
        <v>83</v>
      </c>
      <c r="Z31" s="57"/>
      <c r="AA31" s="49"/>
      <c r="AB31" s="56">
        <f>SUM(F31:N31)</f>
        <v>640314.29755000002</v>
      </c>
      <c r="AC31" s="51"/>
      <c r="AD31" s="22"/>
      <c r="AE31" s="235"/>
    </row>
    <row r="32" spans="1:33" s="65" customFormat="1" x14ac:dyDescent="0.3">
      <c r="A32" s="58"/>
      <c r="B32" s="166" t="s">
        <v>88</v>
      </c>
      <c r="C32" s="61"/>
      <c r="D32" s="60"/>
      <c r="E32" s="60"/>
      <c r="F32" s="60">
        <v>0.81464999999999999</v>
      </c>
      <c r="G32" s="60"/>
      <c r="H32" s="60">
        <v>1</v>
      </c>
      <c r="I32" s="60"/>
      <c r="J32" s="60">
        <v>1</v>
      </c>
      <c r="K32" s="60"/>
      <c r="L32" s="60">
        <v>1</v>
      </c>
      <c r="M32" s="60"/>
      <c r="N32" s="60">
        <v>1</v>
      </c>
      <c r="O32" s="60"/>
      <c r="P32" s="60">
        <v>0.80188999999999999</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c r="E33" s="225"/>
      <c r="F33" s="60">
        <v>0.82474000000000003</v>
      </c>
      <c r="G33" s="60"/>
      <c r="H33" s="60">
        <v>1</v>
      </c>
      <c r="I33" s="60"/>
      <c r="J33" s="60">
        <v>1</v>
      </c>
      <c r="K33" s="60"/>
      <c r="L33" s="60">
        <v>1</v>
      </c>
      <c r="M33" s="60"/>
      <c r="N33" s="60">
        <v>1</v>
      </c>
      <c r="O33" s="60"/>
      <c r="P33" s="60">
        <v>0.80730000000000002</v>
      </c>
      <c r="Q33" s="225"/>
      <c r="R33" s="60">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c r="E34" s="48"/>
      <c r="F34" s="48" t="s">
        <v>305</v>
      </c>
      <c r="G34" s="48"/>
      <c r="H34" s="48" t="s">
        <v>306</v>
      </c>
      <c r="I34" s="48"/>
      <c r="J34" s="48" t="s">
        <v>273</v>
      </c>
      <c r="K34" s="48"/>
      <c r="L34" s="48" t="s">
        <v>307</v>
      </c>
      <c r="M34" s="48"/>
      <c r="N34" s="48" t="s">
        <v>308</v>
      </c>
      <c r="O34" s="48"/>
      <c r="P34" s="48" t="s">
        <v>254</v>
      </c>
      <c r="Q34" s="48"/>
      <c r="R34" s="48" t="s">
        <v>254</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c r="E35" s="241"/>
      <c r="F35" s="241">
        <v>6.2499499999999999E-2</v>
      </c>
      <c r="G35" s="241"/>
      <c r="H35" s="241">
        <v>6.6499500000000003E-2</v>
      </c>
      <c r="I35" s="241"/>
      <c r="J35" s="241">
        <v>6.9499500000000006E-2</v>
      </c>
      <c r="K35" s="241"/>
      <c r="L35" s="241">
        <v>7.2499499999999995E-2</v>
      </c>
      <c r="M35" s="241"/>
      <c r="N35" s="241">
        <v>8.2499500000000003E-2</v>
      </c>
      <c r="O35" s="241"/>
      <c r="P35" s="241">
        <v>9.1499499999999998E-2</v>
      </c>
      <c r="Q35" s="241"/>
      <c r="R35" s="241">
        <v>9.1499499999999998E-2</v>
      </c>
      <c r="S35" s="68"/>
      <c r="T35" s="68" t="s">
        <v>83</v>
      </c>
      <c r="U35" s="68"/>
      <c r="V35" s="68" t="s">
        <v>83</v>
      </c>
      <c r="W35" s="68"/>
      <c r="X35" s="68" t="s">
        <v>83</v>
      </c>
      <c r="Y35" s="68" t="s">
        <v>83</v>
      </c>
      <c r="Z35" s="68"/>
      <c r="AA35" s="40"/>
      <c r="AB35" s="67">
        <f>SUMPRODUCT(D35:N35,D30:N30)/AB30</f>
        <v>6.4121936001370047E-2</v>
      </c>
      <c r="AC35" s="43"/>
      <c r="AD35" s="22"/>
    </row>
    <row r="36" spans="1:30" s="23" customFormat="1" x14ac:dyDescent="0.3">
      <c r="A36" s="47"/>
      <c r="B36" s="40" t="s">
        <v>10</v>
      </c>
      <c r="C36" s="69"/>
      <c r="D36" s="241"/>
      <c r="E36" s="241"/>
      <c r="F36" s="241">
        <v>5.5658300000000001E-2</v>
      </c>
      <c r="G36" s="241"/>
      <c r="H36" s="241">
        <v>5.9658299999999997E-2</v>
      </c>
      <c r="I36" s="241"/>
      <c r="J36" s="241">
        <v>6.26583E-2</v>
      </c>
      <c r="K36" s="241"/>
      <c r="L36" s="241">
        <v>6.5658300000000003E-2</v>
      </c>
      <c r="M36" s="241"/>
      <c r="N36" s="241">
        <v>7.5658299999999998E-2</v>
      </c>
      <c r="O36" s="241"/>
      <c r="P36" s="241">
        <v>8.4658300000000006E-2</v>
      </c>
      <c r="Q36" s="241"/>
      <c r="R36" s="241">
        <v>8.4658300000000006E-2</v>
      </c>
      <c r="S36" s="68"/>
      <c r="T36" s="68" t="s">
        <v>83</v>
      </c>
      <c r="U36" s="68"/>
      <c r="V36" s="68" t="s">
        <v>83</v>
      </c>
      <c r="W36" s="68"/>
      <c r="X36" s="68" t="s">
        <v>83</v>
      </c>
      <c r="Y36" s="68" t="s">
        <v>83</v>
      </c>
      <c r="Z36" s="68"/>
      <c r="AA36" s="40"/>
      <c r="AB36" s="40"/>
      <c r="AC36" s="43"/>
      <c r="AD36" s="22"/>
    </row>
    <row r="37" spans="1:30" s="23" customFormat="1" x14ac:dyDescent="0.3">
      <c r="A37" s="47"/>
      <c r="B37" s="40" t="s">
        <v>160</v>
      </c>
      <c r="C37" s="40"/>
      <c r="D37" s="69"/>
      <c r="E37" s="69"/>
      <c r="F37" s="69">
        <v>45945</v>
      </c>
      <c r="G37" s="69"/>
      <c r="H37" s="69">
        <v>45945</v>
      </c>
      <c r="I37" s="69"/>
      <c r="J37" s="69">
        <v>45945</v>
      </c>
      <c r="K37" s="69"/>
      <c r="L37" s="69">
        <v>45945</v>
      </c>
      <c r="M37" s="69"/>
      <c r="N37" s="69">
        <v>45945</v>
      </c>
      <c r="O37" s="69"/>
      <c r="P37" s="69">
        <v>45945</v>
      </c>
      <c r="Q37" s="69"/>
      <c r="R37" s="69">
        <v>45945</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c r="E38" s="69"/>
      <c r="F38" s="69">
        <v>45945</v>
      </c>
      <c r="G38" s="48"/>
      <c r="H38" s="69">
        <v>45945</v>
      </c>
      <c r="I38" s="48"/>
      <c r="J38" s="69">
        <v>45945</v>
      </c>
      <c r="K38" s="48"/>
      <c r="L38" s="69">
        <v>45945</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c r="E39" s="48"/>
      <c r="F39" s="48" t="s">
        <v>309</v>
      </c>
      <c r="G39" s="48"/>
      <c r="H39" s="48" t="s">
        <v>272</v>
      </c>
      <c r="I39" s="48"/>
      <c r="J39" s="48" t="s">
        <v>310</v>
      </c>
      <c r="K39" s="48"/>
      <c r="L39" s="48" t="s">
        <v>308</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7" t="s">
        <v>110</v>
      </c>
      <c r="AC40" s="43"/>
      <c r="AD40" s="22"/>
    </row>
    <row r="41" spans="1:30" s="23" customFormat="1" x14ac:dyDescent="0.3">
      <c r="A41" s="47"/>
      <c r="B41" s="40" t="s">
        <v>253</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32">
        <f>SUM(G29:N29)/F29</f>
        <v>0.17302142349226524</v>
      </c>
      <c r="AC41" s="43"/>
      <c r="AD41" s="22"/>
    </row>
    <row r="42" spans="1:30" s="23" customFormat="1" x14ac:dyDescent="0.3">
      <c r="A42" s="47"/>
      <c r="B42" s="40" t="s">
        <v>252</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32">
        <f>SUM(G31:N31)/F31</f>
        <v>0.21238743447157091</v>
      </c>
      <c r="AC42" s="43"/>
      <c r="AD42" s="22"/>
    </row>
    <row r="43" spans="1:30" s="23" customFormat="1" x14ac:dyDescent="0.3">
      <c r="A43" s="47"/>
      <c r="B43" s="40" t="s">
        <v>197</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1"/>
      <c r="AC44" s="43"/>
      <c r="AD44" s="22"/>
    </row>
    <row r="45" spans="1:30" s="23" customFormat="1" x14ac:dyDescent="0.3">
      <c r="A45" s="47"/>
      <c r="B45" s="40" t="s">
        <v>196</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2"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3"/>
      <c r="AA46" s="73"/>
      <c r="AB46" s="74">
        <v>45215</v>
      </c>
      <c r="AC46" s="43"/>
      <c r="AD46" s="22"/>
    </row>
    <row r="47" spans="1:30" s="23" customFormat="1" x14ac:dyDescent="0.3">
      <c r="A47" s="47"/>
      <c r="B47" s="40" t="s">
        <v>85</v>
      </c>
      <c r="C47" s="40"/>
      <c r="D47" s="75"/>
      <c r="E47" s="75"/>
      <c r="F47" s="75"/>
      <c r="G47" s="75"/>
      <c r="H47" s="75"/>
      <c r="I47" s="75"/>
      <c r="J47" s="75"/>
      <c r="K47" s="75"/>
      <c r="L47" s="75"/>
      <c r="M47" s="75"/>
      <c r="N47" s="75"/>
      <c r="O47" s="75"/>
      <c r="P47" s="75"/>
      <c r="Q47" s="75"/>
      <c r="R47" s="75"/>
      <c r="S47" s="75"/>
      <c r="T47" s="75"/>
      <c r="U47" s="75"/>
      <c r="V47" s="75"/>
      <c r="W47" s="75"/>
      <c r="X47" s="280">
        <f>+AB47-Z47+1</f>
        <v>91</v>
      </c>
      <c r="Y47" s="40"/>
      <c r="Z47" s="76">
        <v>45033</v>
      </c>
      <c r="AA47" s="77"/>
      <c r="AB47" s="76">
        <v>45123</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80">
        <f>+AB48-Z48+1</f>
        <v>91</v>
      </c>
      <c r="Y48" s="40"/>
      <c r="Z48" s="76">
        <v>45124</v>
      </c>
      <c r="AA48" s="77"/>
      <c r="AB48" s="76">
        <v>45214</v>
      </c>
      <c r="AC48" s="43"/>
      <c r="AD48" s="22"/>
    </row>
    <row r="49" spans="1:31" s="23" customFormat="1" x14ac:dyDescent="0.3">
      <c r="A49" s="47"/>
      <c r="B49" s="40" t="s">
        <v>187</v>
      </c>
      <c r="C49" s="40"/>
      <c r="D49" s="40"/>
      <c r="E49" s="40"/>
      <c r="F49" s="40"/>
      <c r="G49" s="40"/>
      <c r="H49" s="40"/>
      <c r="I49" s="40"/>
      <c r="J49" s="40"/>
      <c r="K49" s="40"/>
      <c r="L49" s="40"/>
      <c r="M49" s="40"/>
      <c r="N49" s="40"/>
      <c r="O49" s="40"/>
      <c r="P49" s="40"/>
      <c r="Q49" s="40"/>
      <c r="R49" s="40"/>
      <c r="S49" s="40"/>
      <c r="T49" s="40"/>
      <c r="U49" s="40"/>
      <c r="V49" s="40"/>
      <c r="W49" s="40"/>
      <c r="X49" s="40"/>
      <c r="Y49" s="40"/>
      <c r="Z49" s="76"/>
      <c r="AA49" s="77"/>
      <c r="AB49" s="76" t="s">
        <v>99</v>
      </c>
      <c r="AC49" s="43"/>
      <c r="AD49" s="22"/>
      <c r="AE49" s="78"/>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v>45212</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9"/>
      <c r="AA51" s="80"/>
      <c r="AB51" s="79"/>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1"/>
      <c r="AA52" s="82"/>
      <c r="AB52" s="81"/>
      <c r="AC52" s="21"/>
      <c r="AD52" s="22"/>
    </row>
    <row r="53" spans="1:31" s="23" customFormat="1" ht="18.600000000000001" thickBot="1" x14ac:dyDescent="0.4">
      <c r="A53" s="83"/>
      <c r="B53" s="84" t="s">
        <v>367</v>
      </c>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6"/>
      <c r="AC53" s="87"/>
      <c r="AD53" s="22"/>
    </row>
    <row r="54" spans="1:31" x14ac:dyDescent="0.3">
      <c r="A54" s="33"/>
      <c r="B54" s="88" t="s">
        <v>13</v>
      </c>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90"/>
      <c r="AC54" s="89"/>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1"/>
      <c r="AC55" s="10"/>
      <c r="AD55" s="5"/>
    </row>
    <row r="56" spans="1:31" s="65" customFormat="1" ht="46.8" x14ac:dyDescent="0.3">
      <c r="A56" s="92"/>
      <c r="B56" s="93" t="s">
        <v>14</v>
      </c>
      <c r="C56" s="94"/>
      <c r="D56" s="94"/>
      <c r="E56" s="94"/>
      <c r="F56" s="94"/>
      <c r="G56" s="94"/>
      <c r="H56" s="94"/>
      <c r="I56" s="94"/>
      <c r="J56" s="94"/>
      <c r="K56" s="94"/>
      <c r="L56" s="94"/>
      <c r="M56" s="94"/>
      <c r="N56" s="94"/>
      <c r="O56" s="94"/>
      <c r="P56" s="94" t="s">
        <v>63</v>
      </c>
      <c r="Q56" s="94"/>
      <c r="R56" s="94" t="s">
        <v>65</v>
      </c>
      <c r="S56" s="94"/>
      <c r="T56" s="94" t="s">
        <v>135</v>
      </c>
      <c r="U56" s="94"/>
      <c r="V56" s="94" t="s">
        <v>136</v>
      </c>
      <c r="W56" s="94"/>
      <c r="X56" s="94" t="s">
        <v>68</v>
      </c>
      <c r="Y56" s="94"/>
      <c r="Z56" s="94" t="s">
        <v>72</v>
      </c>
      <c r="AA56" s="94"/>
      <c r="AB56" s="95" t="s">
        <v>78</v>
      </c>
      <c r="AC56" s="96"/>
      <c r="AD56" s="64"/>
    </row>
    <row r="57" spans="1:31" s="23" customFormat="1" x14ac:dyDescent="0.3">
      <c r="A57" s="47"/>
      <c r="B57" s="40" t="s">
        <v>15</v>
      </c>
      <c r="C57" s="97"/>
      <c r="D57" s="97"/>
      <c r="E57" s="97"/>
      <c r="F57" s="97"/>
      <c r="G57" s="97"/>
      <c r="H57" s="98"/>
      <c r="I57" s="97"/>
      <c r="J57" s="98"/>
      <c r="K57" s="97"/>
      <c r="L57" s="97"/>
      <c r="M57" s="97"/>
      <c r="N57" s="97"/>
      <c r="O57" s="97"/>
      <c r="P57" s="238">
        <v>759666</v>
      </c>
      <c r="Q57" s="238"/>
      <c r="R57" s="237">
        <v>646854</v>
      </c>
      <c r="S57" s="238"/>
      <c r="T57" s="237">
        <f>357+19</f>
        <v>376</v>
      </c>
      <c r="U57" s="238"/>
      <c r="V57" s="238">
        <v>6167</v>
      </c>
      <c r="W57" s="238"/>
      <c r="X57" s="238">
        <v>0</v>
      </c>
      <c r="Y57" s="238"/>
      <c r="Z57" s="238">
        <v>0</v>
      </c>
      <c r="AA57" s="238"/>
      <c r="AB57" s="237">
        <f>R57-T57-V57+X57-Z57</f>
        <v>640311</v>
      </c>
      <c r="AC57" s="43"/>
      <c r="AD57" s="22"/>
      <c r="AE57" s="271"/>
    </row>
    <row r="58" spans="1:31" s="23" customFormat="1" x14ac:dyDescent="0.3">
      <c r="A58" s="47"/>
      <c r="B58" s="40" t="s">
        <v>16</v>
      </c>
      <c r="C58" s="97"/>
      <c r="D58" s="97"/>
      <c r="E58" s="97"/>
      <c r="F58" s="97"/>
      <c r="G58" s="97"/>
      <c r="H58" s="98"/>
      <c r="I58" s="97"/>
      <c r="J58" s="98"/>
      <c r="K58" s="97"/>
      <c r="L58" s="97"/>
      <c r="M58" s="97"/>
      <c r="N58" s="97"/>
      <c r="O58" s="97"/>
      <c r="P58" s="238">
        <v>0</v>
      </c>
      <c r="Q58" s="238"/>
      <c r="R58" s="237">
        <v>0</v>
      </c>
      <c r="S58" s="238"/>
      <c r="T58" s="237">
        <v>0</v>
      </c>
      <c r="U58" s="238"/>
      <c r="V58" s="238">
        <v>0</v>
      </c>
      <c r="W58" s="238"/>
      <c r="X58" s="238">
        <v>0</v>
      </c>
      <c r="Y58" s="238"/>
      <c r="Z58" s="238">
        <v>0</v>
      </c>
      <c r="AA58" s="238"/>
      <c r="AB58" s="237">
        <f>F58-J58-L58</f>
        <v>0</v>
      </c>
      <c r="AC58" s="43"/>
      <c r="AD58" s="22"/>
    </row>
    <row r="59" spans="1:31" s="23" customFormat="1" x14ac:dyDescent="0.3">
      <c r="A59" s="47"/>
      <c r="B59" s="40"/>
      <c r="C59" s="97"/>
      <c r="D59" s="97"/>
      <c r="E59" s="97"/>
      <c r="F59" s="97"/>
      <c r="G59" s="97"/>
      <c r="H59" s="98"/>
      <c r="I59" s="97"/>
      <c r="J59" s="98"/>
      <c r="K59" s="97"/>
      <c r="L59" s="97"/>
      <c r="M59" s="97"/>
      <c r="N59" s="97"/>
      <c r="O59" s="97"/>
      <c r="P59" s="238"/>
      <c r="Q59" s="238"/>
      <c r="R59" s="237"/>
      <c r="S59" s="238"/>
      <c r="T59" s="237"/>
      <c r="U59" s="238"/>
      <c r="V59" s="238"/>
      <c r="W59" s="238"/>
      <c r="X59" s="238"/>
      <c r="Y59" s="238"/>
      <c r="Z59" s="238"/>
      <c r="AA59" s="238"/>
      <c r="AB59" s="237"/>
      <c r="AC59" s="43"/>
      <c r="AD59" s="22"/>
    </row>
    <row r="60" spans="1:31" s="23" customFormat="1" x14ac:dyDescent="0.3">
      <c r="A60" s="47"/>
      <c r="B60" s="40" t="s">
        <v>17</v>
      </c>
      <c r="C60" s="97"/>
      <c r="D60" s="97"/>
      <c r="E60" s="97"/>
      <c r="F60" s="97"/>
      <c r="G60" s="97"/>
      <c r="H60" s="97"/>
      <c r="I60" s="97"/>
      <c r="J60" s="97"/>
      <c r="K60" s="97"/>
      <c r="L60" s="97"/>
      <c r="M60" s="97"/>
      <c r="N60" s="97"/>
      <c r="O60" s="97"/>
      <c r="P60" s="238">
        <f>SUM(P57:P59)</f>
        <v>759666</v>
      </c>
      <c r="Q60" s="238"/>
      <c r="R60" s="238">
        <f>R57+R58</f>
        <v>646854</v>
      </c>
      <c r="S60" s="238"/>
      <c r="T60" s="238">
        <f>T57+T58</f>
        <v>376</v>
      </c>
      <c r="U60" s="238"/>
      <c r="V60" s="238">
        <f>SUM(V57:V59)</f>
        <v>6167</v>
      </c>
      <c r="W60" s="238"/>
      <c r="X60" s="238">
        <f>SUM(X57:X59)</f>
        <v>0</v>
      </c>
      <c r="Y60" s="238"/>
      <c r="Z60" s="238">
        <f>SUM(Z57:Z59)</f>
        <v>0</v>
      </c>
      <c r="AA60" s="238"/>
      <c r="AB60" s="238">
        <f>SUM(AB57:AB59)</f>
        <v>640311</v>
      </c>
      <c r="AC60" s="43"/>
      <c r="AD60" s="22"/>
    </row>
    <row r="61" spans="1:31" s="23" customFormat="1" ht="32.1" customHeight="1" x14ac:dyDescent="0.3">
      <c r="A61" s="47"/>
      <c r="B61" s="40"/>
      <c r="C61" s="97"/>
      <c r="D61" s="97"/>
      <c r="E61" s="97"/>
      <c r="F61" s="97"/>
      <c r="G61" s="97"/>
      <c r="H61" s="97"/>
      <c r="I61" s="97"/>
      <c r="J61" s="97"/>
      <c r="K61" s="97"/>
      <c r="L61" s="97"/>
      <c r="M61" s="97"/>
      <c r="N61" s="97"/>
      <c r="O61" s="97"/>
      <c r="P61" s="238"/>
      <c r="Q61" s="238"/>
      <c r="R61" s="238"/>
      <c r="S61" s="238"/>
      <c r="T61" s="238"/>
      <c r="U61" s="238"/>
      <c r="V61" s="238"/>
      <c r="W61" s="238"/>
      <c r="X61" s="238"/>
      <c r="Y61" s="238"/>
      <c r="Z61" s="238"/>
      <c r="AA61" s="238"/>
      <c r="AB61" s="238"/>
      <c r="AC61" s="43"/>
      <c r="AD61" s="22"/>
    </row>
    <row r="62" spans="1:31" s="23" customFormat="1" x14ac:dyDescent="0.3">
      <c r="A62" s="47"/>
      <c r="B62" s="40" t="s">
        <v>18</v>
      </c>
      <c r="C62" s="97"/>
      <c r="D62" s="97"/>
      <c r="E62" s="97"/>
      <c r="F62" s="97"/>
      <c r="G62" s="97"/>
      <c r="H62" s="97"/>
      <c r="I62" s="97"/>
      <c r="J62" s="97"/>
      <c r="K62" s="97"/>
      <c r="L62" s="97"/>
      <c r="M62" s="97"/>
      <c r="N62" s="97"/>
      <c r="O62" s="97"/>
      <c r="P62" s="238">
        <v>0</v>
      </c>
      <c r="Q62" s="238"/>
      <c r="R62" s="238">
        <v>0</v>
      </c>
      <c r="S62" s="238"/>
      <c r="T62" s="238"/>
      <c r="U62" s="238"/>
      <c r="V62" s="238"/>
      <c r="W62" s="238"/>
      <c r="X62" s="238"/>
      <c r="Y62" s="238"/>
      <c r="Z62" s="238"/>
      <c r="AA62" s="238"/>
      <c r="AB62" s="237">
        <v>0</v>
      </c>
      <c r="AC62" s="43"/>
      <c r="AD62" s="22"/>
    </row>
    <row r="63" spans="1:31" s="23" customFormat="1" x14ac:dyDescent="0.3">
      <c r="A63" s="47"/>
      <c r="B63" s="40" t="s">
        <v>274</v>
      </c>
      <c r="C63" s="97"/>
      <c r="D63" s="97"/>
      <c r="E63" s="97"/>
      <c r="F63" s="97"/>
      <c r="G63" s="97"/>
      <c r="H63" s="97"/>
      <c r="I63" s="97"/>
      <c r="J63" s="97"/>
      <c r="K63" s="97"/>
      <c r="L63" s="97"/>
      <c r="M63" s="97"/>
      <c r="N63" s="97"/>
      <c r="O63" s="97"/>
      <c r="P63" s="238">
        <v>0</v>
      </c>
      <c r="Q63" s="238"/>
      <c r="R63" s="238">
        <v>2</v>
      </c>
      <c r="S63" s="238"/>
      <c r="T63" s="238">
        <v>0</v>
      </c>
      <c r="U63" s="238"/>
      <c r="V63" s="238">
        <v>1</v>
      </c>
      <c r="W63" s="238"/>
      <c r="X63" s="238"/>
      <c r="Y63" s="238"/>
      <c r="Z63" s="238"/>
      <c r="AA63" s="238"/>
      <c r="AB63" s="238">
        <f>R63+V63</f>
        <v>3</v>
      </c>
      <c r="AC63" s="43"/>
      <c r="AD63" s="22"/>
    </row>
    <row r="64" spans="1:31" s="23" customFormat="1" x14ac:dyDescent="0.3">
      <c r="A64" s="47"/>
      <c r="B64" s="40" t="s">
        <v>172</v>
      </c>
      <c r="C64" s="97"/>
      <c r="D64" s="97"/>
      <c r="E64" s="97"/>
      <c r="F64" s="97"/>
      <c r="G64" s="97"/>
      <c r="H64" s="97"/>
      <c r="I64" s="97"/>
      <c r="J64" s="97"/>
      <c r="K64" s="97"/>
      <c r="L64" s="97"/>
      <c r="M64" s="97"/>
      <c r="N64" s="97"/>
      <c r="O64" s="97"/>
      <c r="P64" s="238">
        <v>812</v>
      </c>
      <c r="Q64" s="238"/>
      <c r="R64" s="238">
        <v>0</v>
      </c>
      <c r="S64" s="238"/>
      <c r="T64" s="238"/>
      <c r="U64" s="238"/>
      <c r="V64" s="238"/>
      <c r="W64" s="238"/>
      <c r="X64" s="238">
        <v>0</v>
      </c>
      <c r="Y64" s="238"/>
      <c r="Z64" s="238"/>
      <c r="AA64" s="238"/>
      <c r="AB64" s="238">
        <f>+R64+X64</f>
        <v>0</v>
      </c>
      <c r="AC64" s="43"/>
      <c r="AD64" s="22"/>
    </row>
    <row r="65" spans="1:30" s="23" customFormat="1" x14ac:dyDescent="0.3">
      <c r="A65" s="47"/>
      <c r="B65" s="40" t="s">
        <v>19</v>
      </c>
      <c r="C65" s="97"/>
      <c r="D65" s="97"/>
      <c r="E65" s="97"/>
      <c r="F65" s="97"/>
      <c r="G65" s="97"/>
      <c r="H65" s="97"/>
      <c r="I65" s="97"/>
      <c r="J65" s="97"/>
      <c r="K65" s="97"/>
      <c r="L65" s="97"/>
      <c r="M65" s="97"/>
      <c r="N65" s="97"/>
      <c r="O65" s="97"/>
      <c r="P65" s="238">
        <v>0</v>
      </c>
      <c r="Q65" s="238"/>
      <c r="R65" s="238">
        <v>0</v>
      </c>
      <c r="S65" s="238"/>
      <c r="T65" s="238"/>
      <c r="U65" s="238"/>
      <c r="V65" s="238"/>
      <c r="W65" s="238"/>
      <c r="X65" s="238"/>
      <c r="Y65" s="238"/>
      <c r="Z65" s="238"/>
      <c r="AA65" s="238"/>
      <c r="AB65" s="238">
        <v>0</v>
      </c>
      <c r="AC65" s="43"/>
      <c r="AD65" s="22"/>
    </row>
    <row r="66" spans="1:30" s="23" customFormat="1" x14ac:dyDescent="0.3">
      <c r="A66" s="47"/>
      <c r="B66" s="40" t="s">
        <v>20</v>
      </c>
      <c r="C66" s="97"/>
      <c r="D66" s="97"/>
      <c r="E66" s="97"/>
      <c r="F66" s="97"/>
      <c r="G66" s="97"/>
      <c r="H66" s="97"/>
      <c r="I66" s="97"/>
      <c r="J66" s="97"/>
      <c r="K66" s="97"/>
      <c r="L66" s="97"/>
      <c r="M66" s="97"/>
      <c r="N66" s="97"/>
      <c r="O66" s="97"/>
      <c r="P66" s="238">
        <f>SUM(P60:P65)</f>
        <v>760478</v>
      </c>
      <c r="Q66" s="238"/>
      <c r="R66" s="238">
        <f>SUM(R60:R65)</f>
        <v>646856</v>
      </c>
      <c r="S66" s="238"/>
      <c r="T66" s="238"/>
      <c r="U66" s="238"/>
      <c r="V66" s="238"/>
      <c r="W66" s="238"/>
      <c r="X66" s="238"/>
      <c r="Y66" s="238"/>
      <c r="Z66" s="238"/>
      <c r="AA66" s="238"/>
      <c r="AB66" s="238">
        <f>SUM(AB60:AB65)</f>
        <v>640314</v>
      </c>
      <c r="AC66" s="43"/>
      <c r="AD66" s="22"/>
    </row>
    <row r="67" spans="1:30" x14ac:dyDescent="0.3">
      <c r="A67" s="7"/>
      <c r="B67" s="99"/>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1"/>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2" t="s">
        <v>21</v>
      </c>
      <c r="C69" s="102"/>
      <c r="D69" s="103"/>
      <c r="E69" s="103"/>
      <c r="F69" s="103"/>
      <c r="G69" s="103"/>
      <c r="H69" s="104"/>
      <c r="I69" s="103"/>
      <c r="J69" s="105"/>
      <c r="K69" s="103"/>
      <c r="L69" s="103"/>
      <c r="M69" s="103"/>
      <c r="N69" s="103"/>
      <c r="O69" s="103"/>
      <c r="P69" s="103"/>
      <c r="Q69" s="103"/>
      <c r="R69" s="104" t="s">
        <v>64</v>
      </c>
      <c r="S69" s="103"/>
      <c r="T69" s="105">
        <f>+Z235</f>
        <v>45198</v>
      </c>
      <c r="U69" s="103"/>
      <c r="V69" s="103"/>
      <c r="W69" s="103"/>
      <c r="X69" s="103"/>
      <c r="Y69" s="103"/>
      <c r="Z69" s="103" t="s">
        <v>73</v>
      </c>
      <c r="AA69" s="103"/>
      <c r="AB69" s="103"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100">
        <f>+R63</f>
        <v>2</v>
      </c>
      <c r="AA70" s="37"/>
      <c r="AB70" s="107">
        <v>0</v>
      </c>
      <c r="AC70" s="21"/>
      <c r="AD70" s="22"/>
    </row>
    <row r="71" spans="1:30" s="23" customFormat="1" x14ac:dyDescent="0.3">
      <c r="A71" s="47"/>
      <c r="B71" s="40" t="s">
        <v>218</v>
      </c>
      <c r="C71" s="40"/>
      <c r="D71" s="70"/>
      <c r="E71" s="70"/>
      <c r="F71" s="70"/>
      <c r="G71" s="108"/>
      <c r="H71" s="70"/>
      <c r="I71" s="40"/>
      <c r="J71" s="109"/>
      <c r="K71" s="40"/>
      <c r="L71" s="40"/>
      <c r="M71" s="40"/>
      <c r="N71" s="40"/>
      <c r="O71" s="40"/>
      <c r="P71" s="40"/>
      <c r="Q71" s="40"/>
      <c r="R71" s="40"/>
      <c r="S71" s="40"/>
      <c r="T71" s="40"/>
      <c r="U71" s="40"/>
      <c r="V71" s="40"/>
      <c r="W71" s="40"/>
      <c r="X71" s="40"/>
      <c r="Y71" s="40"/>
      <c r="Z71" s="238">
        <f>-X64</f>
        <v>0</v>
      </c>
      <c r="AA71" s="40"/>
      <c r="AB71" s="98"/>
      <c r="AC71" s="43"/>
      <c r="AD71" s="22"/>
    </row>
    <row r="72" spans="1:30" s="23" customFormat="1" x14ac:dyDescent="0.3">
      <c r="A72" s="47"/>
      <c r="B72" s="40" t="s">
        <v>217</v>
      </c>
      <c r="C72" s="40"/>
      <c r="D72" s="70"/>
      <c r="E72" s="70"/>
      <c r="F72" s="70"/>
      <c r="G72" s="108"/>
      <c r="H72" s="70"/>
      <c r="I72" s="40"/>
      <c r="J72" s="109"/>
      <c r="K72" s="40"/>
      <c r="L72" s="40"/>
      <c r="M72" s="40"/>
      <c r="N72" s="40"/>
      <c r="O72" s="40"/>
      <c r="P72" s="40"/>
      <c r="Q72" s="40"/>
      <c r="R72" s="40"/>
      <c r="S72" s="40"/>
      <c r="T72" s="40"/>
      <c r="U72" s="40"/>
      <c r="V72" s="40"/>
      <c r="W72" s="40"/>
      <c r="X72" s="40"/>
      <c r="Y72" s="40"/>
      <c r="Z72" s="238">
        <f>-Z209</f>
        <v>0</v>
      </c>
      <c r="AA72" s="40"/>
      <c r="AB72" s="98"/>
      <c r="AC72" s="43"/>
      <c r="AD72" s="22"/>
    </row>
    <row r="73" spans="1:30" s="23" customFormat="1" x14ac:dyDescent="0.3">
      <c r="A73" s="47"/>
      <c r="B73" s="40" t="s">
        <v>23</v>
      </c>
      <c r="C73" s="40"/>
      <c r="D73" s="70"/>
      <c r="E73" s="70"/>
      <c r="F73" s="70"/>
      <c r="G73" s="108"/>
      <c r="H73" s="70"/>
      <c r="I73" s="40"/>
      <c r="J73" s="109"/>
      <c r="K73" s="40"/>
      <c r="L73" s="40"/>
      <c r="M73" s="40"/>
      <c r="N73" s="40"/>
      <c r="O73" s="40"/>
      <c r="P73" s="40"/>
      <c r="Q73" s="40"/>
      <c r="R73" s="40"/>
      <c r="S73" s="40"/>
      <c r="T73" s="40"/>
      <c r="U73" s="40"/>
      <c r="V73" s="40"/>
      <c r="W73" s="40"/>
      <c r="X73" s="40"/>
      <c r="Y73" s="40"/>
      <c r="Z73" s="238">
        <f>+T57+V57+Z57-1</f>
        <v>6542</v>
      </c>
      <c r="AA73" s="40"/>
      <c r="AB73" s="98"/>
      <c r="AC73" s="43"/>
      <c r="AD73" s="22"/>
    </row>
    <row r="74" spans="1:30" s="23" customFormat="1" x14ac:dyDescent="0.3">
      <c r="A74" s="47"/>
      <c r="B74" s="40" t="s">
        <v>115</v>
      </c>
      <c r="C74" s="40"/>
      <c r="D74" s="70"/>
      <c r="E74" s="70"/>
      <c r="F74" s="70"/>
      <c r="G74" s="108"/>
      <c r="H74" s="70"/>
      <c r="I74" s="40"/>
      <c r="J74" s="109"/>
      <c r="K74" s="40"/>
      <c r="L74" s="40"/>
      <c r="M74" s="40"/>
      <c r="N74" s="40"/>
      <c r="O74" s="40"/>
      <c r="P74" s="40"/>
      <c r="Q74" s="40"/>
      <c r="R74" s="40"/>
      <c r="S74" s="40"/>
      <c r="T74" s="40"/>
      <c r="U74" s="40"/>
      <c r="V74" s="40"/>
      <c r="W74" s="40"/>
      <c r="X74" s="40"/>
      <c r="Y74" s="40"/>
      <c r="Z74" s="238"/>
      <c r="AA74" s="40"/>
      <c r="AB74" s="98">
        <f>7363+352-1405-108</f>
        <v>6202</v>
      </c>
      <c r="AC74" s="43"/>
      <c r="AD74" s="22"/>
    </row>
    <row r="75" spans="1:30" s="23" customFormat="1" x14ac:dyDescent="0.3">
      <c r="A75" s="47"/>
      <c r="B75" s="40" t="s">
        <v>113</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151+2</f>
        <v>153</v>
      </c>
      <c r="AC75" s="43"/>
      <c r="AD75" s="22"/>
    </row>
    <row r="76" spans="1:30" s="23" customFormat="1" x14ac:dyDescent="0.3">
      <c r="A76" s="47"/>
      <c r="B76" s="40" t="s">
        <v>114</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v>187</v>
      </c>
      <c r="AC76" s="43"/>
      <c r="AD76" s="22"/>
    </row>
    <row r="77" spans="1:30" s="23" customFormat="1" x14ac:dyDescent="0.3">
      <c r="A77" s="47"/>
      <c r="B77" s="40" t="s">
        <v>120</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59" t="s">
        <v>224</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63</v>
      </c>
      <c r="AC78" s="43"/>
      <c r="AD78" s="22"/>
    </row>
    <row r="79" spans="1:30" s="23" customFormat="1" x14ac:dyDescent="0.3">
      <c r="A79" s="47"/>
      <c r="B79" s="59" t="s">
        <v>225</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0</v>
      </c>
      <c r="AC79" s="43"/>
      <c r="AD79" s="22"/>
    </row>
    <row r="80" spans="1:30" s="23" customFormat="1" x14ac:dyDescent="0.3">
      <c r="A80" s="47"/>
      <c r="B80" s="40" t="s">
        <v>232</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f>+AB167</f>
        <v>0</v>
      </c>
      <c r="AC80" s="43"/>
      <c r="AD80" s="22"/>
    </row>
    <row r="81" spans="1:30" s="23" customFormat="1" x14ac:dyDescent="0.3">
      <c r="A81" s="47"/>
      <c r="B81" s="40" t="s">
        <v>246</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v>0</v>
      </c>
      <c r="AC81" s="43"/>
      <c r="AD81" s="22"/>
    </row>
    <row r="82" spans="1:30" s="23" customFormat="1" x14ac:dyDescent="0.3">
      <c r="A82" s="47"/>
      <c r="B82" s="59" t="s">
        <v>233</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2458</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8">
        <f>SUM(Z70:Z82)</f>
        <v>6544</v>
      </c>
      <c r="AA83" s="40"/>
      <c r="AB83" s="97">
        <f>SUM(AB70:AB82)</f>
        <v>9063</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8">
        <f>-AB84</f>
        <v>0</v>
      </c>
      <c r="AA84" s="40"/>
      <c r="AB84" s="98">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8"/>
      <c r="AA85" s="40"/>
      <c r="AB85" s="98">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8">
        <f>Z83+Z84</f>
        <v>6544</v>
      </c>
      <c r="AA86" s="40"/>
      <c r="AB86" s="97">
        <f>AB83+AB84+AB85</f>
        <v>9063</v>
      </c>
      <c r="AC86" s="43"/>
      <c r="AD86" s="22"/>
    </row>
    <row r="87" spans="1:30" x14ac:dyDescent="0.3">
      <c r="A87" s="110"/>
      <c r="B87" s="111" t="s">
        <v>27</v>
      </c>
      <c r="C87" s="59"/>
      <c r="D87" s="59"/>
      <c r="E87" s="59"/>
      <c r="F87" s="59"/>
      <c r="G87" s="59"/>
      <c r="H87" s="59"/>
      <c r="I87" s="59"/>
      <c r="J87" s="59"/>
      <c r="K87" s="59"/>
      <c r="L87" s="59"/>
      <c r="M87" s="59"/>
      <c r="N87" s="59"/>
      <c r="O87" s="59"/>
      <c r="P87" s="59"/>
      <c r="Q87" s="59"/>
      <c r="R87" s="59"/>
      <c r="S87" s="59"/>
      <c r="T87" s="59"/>
      <c r="U87" s="59"/>
      <c r="V87" s="59"/>
      <c r="W87" s="59"/>
      <c r="X87" s="59"/>
      <c r="Y87" s="59"/>
      <c r="Z87" s="238"/>
      <c r="AA87" s="112"/>
      <c r="AB87" s="113"/>
      <c r="AC87" s="114"/>
      <c r="AD87" s="5"/>
    </row>
    <row r="88" spans="1:30" x14ac:dyDescent="0.3">
      <c r="A88" s="110">
        <v>1</v>
      </c>
      <c r="B88" s="59" t="s">
        <v>138</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98">
        <v>0</v>
      </c>
      <c r="AC88" s="114"/>
      <c r="AD88" s="5"/>
    </row>
    <row r="89" spans="1:30" x14ac:dyDescent="0.3">
      <c r="A89" s="110">
        <v>2</v>
      </c>
      <c r="B89" s="59" t="s">
        <v>275</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-2</v>
      </c>
      <c r="AC89" s="114"/>
      <c r="AD89" s="5"/>
    </row>
    <row r="90" spans="1:30" x14ac:dyDescent="0.3">
      <c r="A90" s="110">
        <v>3</v>
      </c>
      <c r="B90" s="59" t="s">
        <v>247</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f>-327-6-10</f>
        <v>-343</v>
      </c>
      <c r="AC90" s="114"/>
      <c r="AD90" s="5"/>
    </row>
    <row r="91" spans="1:30" x14ac:dyDescent="0.3">
      <c r="A91" s="110">
        <v>4</v>
      </c>
      <c r="B91" s="59" t="s">
        <v>82</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v>7280</v>
      </c>
      <c r="AC91" s="114"/>
      <c r="AD91" s="5"/>
    </row>
    <row r="92" spans="1:30" x14ac:dyDescent="0.3">
      <c r="A92" s="110">
        <v>5</v>
      </c>
      <c r="B92" s="59" t="s">
        <v>129</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-8331</v>
      </c>
      <c r="AC92" s="114"/>
      <c r="AD92" s="5"/>
    </row>
    <row r="93" spans="1:30" x14ac:dyDescent="0.3">
      <c r="A93" s="110">
        <v>6</v>
      </c>
      <c r="B93" s="59" t="s">
        <v>150</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-693</v>
      </c>
      <c r="AC93" s="114"/>
      <c r="AD93" s="5"/>
    </row>
    <row r="94" spans="1:30" x14ac:dyDescent="0.3">
      <c r="A94" s="110">
        <v>7</v>
      </c>
      <c r="B94" s="59" t="s">
        <v>201</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0</v>
      </c>
      <c r="AC94" s="114"/>
      <c r="AD94" s="5"/>
    </row>
    <row r="95" spans="1:30" x14ac:dyDescent="0.3">
      <c r="A95" s="110">
        <v>8</v>
      </c>
      <c r="B95" s="59" t="s">
        <v>151</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-395</v>
      </c>
      <c r="AC95" s="114"/>
      <c r="AD95" s="5"/>
    </row>
    <row r="96" spans="1:30" x14ac:dyDescent="0.3">
      <c r="A96" s="110">
        <v>9</v>
      </c>
      <c r="B96" s="59" t="s">
        <v>180</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-412</v>
      </c>
      <c r="AC96" s="114"/>
      <c r="AD96" s="5"/>
    </row>
    <row r="97" spans="1:30" x14ac:dyDescent="0.3">
      <c r="A97" s="110">
        <v>10</v>
      </c>
      <c r="B97" s="59" t="s">
        <v>130</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0</v>
      </c>
      <c r="AC97" s="114"/>
      <c r="AD97" s="5"/>
    </row>
    <row r="98" spans="1:30" x14ac:dyDescent="0.3">
      <c r="A98" s="110">
        <v>11</v>
      </c>
      <c r="B98" s="59" t="s">
        <v>200</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0</v>
      </c>
      <c r="AC98" s="114"/>
      <c r="AD98" s="5"/>
    </row>
    <row r="99" spans="1:30" x14ac:dyDescent="0.3">
      <c r="A99" s="110">
        <v>12</v>
      </c>
      <c r="B99" s="59" t="s">
        <v>33</v>
      </c>
      <c r="C99" s="59"/>
      <c r="D99" s="59"/>
      <c r="E99" s="59"/>
      <c r="F99" s="59"/>
      <c r="G99" s="59"/>
      <c r="H99" s="59"/>
      <c r="I99" s="59"/>
      <c r="J99" s="59"/>
      <c r="K99" s="59"/>
      <c r="L99" s="59"/>
      <c r="M99" s="59"/>
      <c r="N99" s="59"/>
      <c r="O99" s="59"/>
      <c r="P99" s="59"/>
      <c r="Q99" s="59"/>
      <c r="R99" s="59"/>
      <c r="S99" s="59"/>
      <c r="T99" s="59"/>
      <c r="U99" s="59"/>
      <c r="V99" s="59"/>
      <c r="W99" s="59"/>
      <c r="X99" s="59"/>
      <c r="Y99" s="59"/>
      <c r="Z99" s="238">
        <f>-AB99</f>
        <v>1</v>
      </c>
      <c r="AA99" s="112"/>
      <c r="AB99" s="98">
        <v>-1</v>
      </c>
      <c r="AC99" s="114"/>
      <c r="AD99" s="5"/>
    </row>
    <row r="100" spans="1:30" x14ac:dyDescent="0.3">
      <c r="A100" s="110">
        <v>13</v>
      </c>
      <c r="B100" s="59" t="s">
        <v>276</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14</v>
      </c>
      <c r="B101" s="59" t="s">
        <v>277</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c r="AA101" s="112"/>
      <c r="AB101" s="98">
        <v>-3500</v>
      </c>
      <c r="AC101" s="114"/>
      <c r="AD101" s="5"/>
    </row>
    <row r="102" spans="1:30" x14ac:dyDescent="0.3">
      <c r="A102" s="110">
        <v>15</v>
      </c>
      <c r="B102" s="59" t="s">
        <v>28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-26</v>
      </c>
      <c r="AC102" s="114"/>
      <c r="AD102" s="5"/>
    </row>
    <row r="103" spans="1:30" x14ac:dyDescent="0.3">
      <c r="A103" s="110">
        <v>16</v>
      </c>
      <c r="B103" s="59" t="s">
        <v>118</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0</v>
      </c>
      <c r="AC103" s="114"/>
      <c r="AD103" s="5"/>
    </row>
    <row r="104" spans="1:30" x14ac:dyDescent="0.3">
      <c r="A104" s="110">
        <v>17</v>
      </c>
      <c r="B104" s="59" t="s">
        <v>188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0</v>
      </c>
      <c r="AC104" s="114"/>
      <c r="AD104" s="5"/>
    </row>
    <row r="105" spans="1:30" x14ac:dyDescent="0.3">
      <c r="A105" s="110">
        <v>18</v>
      </c>
      <c r="B105" s="59" t="s">
        <v>162</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-508</v>
      </c>
      <c r="AC105" s="114"/>
      <c r="AD105" s="5"/>
    </row>
    <row r="106" spans="1:30" x14ac:dyDescent="0.3">
      <c r="A106" s="110">
        <v>19</v>
      </c>
      <c r="B106" s="59" t="s">
        <v>257</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-214</v>
      </c>
      <c r="AC106" s="114"/>
      <c r="AD106" s="5"/>
    </row>
    <row r="107" spans="1:30" x14ac:dyDescent="0.3">
      <c r="A107" s="110">
        <v>20</v>
      </c>
      <c r="B107" s="59" t="s">
        <v>258</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-63</v>
      </c>
      <c r="AC107" s="114"/>
      <c r="AD107" s="5"/>
    </row>
    <row r="108" spans="1:30" x14ac:dyDescent="0.3">
      <c r="A108" s="110">
        <v>21</v>
      </c>
      <c r="B108" s="59" t="s">
        <v>259</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0</v>
      </c>
      <c r="AC108" s="114"/>
      <c r="AD108" s="5"/>
    </row>
    <row r="109" spans="1:30" x14ac:dyDescent="0.3">
      <c r="A109" s="110">
        <v>22</v>
      </c>
      <c r="B109" s="59" t="s">
        <v>260</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0</v>
      </c>
      <c r="AC109" s="114"/>
      <c r="AD109" s="5"/>
    </row>
    <row r="110" spans="1:30" x14ac:dyDescent="0.3">
      <c r="A110" s="110">
        <v>23</v>
      </c>
      <c r="B110" s="59" t="s">
        <v>131</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24</v>
      </c>
      <c r="B111" s="59" t="s">
        <v>137</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f>-15-72</f>
        <v>-87</v>
      </c>
      <c r="AC111" s="114"/>
      <c r="AD111" s="5"/>
    </row>
    <row r="112" spans="1:30" x14ac:dyDescent="0.3">
      <c r="A112" s="110">
        <v>25</v>
      </c>
      <c r="B112" s="59" t="s">
        <v>255</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-5</v>
      </c>
      <c r="AC112" s="114"/>
      <c r="AD112" s="5"/>
    </row>
    <row r="113" spans="1:30" x14ac:dyDescent="0.3">
      <c r="A113" s="110">
        <v>26</v>
      </c>
      <c r="B113" s="59" t="s">
        <v>226</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-1763</v>
      </c>
      <c r="AC113" s="114"/>
      <c r="AD113" s="5"/>
    </row>
    <row r="114" spans="1:30" x14ac:dyDescent="0.3">
      <c r="A114" s="110"/>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113"/>
      <c r="AC114" s="114"/>
      <c r="AD114" s="5"/>
    </row>
    <row r="115" spans="1:30" x14ac:dyDescent="0.3">
      <c r="A115" s="110"/>
      <c r="B115" s="111" t="s">
        <v>29</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112"/>
      <c r="AB115" s="116"/>
      <c r="AC115" s="114"/>
      <c r="AD115" s="5"/>
    </row>
    <row r="116" spans="1:30" x14ac:dyDescent="0.3">
      <c r="A116" s="110"/>
      <c r="B116" s="40" t="s">
        <v>227</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v>0</v>
      </c>
      <c r="AA116" s="112"/>
      <c r="AB116" s="116"/>
      <c r="AC116" s="114"/>
      <c r="AD116" s="5"/>
    </row>
    <row r="117" spans="1:30" s="23" customFormat="1" x14ac:dyDescent="0.3">
      <c r="A117" s="47"/>
      <c r="B117" s="40" t="s">
        <v>156</v>
      </c>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238">
        <v>0</v>
      </c>
      <c r="AA117" s="97"/>
      <c r="AB117" s="98"/>
      <c r="AC117" s="43"/>
      <c r="AD117" s="22"/>
    </row>
    <row r="118" spans="1:30" s="23" customFormat="1" x14ac:dyDescent="0.3">
      <c r="A118" s="47"/>
      <c r="B118" s="40" t="s">
        <v>157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8">
        <v>0</v>
      </c>
      <c r="AA118" s="97"/>
      <c r="AB118" s="98"/>
      <c r="AC118" s="43"/>
      <c r="AD118" s="22"/>
    </row>
    <row r="119" spans="1:30" s="23" customFormat="1" x14ac:dyDescent="0.3">
      <c r="A119" s="47"/>
      <c r="B119" s="40" t="s">
        <v>262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263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312</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-6542</v>
      </c>
      <c r="AA121" s="97"/>
      <c r="AB121" s="98"/>
      <c r="AC121" s="43"/>
      <c r="AD121" s="22"/>
    </row>
    <row r="122" spans="1:30" s="23" customFormat="1" x14ac:dyDescent="0.3">
      <c r="A122" s="47"/>
      <c r="B122" s="40" t="s">
        <v>142</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143</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0</v>
      </c>
      <c r="AA123" s="97"/>
      <c r="AB123" s="98"/>
      <c r="AC123" s="43"/>
      <c r="AD123" s="22"/>
    </row>
    <row r="124" spans="1:30" s="23" customFormat="1" x14ac:dyDescent="0.3">
      <c r="A124" s="47"/>
      <c r="B124" s="40" t="s">
        <v>173</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163</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189</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30</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f>SUM(Z116:Z126)</f>
        <v>-6542</v>
      </c>
      <c r="AA127" s="97"/>
      <c r="AB127" s="97">
        <f>SUM(AB87:AB125)</f>
        <v>-9063</v>
      </c>
      <c r="AC127" s="43"/>
      <c r="AD127" s="22"/>
    </row>
    <row r="128" spans="1:30" s="23" customFormat="1" x14ac:dyDescent="0.3">
      <c r="A128" s="47"/>
      <c r="B128" s="40" t="s">
        <v>31</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f>Z86+Z127+Z99</f>
        <v>3</v>
      </c>
      <c r="AA128" s="97"/>
      <c r="AB128" s="97">
        <f>AB86+AB127</f>
        <v>0</v>
      </c>
      <c r="AC128" s="43"/>
      <c r="AD128" s="22"/>
    </row>
    <row r="129" spans="1:30" s="23" customFormat="1" x14ac:dyDescent="0.3">
      <c r="A129" s="18"/>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106"/>
      <c r="AA129" s="106"/>
      <c r="AB129" s="106"/>
      <c r="AC129" s="21"/>
      <c r="AD129" s="22"/>
    </row>
    <row r="130" spans="1:30" s="23" customFormat="1" x14ac:dyDescent="0.3">
      <c r="A130" s="18"/>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117"/>
      <c r="AC130" s="21"/>
      <c r="AD130" s="22"/>
    </row>
    <row r="131" spans="1:30" s="23" customFormat="1" ht="18.600000000000001" thickBot="1" x14ac:dyDescent="0.4">
      <c r="A131" s="83"/>
      <c r="B131" s="84" t="str">
        <f>B53</f>
        <v>PM27 INVESTOR REPORT QUARTER ENDING SEPTEMBER 2023</v>
      </c>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118"/>
      <c r="AC131" s="87"/>
      <c r="AD131" s="22"/>
    </row>
    <row r="132" spans="1:30" x14ac:dyDescent="0.3">
      <c r="A132" s="119"/>
      <c r="B132" s="120" t="s">
        <v>32</v>
      </c>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2"/>
      <c r="AC132" s="123"/>
      <c r="AD132" s="5"/>
    </row>
    <row r="133" spans="1:30" x14ac:dyDescent="0.3">
      <c r="A133" s="7"/>
      <c r="B133" s="124"/>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1"/>
      <c r="AC133" s="10"/>
      <c r="AD133" s="5"/>
    </row>
    <row r="134" spans="1:30" x14ac:dyDescent="0.3">
      <c r="A134" s="7"/>
      <c r="B134" s="125" t="s">
        <v>192</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1"/>
      <c r="AC134" s="10"/>
      <c r="AD134" s="5"/>
    </row>
    <row r="135" spans="1:30" s="23" customFormat="1" x14ac:dyDescent="0.3">
      <c r="A135" s="47"/>
      <c r="B135" s="40" t="s">
        <v>199</v>
      </c>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98">
        <f>SUM(F29:H29)*1.5%</f>
        <v>10351.994999999999</v>
      </c>
      <c r="AC135" s="43"/>
      <c r="AD135" s="22"/>
    </row>
    <row r="136" spans="1:30" s="23" customFormat="1" x14ac:dyDescent="0.3">
      <c r="A136" s="47"/>
      <c r="B136" s="40" t="s">
        <v>204</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8">
        <f>+'June 2023'!AB143</f>
        <v>8709.994999999999</v>
      </c>
      <c r="AC136" s="43"/>
      <c r="AD136" s="22"/>
    </row>
    <row r="137" spans="1:30" s="23" customFormat="1" x14ac:dyDescent="0.3">
      <c r="A137" s="47"/>
      <c r="B137" s="40" t="s">
        <v>248</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8"/>
      <c r="AC137" s="43"/>
      <c r="AD137" s="22"/>
    </row>
    <row r="138" spans="1:30" s="23" customFormat="1" x14ac:dyDescent="0.3">
      <c r="A138" s="47"/>
      <c r="B138" s="40" t="s">
        <v>250</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v>0</v>
      </c>
      <c r="AC138" s="43"/>
      <c r="AD138" s="22"/>
    </row>
    <row r="139" spans="1:30" s="23" customFormat="1" x14ac:dyDescent="0.3">
      <c r="A139" s="47"/>
      <c r="B139" s="40" t="s">
        <v>198</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v>0</v>
      </c>
      <c r="AC139" s="43"/>
      <c r="AD139" s="22"/>
    </row>
    <row r="140" spans="1:30" s="23" customFormat="1" x14ac:dyDescent="0.3">
      <c r="A140" s="47"/>
      <c r="B140" s="40" t="s">
        <v>150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v>0</v>
      </c>
      <c r="AC140" s="43"/>
      <c r="AD140" s="22"/>
    </row>
    <row r="141" spans="1:30" s="23" customFormat="1" x14ac:dyDescent="0.3">
      <c r="A141" s="47"/>
      <c r="B141" s="40" t="s">
        <v>87</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251</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-63</v>
      </c>
      <c r="AC142" s="43"/>
      <c r="AD142" s="22"/>
    </row>
    <row r="143" spans="1:30" s="23" customFormat="1" x14ac:dyDescent="0.3">
      <c r="A143" s="47"/>
      <c r="B143" s="40" t="s">
        <v>203</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f>SUM(AB136:AB142)+1</f>
        <v>8647.994999999999</v>
      </c>
      <c r="AC143" s="43"/>
      <c r="AD143" s="22"/>
    </row>
    <row r="144" spans="1:30" x14ac:dyDescent="0.3">
      <c r="A144" s="7"/>
      <c r="B144" s="124"/>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1"/>
      <c r="AC144" s="10"/>
      <c r="AD144" s="5"/>
    </row>
    <row r="145" spans="1:30" x14ac:dyDescent="0.3">
      <c r="A145" s="7"/>
      <c r="B145" s="125" t="s">
        <v>190</v>
      </c>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1"/>
      <c r="AC145" s="10"/>
      <c r="AD145" s="5"/>
    </row>
    <row r="146" spans="1:30" s="23" customFormat="1" x14ac:dyDescent="0.3">
      <c r="A146" s="47"/>
      <c r="B146" s="59" t="s">
        <v>191</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SUM(J29:L29)*1.5%</f>
        <v>684.42</v>
      </c>
      <c r="AC146" s="43"/>
      <c r="AD146" s="22"/>
    </row>
    <row r="147" spans="1:30" s="23" customFormat="1" x14ac:dyDescent="0.3">
      <c r="A147" s="47"/>
      <c r="B147" s="59" t="s">
        <v>205</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8">
        <f>SUM(J29:L29)*0.015</f>
        <v>684.42</v>
      </c>
      <c r="AC147" s="43"/>
      <c r="AD147" s="22"/>
    </row>
    <row r="148" spans="1:30" s="23" customFormat="1" x14ac:dyDescent="0.3">
      <c r="A148" s="47"/>
      <c r="B148" s="59" t="s">
        <v>93</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8"/>
      <c r="AC148" s="43"/>
      <c r="AD148" s="22"/>
    </row>
    <row r="149" spans="1:30" s="23" customFormat="1" x14ac:dyDescent="0.3">
      <c r="A149" s="47"/>
      <c r="B149" s="40" t="s">
        <v>250</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v>0</v>
      </c>
      <c r="AC149" s="43"/>
      <c r="AD149" s="22"/>
    </row>
    <row r="150" spans="1:30" s="23" customFormat="1" x14ac:dyDescent="0.3">
      <c r="A150" s="47"/>
      <c r="B150" s="59" t="s">
        <v>129</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v>0</v>
      </c>
      <c r="AC150" s="43"/>
      <c r="AD150" s="22"/>
    </row>
    <row r="151" spans="1:30" s="23" customFormat="1" x14ac:dyDescent="0.3">
      <c r="A151" s="47"/>
      <c r="B151" s="59" t="s">
        <v>150</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v>0</v>
      </c>
      <c r="AC151" s="43"/>
      <c r="AD151" s="22"/>
    </row>
    <row r="152" spans="1:30" s="23" customFormat="1" x14ac:dyDescent="0.3">
      <c r="A152" s="47"/>
      <c r="B152" s="59" t="s">
        <v>151</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0" s="23" customFormat="1" x14ac:dyDescent="0.3">
      <c r="A153" s="47"/>
      <c r="B153" s="59" t="s">
        <v>180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0" s="23" customFormat="1" x14ac:dyDescent="0.3">
      <c r="A154" s="47"/>
      <c r="B154" s="59" t="s">
        <v>87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0" s="23" customFormat="1" x14ac:dyDescent="0.3">
      <c r="A155" s="47"/>
      <c r="B155" s="40" t="s">
        <v>251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0" s="23" customFormat="1" x14ac:dyDescent="0.3">
      <c r="A156" s="47"/>
      <c r="B156" s="59" t="s">
        <v>202</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f>SUM(AB147:AB155)</f>
        <v>684.42</v>
      </c>
      <c r="AC156" s="43"/>
      <c r="AD156" s="22"/>
    </row>
    <row r="157" spans="1:30" x14ac:dyDescent="0.3">
      <c r="A157" s="7"/>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126"/>
      <c r="AC157" s="10"/>
      <c r="AD157" s="5"/>
    </row>
    <row r="158" spans="1:30" x14ac:dyDescent="0.3">
      <c r="A158" s="7"/>
      <c r="B158" s="125" t="s">
        <v>174</v>
      </c>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8"/>
      <c r="AC158" s="10"/>
      <c r="AD158" s="5"/>
    </row>
    <row r="159" spans="1:30" s="23" customFormat="1" x14ac:dyDescent="0.3">
      <c r="A159" s="129"/>
      <c r="B159" s="230" t="s">
        <v>281</v>
      </c>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1">
        <f>+'June 2023'!AB162</f>
        <v>0</v>
      </c>
      <c r="AC159" s="132"/>
      <c r="AD159" s="22"/>
    </row>
    <row r="160" spans="1:30" s="23" customFormat="1" x14ac:dyDescent="0.3">
      <c r="A160" s="129"/>
      <c r="B160" s="230" t="s">
        <v>175</v>
      </c>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1">
        <f>X64</f>
        <v>0</v>
      </c>
      <c r="AC160" s="132"/>
      <c r="AD160" s="22"/>
    </row>
    <row r="161" spans="1:262" s="23" customFormat="1" x14ac:dyDescent="0.3">
      <c r="A161" s="129"/>
      <c r="B161" s="230" t="s">
        <v>249</v>
      </c>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1">
        <v>0</v>
      </c>
      <c r="AC161" s="132"/>
      <c r="AD161" s="22"/>
    </row>
    <row r="162" spans="1:262" s="23" customFormat="1" x14ac:dyDescent="0.3">
      <c r="A162" s="129"/>
      <c r="B162" s="230" t="s">
        <v>176</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AB159+AB160+AB161</f>
        <v>0</v>
      </c>
      <c r="AC162" s="132"/>
      <c r="AD162" s="22"/>
    </row>
    <row r="163" spans="1:262" x14ac:dyDescent="0.3">
      <c r="A163" s="7"/>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126"/>
      <c r="AC163" s="10"/>
      <c r="AD163" s="5"/>
    </row>
    <row r="164" spans="1:262" x14ac:dyDescent="0.3">
      <c r="A164" s="7"/>
      <c r="B164" s="125" t="s">
        <v>34</v>
      </c>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133"/>
      <c r="AC164" s="10"/>
      <c r="AD164" s="5"/>
    </row>
    <row r="165" spans="1:262" s="23" customFormat="1" x14ac:dyDescent="0.3">
      <c r="A165" s="47"/>
      <c r="B165" s="40" t="s">
        <v>35</v>
      </c>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98">
        <v>0</v>
      </c>
      <c r="AC165" s="43"/>
      <c r="AD165" s="22"/>
    </row>
    <row r="166" spans="1:262" s="23" customFormat="1" x14ac:dyDescent="0.3">
      <c r="A166" s="47"/>
      <c r="B166" s="40" t="s">
        <v>36</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8">
        <v>1</v>
      </c>
      <c r="AC166" s="43"/>
      <c r="AD166" s="22"/>
    </row>
    <row r="167" spans="1:262" s="23" customFormat="1" x14ac:dyDescent="0.3">
      <c r="A167" s="47"/>
      <c r="B167" s="40" t="s">
        <v>219</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8">
        <v>0</v>
      </c>
      <c r="AC167" s="43"/>
      <c r="AD167" s="22"/>
    </row>
    <row r="168" spans="1:262" s="23" customFormat="1" x14ac:dyDescent="0.3">
      <c r="A168" s="47"/>
      <c r="B168" s="40" t="s">
        <v>37</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+AB165+AB166+AB167</f>
        <v>1</v>
      </c>
      <c r="AC168" s="43"/>
      <c r="AD168" s="22"/>
    </row>
    <row r="169" spans="1:262" s="23" customFormat="1" x14ac:dyDescent="0.3">
      <c r="A169" s="47"/>
      <c r="B169" s="40" t="s">
        <v>268</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f>+AB99</f>
        <v>-1</v>
      </c>
      <c r="AC169" s="43"/>
      <c r="AD169" s="22"/>
    </row>
    <row r="170" spans="1:262" s="23" customFormat="1" x14ac:dyDescent="0.3">
      <c r="A170" s="47"/>
      <c r="B170" s="40" t="s">
        <v>38</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f>AB168+AB169</f>
        <v>0</v>
      </c>
      <c r="AC170" s="43"/>
      <c r="AD170" s="22"/>
    </row>
    <row r="171" spans="1:262" s="23" customFormat="1" x14ac:dyDescent="0.3">
      <c r="A171" s="47"/>
      <c r="B171" s="40" t="s">
        <v>124</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-AB85</f>
        <v>0</v>
      </c>
      <c r="AC171" s="43"/>
      <c r="AD171" s="22"/>
    </row>
    <row r="172" spans="1:262" ht="16.2" thickBot="1" x14ac:dyDescent="0.35">
      <c r="A172" s="7"/>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126"/>
      <c r="AC172" s="10"/>
      <c r="AD172" s="5"/>
    </row>
    <row r="173" spans="1:262" x14ac:dyDescent="0.3">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134"/>
      <c r="AC173" s="4"/>
      <c r="AD173" s="5"/>
    </row>
    <row r="174" spans="1:262" s="136" customFormat="1" x14ac:dyDescent="0.3">
      <c r="A174" s="7"/>
      <c r="B174" s="125" t="s">
        <v>193</v>
      </c>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135"/>
      <c r="AC174" s="10"/>
      <c r="AD174" s="5"/>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row>
    <row r="175" spans="1:262" s="137" customFormat="1" x14ac:dyDescent="0.3">
      <c r="A175" s="47"/>
      <c r="B175" s="40" t="s">
        <v>332</v>
      </c>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98">
        <v>0</v>
      </c>
      <c r="AC175" s="43"/>
      <c r="AD175" s="22"/>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row>
    <row r="176" spans="1:262" s="137" customFormat="1" x14ac:dyDescent="0.3">
      <c r="A176" s="47"/>
      <c r="B176" s="40" t="s">
        <v>210</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8">
        <f>+'June 2023'!AB179</f>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7" customFormat="1" x14ac:dyDescent="0.3">
      <c r="A177" s="47"/>
      <c r="B177" s="40" t="s">
        <v>234</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8">
        <f>-AB185</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7" customFormat="1" x14ac:dyDescent="0.3">
      <c r="A178" s="47"/>
      <c r="B178" s="40" t="s">
        <v>236</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f>+AB81</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207</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+AB176+AB177-AB178</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9" customFormat="1" ht="16.2" thickBot="1" x14ac:dyDescent="0.35">
      <c r="A180" s="138"/>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126"/>
      <c r="AC180" s="10"/>
      <c r="AD180" s="5"/>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row>
    <row r="181" spans="1:262" x14ac:dyDescent="0.3">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134"/>
      <c r="AC181" s="4"/>
      <c r="AD181" s="5"/>
    </row>
    <row r="182" spans="1:262" s="136" customFormat="1" x14ac:dyDescent="0.3">
      <c r="A182" s="7"/>
      <c r="B182" s="125" t="s">
        <v>206</v>
      </c>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135"/>
      <c r="AC182" s="10"/>
      <c r="AD182" s="5"/>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row>
    <row r="183" spans="1:262" s="137" customFormat="1" x14ac:dyDescent="0.3">
      <c r="A183" s="47"/>
      <c r="B183" s="40" t="s">
        <v>208</v>
      </c>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98">
        <v>300</v>
      </c>
      <c r="AC183" s="43"/>
      <c r="AD183" s="22"/>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row>
    <row r="184" spans="1:262" s="137" customFormat="1" x14ac:dyDescent="0.3">
      <c r="A184" s="47"/>
      <c r="B184" s="40" t="s">
        <v>211</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98">
        <f>+'June 2023'!AB187</f>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7" customFormat="1" x14ac:dyDescent="0.3">
      <c r="A185" s="47"/>
      <c r="B185" s="59" t="s">
        <v>228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8">
        <v>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7" customFormat="1" x14ac:dyDescent="0.3">
      <c r="A186" s="47"/>
      <c r="B186" s="59" t="s">
        <v>229</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f>-AB100</f>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209</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AB183-AB185+AB186</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9" customFormat="1" ht="16.2" thickBot="1" x14ac:dyDescent="0.35">
      <c r="A188" s="138"/>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126"/>
      <c r="AC188" s="10"/>
      <c r="AD188" s="5"/>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row>
    <row r="189" spans="1:262" x14ac:dyDescent="0.3">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134"/>
      <c r="AC189" s="4"/>
      <c r="AD189" s="5"/>
    </row>
    <row r="190" spans="1:262" s="136" customFormat="1" x14ac:dyDescent="0.3">
      <c r="A190" s="7"/>
      <c r="B190" s="125" t="s">
        <v>212</v>
      </c>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135"/>
      <c r="AC190" s="10"/>
      <c r="AD190" s="5"/>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row>
    <row r="191" spans="1:262" s="137" customFormat="1" x14ac:dyDescent="0.3">
      <c r="A191" s="47"/>
      <c r="B191" s="40" t="s">
        <v>334</v>
      </c>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98">
        <v>0</v>
      </c>
      <c r="AC191" s="43"/>
      <c r="AD191" s="22"/>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row>
    <row r="192" spans="1:262" s="137" customFormat="1" x14ac:dyDescent="0.3">
      <c r="A192" s="47"/>
      <c r="B192" s="40" t="s">
        <v>213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98">
        <f>+'June 2023'!AB195</f>
        <v>1468</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7" customFormat="1" x14ac:dyDescent="0.3">
      <c r="A193" s="47"/>
      <c r="B193" s="40" t="s">
        <v>235</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8">
        <f>AB201</f>
        <v>2989</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7"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f>AB82</f>
        <v>2458</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346</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AB192+AB193-AB194</f>
        <v>1999</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9" customFormat="1" ht="16.2" thickBot="1" x14ac:dyDescent="0.35">
      <c r="A196" s="138"/>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126"/>
      <c r="AC196" s="10"/>
      <c r="AD196" s="5"/>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row>
    <row r="197" spans="1:262" x14ac:dyDescent="0.3">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134"/>
      <c r="AC197" s="4"/>
      <c r="AD197" s="5"/>
    </row>
    <row r="198" spans="1:262" s="136" customFormat="1" x14ac:dyDescent="0.3">
      <c r="A198" s="7"/>
      <c r="B198" s="125" t="s">
        <v>333</v>
      </c>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135"/>
      <c r="AC198" s="10"/>
      <c r="AD198" s="5"/>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row>
    <row r="199" spans="1:262" s="137" customFormat="1" x14ac:dyDescent="0.3">
      <c r="A199" s="47"/>
      <c r="B199" s="40" t="s">
        <v>214</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v>301</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7" customFormat="1" x14ac:dyDescent="0.3">
      <c r="A200" s="47"/>
      <c r="B200" s="40" t="s">
        <v>215</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98">
        <f>+'June 2023'!AB203</f>
        <v>3013</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7" customFormat="1" x14ac:dyDescent="0.3">
      <c r="A201" s="47"/>
      <c r="B201" s="59" t="s">
        <v>256</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8">
        <v>2989</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7" customFormat="1" x14ac:dyDescent="0.3">
      <c r="A202" s="47"/>
      <c r="B202" s="59" t="s">
        <v>231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f>-AB101</f>
        <v>3500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AB200-AB201+AB202</f>
        <v>3524</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9" customFormat="1" ht="16.2" thickBot="1" x14ac:dyDescent="0.35">
      <c r="A204" s="138"/>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126"/>
      <c r="AC204" s="10"/>
      <c r="AD204" s="5"/>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row>
    <row r="205" spans="1:262" x14ac:dyDescent="0.3">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134"/>
      <c r="AC205" s="4"/>
      <c r="AD205" s="5"/>
    </row>
    <row r="206" spans="1:262" s="136" customFormat="1" x14ac:dyDescent="0.3">
      <c r="A206" s="7"/>
      <c r="B206" s="125" t="s">
        <v>237</v>
      </c>
      <c r="C206" s="99"/>
      <c r="D206" s="99"/>
      <c r="E206" s="99"/>
      <c r="F206" s="99"/>
      <c r="G206" s="99"/>
      <c r="H206" s="99"/>
      <c r="I206" s="99"/>
      <c r="J206" s="99"/>
      <c r="K206" s="99"/>
      <c r="L206" s="99"/>
      <c r="M206" s="99"/>
      <c r="N206" s="99"/>
      <c r="O206" s="99"/>
      <c r="P206" s="99"/>
      <c r="Q206" s="99"/>
      <c r="R206" s="99"/>
      <c r="S206" s="99"/>
      <c r="T206" s="99"/>
      <c r="U206" s="99"/>
      <c r="V206" s="99"/>
      <c r="W206" s="99"/>
      <c r="X206" s="99"/>
      <c r="Y206" s="233" t="s">
        <v>243</v>
      </c>
      <c r="Z206" s="233" t="s">
        <v>244</v>
      </c>
      <c r="AA206" s="12"/>
      <c r="AB206" s="234" t="s">
        <v>80</v>
      </c>
      <c r="AC206" s="10"/>
      <c r="AD206" s="5"/>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row>
    <row r="207" spans="1:262" s="137" customFormat="1" x14ac:dyDescent="0.3">
      <c r="A207" s="47"/>
      <c r="B207" s="40" t="s">
        <v>238</v>
      </c>
      <c r="C207" s="40"/>
      <c r="D207" s="40"/>
      <c r="E207" s="40"/>
      <c r="F207" s="40"/>
      <c r="G207" s="40"/>
      <c r="H207" s="40"/>
      <c r="I207" s="40"/>
      <c r="J207" s="40"/>
      <c r="K207" s="40"/>
      <c r="L207" s="40"/>
      <c r="M207" s="40"/>
      <c r="N207" s="40"/>
      <c r="O207" s="40"/>
      <c r="P207" s="40"/>
      <c r="Q207" s="40"/>
      <c r="R207" s="40"/>
      <c r="S207" s="40"/>
      <c r="T207" s="40"/>
      <c r="U207" s="40"/>
      <c r="V207" s="40"/>
      <c r="W207" s="40"/>
      <c r="X207" s="40"/>
      <c r="Y207" s="98">
        <f>SUM(F29:R29)*0.16</f>
        <v>124206.40000000001</v>
      </c>
      <c r="Z207" s="70"/>
      <c r="AA207" s="40"/>
      <c r="AB207" s="98"/>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7" customFormat="1" x14ac:dyDescent="0.3">
      <c r="A208" s="47"/>
      <c r="B208" s="40" t="s">
        <v>239</v>
      </c>
      <c r="C208" s="40"/>
      <c r="D208" s="40"/>
      <c r="E208" s="40"/>
      <c r="F208" s="40"/>
      <c r="G208" s="40"/>
      <c r="H208" s="40"/>
      <c r="I208" s="40"/>
      <c r="J208" s="40"/>
      <c r="K208" s="40"/>
      <c r="L208" s="40"/>
      <c r="M208" s="40"/>
      <c r="N208" s="40"/>
      <c r="O208" s="40"/>
      <c r="P208" s="40"/>
      <c r="Q208" s="40"/>
      <c r="R208" s="40"/>
      <c r="S208" s="40"/>
      <c r="T208" s="40"/>
      <c r="U208" s="40"/>
      <c r="V208" s="40"/>
      <c r="W208" s="40"/>
      <c r="X208" s="40"/>
      <c r="Y208" s="98">
        <f>+'June 2023'!Y210</f>
        <v>0</v>
      </c>
      <c r="Z208" s="98">
        <f>+'June 2023'!Z210</f>
        <v>382</v>
      </c>
      <c r="AA208" s="40"/>
      <c r="AB208" s="98">
        <f>Y208+Z208</f>
        <v>382</v>
      </c>
      <c r="AC208" s="43"/>
      <c r="AD208" s="22"/>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row>
    <row r="209" spans="1:262" s="137" customFormat="1" x14ac:dyDescent="0.3">
      <c r="A209" s="47"/>
      <c r="B209" s="40" t="s">
        <v>240</v>
      </c>
      <c r="C209" s="40"/>
      <c r="D209" s="40"/>
      <c r="E209" s="40"/>
      <c r="F209" s="40"/>
      <c r="G209" s="40"/>
      <c r="H209" s="40"/>
      <c r="I209" s="40"/>
      <c r="J209" s="40"/>
      <c r="K209" s="40"/>
      <c r="L209" s="40"/>
      <c r="M209" s="40"/>
      <c r="N209" s="40"/>
      <c r="O209" s="40"/>
      <c r="P209" s="40"/>
      <c r="Q209" s="40"/>
      <c r="R209" s="40"/>
      <c r="S209" s="40"/>
      <c r="T209" s="40"/>
      <c r="U209" s="40"/>
      <c r="V209" s="40"/>
      <c r="W209" s="40"/>
      <c r="X209" s="40"/>
      <c r="Y209" s="97">
        <v>0</v>
      </c>
      <c r="Z209" s="97">
        <v>0</v>
      </c>
      <c r="AA209" s="40"/>
      <c r="AB209" s="98">
        <f>Y209+Z209</f>
        <v>0</v>
      </c>
      <c r="AC209" s="43"/>
      <c r="AD209" s="22"/>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row>
    <row r="210" spans="1:262" s="137" customFormat="1" x14ac:dyDescent="0.3">
      <c r="A210" s="47"/>
      <c r="B210" s="40" t="s">
        <v>241</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Y208+Y209</f>
        <v>0</v>
      </c>
      <c r="Z210" s="98">
        <f>Z209+Z208</f>
        <v>382</v>
      </c>
      <c r="AA210" s="40"/>
      <c r="AB210" s="98">
        <f>Y210+Z210</f>
        <v>382</v>
      </c>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242</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Y207-Y210-Z210</f>
        <v>123824.40000000001</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9" customFormat="1" ht="16.2" thickBot="1" x14ac:dyDescent="0.35">
      <c r="A212" s="138"/>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126"/>
      <c r="AC212" s="10"/>
      <c r="AD212" s="5"/>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row>
    <row r="213" spans="1:262" x14ac:dyDescent="0.3">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134"/>
      <c r="AC213" s="4"/>
      <c r="AD213" s="5"/>
    </row>
    <row r="214" spans="1:262" s="136" customFormat="1" x14ac:dyDescent="0.3">
      <c r="A214" s="7"/>
      <c r="B214" s="125" t="s">
        <v>267</v>
      </c>
      <c r="C214" s="99"/>
      <c r="D214" s="99"/>
      <c r="E214" s="99"/>
      <c r="F214" s="99"/>
      <c r="G214" s="99"/>
      <c r="H214" s="99"/>
      <c r="I214" s="99"/>
      <c r="J214" s="99"/>
      <c r="K214" s="99"/>
      <c r="L214" s="99"/>
      <c r="M214" s="99"/>
      <c r="N214" s="99"/>
      <c r="O214" s="99"/>
      <c r="P214" s="99"/>
      <c r="Q214" s="99"/>
      <c r="R214" s="99"/>
      <c r="S214" s="99"/>
      <c r="T214" s="99"/>
      <c r="U214" s="99"/>
      <c r="V214" s="99"/>
      <c r="W214" s="99"/>
      <c r="X214" s="99"/>
      <c r="Y214" s="233"/>
      <c r="Z214" s="233"/>
      <c r="AA214" s="12"/>
      <c r="AB214" s="234" t="s">
        <v>80</v>
      </c>
      <c r="AC214" s="10"/>
      <c r="AD214" s="5"/>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row>
    <row r="215" spans="1:262" s="137" customFormat="1" x14ac:dyDescent="0.3">
      <c r="A215" s="47"/>
      <c r="B215" s="40" t="s">
        <v>265</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c r="Z215" s="70"/>
      <c r="AA215" s="40"/>
      <c r="AB215" s="237">
        <v>625000</v>
      </c>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7" customFormat="1" x14ac:dyDescent="0.3">
      <c r="A216" s="47"/>
      <c r="B216" s="40" t="s">
        <v>325</v>
      </c>
      <c r="C216" s="40"/>
      <c r="D216" s="40"/>
      <c r="E216" s="40"/>
      <c r="F216" s="40"/>
      <c r="G216" s="40"/>
      <c r="H216" s="40"/>
      <c r="I216" s="40"/>
      <c r="J216" s="40"/>
      <c r="K216" s="40"/>
      <c r="L216" s="40"/>
      <c r="M216" s="40"/>
      <c r="N216" s="40"/>
      <c r="O216" s="40"/>
      <c r="P216" s="40"/>
      <c r="Q216" s="40"/>
      <c r="R216" s="40"/>
      <c r="S216" s="40"/>
      <c r="T216" s="40"/>
      <c r="U216" s="40"/>
      <c r="V216" s="40"/>
      <c r="W216" s="40"/>
      <c r="X216" s="40"/>
      <c r="Y216" s="98"/>
      <c r="Z216" s="98"/>
      <c r="AA216" s="40"/>
      <c r="AB216" s="237">
        <v>628436</v>
      </c>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7" customFormat="1" x14ac:dyDescent="0.3">
      <c r="A217" s="47"/>
      <c r="B217" s="40" t="s">
        <v>266</v>
      </c>
      <c r="C217" s="40"/>
      <c r="D217" s="40"/>
      <c r="E217" s="40"/>
      <c r="F217" s="40"/>
      <c r="G217" s="40"/>
      <c r="H217" s="40"/>
      <c r="I217" s="40"/>
      <c r="J217" s="40"/>
      <c r="K217" s="40"/>
      <c r="L217" s="40"/>
      <c r="M217" s="40"/>
      <c r="N217" s="40"/>
      <c r="O217" s="40"/>
      <c r="P217" s="40"/>
      <c r="Q217" s="40"/>
      <c r="R217" s="40"/>
      <c r="S217" s="40"/>
      <c r="T217" s="40"/>
      <c r="U217" s="40"/>
      <c r="V217" s="40"/>
      <c r="W217" s="40"/>
      <c r="X217" s="40"/>
      <c r="Y217" s="98"/>
      <c r="Z217" s="98"/>
      <c r="AA217" s="40"/>
      <c r="AB217" s="98">
        <f>AB215-AB216</f>
        <v>-3436</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7" customFormat="1" x14ac:dyDescent="0.3">
      <c r="A218" s="47"/>
      <c r="B218" s="40" t="s">
        <v>279</v>
      </c>
      <c r="C218" s="40"/>
      <c r="D218" s="40"/>
      <c r="E218" s="40"/>
      <c r="F218" s="40"/>
      <c r="G218" s="40"/>
      <c r="H218" s="40"/>
      <c r="I218" s="40"/>
      <c r="J218" s="40"/>
      <c r="K218" s="40"/>
      <c r="L218" s="40"/>
      <c r="M218" s="40"/>
      <c r="N218" s="40"/>
      <c r="O218" s="40"/>
      <c r="P218" s="40"/>
      <c r="Q218" s="40"/>
      <c r="R218" s="40"/>
      <c r="S218" s="40"/>
      <c r="T218" s="40"/>
      <c r="U218" s="40"/>
      <c r="V218" s="40"/>
      <c r="W218" s="40"/>
      <c r="X218" s="40"/>
      <c r="Y218" s="97"/>
      <c r="Z218" s="97"/>
      <c r="AA218" s="40"/>
      <c r="AB218" s="240">
        <v>5.8747261345852902E-3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9" customFormat="1" ht="16.2" thickBot="1" x14ac:dyDescent="0.35">
      <c r="A219" s="138"/>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126"/>
      <c r="AC219" s="10"/>
      <c r="AD219" s="5"/>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row>
    <row r="220" spans="1:262" x14ac:dyDescent="0.3">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134"/>
      <c r="AC220" s="4"/>
      <c r="AD220" s="5"/>
    </row>
    <row r="221" spans="1:262" x14ac:dyDescent="0.3">
      <c r="A221" s="7"/>
      <c r="B221" s="125" t="s">
        <v>39</v>
      </c>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140"/>
      <c r="AC221" s="10"/>
      <c r="AD221" s="5"/>
    </row>
    <row r="222" spans="1:262" s="23" customFormat="1" x14ac:dyDescent="0.3">
      <c r="A222" s="47"/>
      <c r="B222" s="40" t="s">
        <v>40</v>
      </c>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142">
        <f>(AB86+AB88+AB89+AB90+AB91)/-AB92</f>
        <v>1.9202976833513383</v>
      </c>
      <c r="AC222" s="43" t="s">
        <v>81</v>
      </c>
      <c r="AD222" s="22"/>
    </row>
    <row r="223" spans="1:262" s="23" customFormat="1" x14ac:dyDescent="0.3">
      <c r="A223" s="47"/>
      <c r="B223" s="40" t="s">
        <v>41</v>
      </c>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142">
        <v>2.46</v>
      </c>
      <c r="AC223" s="43" t="s">
        <v>81</v>
      </c>
      <c r="AD223" s="22"/>
    </row>
    <row r="224" spans="1:262" s="23" customFormat="1" x14ac:dyDescent="0.3">
      <c r="A224" s="47"/>
      <c r="B224" s="40" t="s">
        <v>144</v>
      </c>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141">
        <f>(AB86+AB88+AB89+AB90+AB91+AB92)/-(AB93)</f>
        <v>11.063492063492063</v>
      </c>
      <c r="AC224" s="43" t="s">
        <v>81</v>
      </c>
      <c r="AD224" s="22"/>
    </row>
    <row r="225" spans="1:30" s="23" customFormat="1" x14ac:dyDescent="0.3">
      <c r="A225" s="47"/>
      <c r="B225" s="40" t="s">
        <v>145</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v>17.100000000000001</v>
      </c>
      <c r="AC225" s="43" t="s">
        <v>81</v>
      </c>
      <c r="AD225" s="22"/>
    </row>
    <row r="226" spans="1:30" s="23" customFormat="1" x14ac:dyDescent="0.3">
      <c r="A226" s="47"/>
      <c r="B226" s="40" t="s">
        <v>146</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1">
        <f>(AB86+AB88+AB89+AB90+AB91+AB92+AB93)/-(AB95)</f>
        <v>17.655696202531647</v>
      </c>
      <c r="AC226" s="43" t="s">
        <v>81</v>
      </c>
      <c r="AD226" s="22"/>
    </row>
    <row r="227" spans="1:30" s="23" customFormat="1" x14ac:dyDescent="0.3">
      <c r="A227" s="47"/>
      <c r="B227" s="40" t="s">
        <v>147</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26.8</v>
      </c>
      <c r="AC227" s="43" t="s">
        <v>81</v>
      </c>
      <c r="AD227" s="22"/>
    </row>
    <row r="228" spans="1:30" s="23" customFormat="1" x14ac:dyDescent="0.3">
      <c r="A228" s="47"/>
      <c r="B228" s="40" t="s">
        <v>177</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(AB86+AB88+AB89+AB90+AB91+AB92+AB93+AB95)/-(AB96)</f>
        <v>15.968446601941748</v>
      </c>
      <c r="AC228" s="43" t="s">
        <v>81</v>
      </c>
      <c r="AD228" s="22"/>
    </row>
    <row r="229" spans="1:30" s="23" customFormat="1" x14ac:dyDescent="0.3">
      <c r="A229" s="47"/>
      <c r="B229" s="40" t="s">
        <v>178</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23.59</v>
      </c>
      <c r="AC229" s="43" t="s">
        <v>81</v>
      </c>
      <c r="AD229" s="22"/>
    </row>
    <row r="230" spans="1:30" s="23" customFormat="1" x14ac:dyDescent="0.3">
      <c r="A230" s="47"/>
      <c r="B230" s="40" t="s">
        <v>164</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(AB86+AB88+AB89+AB90+AB91+AB92+AB93+AB95+AB96)/-(AB105)</f>
        <v>12.139763779527559</v>
      </c>
      <c r="AC230" s="43" t="s">
        <v>81</v>
      </c>
      <c r="AD230" s="22"/>
    </row>
    <row r="231" spans="1:30" s="23" customFormat="1" x14ac:dyDescent="0.3">
      <c r="A231" s="47"/>
      <c r="B231" s="40" t="s">
        <v>165</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16.239999999999998</v>
      </c>
      <c r="AC231" s="43" t="s">
        <v>81</v>
      </c>
      <c r="AD231" s="22"/>
    </row>
    <row r="232" spans="1:30" s="23" customFormat="1" x14ac:dyDescent="0.3">
      <c r="A232" s="18"/>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21"/>
      <c r="AD232" s="22"/>
    </row>
    <row r="233" spans="1:30" s="23" customFormat="1" x14ac:dyDescent="0.3">
      <c r="A233" s="18"/>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1"/>
      <c r="AD233" s="22"/>
    </row>
    <row r="234" spans="1:30" s="23" customFormat="1" ht="18.600000000000001" thickBot="1" x14ac:dyDescent="0.4">
      <c r="A234" s="83"/>
      <c r="B234" s="84" t="str">
        <f>B131</f>
        <v>PM27 INVESTOR REPORT QUARTER ENDING SEPTEMBER 2023</v>
      </c>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7"/>
      <c r="AD234" s="22"/>
    </row>
    <row r="235" spans="1:30" x14ac:dyDescent="0.3">
      <c r="A235" s="119"/>
      <c r="B235" s="120" t="s">
        <v>42</v>
      </c>
      <c r="C235" s="143"/>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v>45198</v>
      </c>
      <c r="AA235" s="121"/>
      <c r="AB235" s="121"/>
      <c r="AC235" s="123"/>
      <c r="AD235" s="5"/>
    </row>
    <row r="236" spans="1:30" x14ac:dyDescent="0.3">
      <c r="A236" s="145"/>
      <c r="B236" s="146"/>
      <c r="C236" s="147"/>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9"/>
      <c r="AB236" s="9"/>
      <c r="AC236" s="10"/>
      <c r="AD236" s="5"/>
    </row>
    <row r="237" spans="1:30" s="23" customFormat="1" x14ac:dyDescent="0.3">
      <c r="A237" s="47"/>
      <c r="B237" s="40" t="s">
        <v>43</v>
      </c>
      <c r="C237" s="149"/>
      <c r="D237" s="73"/>
      <c r="E237" s="73"/>
      <c r="F237" s="73"/>
      <c r="G237" s="73"/>
      <c r="H237" s="73"/>
      <c r="I237" s="73"/>
      <c r="J237" s="73"/>
      <c r="K237" s="73"/>
      <c r="L237" s="73"/>
      <c r="M237" s="73"/>
      <c r="N237" s="73"/>
      <c r="O237" s="73"/>
      <c r="P237" s="73"/>
      <c r="Q237" s="73"/>
      <c r="R237" s="73"/>
      <c r="S237" s="73"/>
      <c r="T237" s="73"/>
      <c r="U237" s="73"/>
      <c r="V237" s="73"/>
      <c r="W237" s="73"/>
      <c r="X237" s="73"/>
      <c r="Y237" s="73"/>
      <c r="Z237" s="67">
        <v>3.5749999999999997E-2</v>
      </c>
      <c r="AA237" s="40"/>
      <c r="AB237" s="40"/>
      <c r="AC237" s="43"/>
      <c r="AD237" s="22"/>
    </row>
    <row r="238" spans="1:30" s="23" customFormat="1" x14ac:dyDescent="0.3">
      <c r="A238" s="47"/>
      <c r="B238" s="40" t="s">
        <v>132</v>
      </c>
      <c r="C238" s="149"/>
      <c r="D238" s="73"/>
      <c r="E238" s="73"/>
      <c r="F238" s="73"/>
      <c r="G238" s="73"/>
      <c r="H238" s="73"/>
      <c r="I238" s="73"/>
      <c r="J238" s="73"/>
      <c r="K238" s="73"/>
      <c r="L238" s="73"/>
      <c r="M238" s="73"/>
      <c r="N238" s="73"/>
      <c r="O238" s="73"/>
      <c r="P238" s="73"/>
      <c r="Q238" s="73"/>
      <c r="R238" s="73"/>
      <c r="S238" s="73"/>
      <c r="T238" s="73"/>
      <c r="U238" s="73"/>
      <c r="V238" s="73"/>
      <c r="W238" s="73"/>
      <c r="X238" s="73"/>
      <c r="Y238" s="73"/>
      <c r="Z238" s="67">
        <v>1.3036129402559968E-2</v>
      </c>
      <c r="AA238" s="40"/>
      <c r="AB238" s="40"/>
      <c r="AC238" s="43"/>
      <c r="AD238" s="22"/>
    </row>
    <row r="239" spans="1:30" s="23" customFormat="1" x14ac:dyDescent="0.3">
      <c r="A239" s="47"/>
      <c r="B239" s="40" t="s">
        <v>44</v>
      </c>
      <c r="C239" s="149"/>
      <c r="D239" s="73"/>
      <c r="E239" s="73"/>
      <c r="F239" s="73"/>
      <c r="G239" s="73"/>
      <c r="H239" s="73"/>
      <c r="I239" s="73"/>
      <c r="J239" s="73"/>
      <c r="K239" s="73"/>
      <c r="L239" s="73"/>
      <c r="M239" s="73"/>
      <c r="N239" s="73"/>
      <c r="O239" s="73"/>
      <c r="P239" s="73"/>
      <c r="Q239" s="73"/>
      <c r="R239" s="73"/>
      <c r="S239" s="73"/>
      <c r="T239" s="73"/>
      <c r="U239" s="73"/>
      <c r="V239" s="73"/>
      <c r="W239" s="73"/>
      <c r="X239" s="73"/>
      <c r="Y239" s="73"/>
      <c r="Z239" s="67">
        <f>Z237-Z238</f>
        <v>2.2713870597440029E-2</v>
      </c>
      <c r="AA239" s="40"/>
      <c r="AB239" s="40"/>
      <c r="AC239" s="43"/>
      <c r="AD239" s="22"/>
    </row>
    <row r="240" spans="1:30" s="23" customFormat="1" x14ac:dyDescent="0.3">
      <c r="A240" s="47"/>
      <c r="B240" s="40" t="s">
        <v>45</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3.7664140514417785E-2</v>
      </c>
      <c r="AA240" s="40"/>
      <c r="AB240" s="40"/>
      <c r="AC240" s="43"/>
      <c r="AD240" s="22"/>
    </row>
    <row r="241" spans="1:30" s="23" customFormat="1" x14ac:dyDescent="0.3">
      <c r="A241" s="47"/>
      <c r="B241" s="40" t="s">
        <v>133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f>+AB35</f>
        <v>6.4121936001370047E-2</v>
      </c>
      <c r="AA241" s="40"/>
      <c r="AB241" s="40"/>
      <c r="AC241" s="43"/>
      <c r="AD241" s="22"/>
    </row>
    <row r="242" spans="1:30" s="23" customFormat="1" x14ac:dyDescent="0.3">
      <c r="A242" s="47"/>
      <c r="B242" s="40" t="s">
        <v>363</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v>0</v>
      </c>
      <c r="AA242" s="40"/>
      <c r="AB242" s="40"/>
      <c r="AC242" s="43"/>
      <c r="AD242" s="22"/>
    </row>
    <row r="243" spans="1:30" s="23" customFormat="1" x14ac:dyDescent="0.3">
      <c r="A243" s="47"/>
      <c r="B243" s="40" t="s">
        <v>119</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(+AB86+AB88+AB91)/R66</f>
        <v>2.5265283154210519E-2</v>
      </c>
      <c r="AA243" s="40"/>
      <c r="AB243" s="40"/>
      <c r="AC243" s="43"/>
      <c r="AD243" s="22"/>
    </row>
    <row r="244" spans="1:30" s="23" customFormat="1" x14ac:dyDescent="0.3">
      <c r="A244" s="47"/>
      <c r="B244" s="40" t="s">
        <v>112</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150">
        <v>53797</v>
      </c>
      <c r="AA244" s="40"/>
      <c r="AB244" s="40"/>
      <c r="AC244" s="43"/>
      <c r="AD244" s="22"/>
    </row>
    <row r="245" spans="1:30" s="23" customFormat="1" x14ac:dyDescent="0.3">
      <c r="A245" s="47"/>
      <c r="B245" s="40" t="s">
        <v>148</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150">
        <v>53797</v>
      </c>
      <c r="AA245" s="40"/>
      <c r="AB245" s="40"/>
      <c r="AC245" s="43"/>
      <c r="AD245" s="22"/>
    </row>
    <row r="246" spans="1:30" s="23" customFormat="1" x14ac:dyDescent="0.3">
      <c r="A246" s="47"/>
      <c r="B246" s="40" t="s">
        <v>149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150">
        <v>53797</v>
      </c>
      <c r="AA246" s="40"/>
      <c r="AB246" s="40"/>
      <c r="AC246" s="43"/>
      <c r="AD246" s="22"/>
    </row>
    <row r="247" spans="1:30" s="23" customFormat="1" x14ac:dyDescent="0.3">
      <c r="A247" s="47"/>
      <c r="B247" s="40" t="s">
        <v>179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53797</v>
      </c>
      <c r="AA247" s="40"/>
      <c r="AB247" s="40"/>
      <c r="AC247" s="43"/>
      <c r="AD247" s="22"/>
    </row>
    <row r="248" spans="1:30" s="23" customFormat="1" x14ac:dyDescent="0.3">
      <c r="A248" s="47"/>
      <c r="B248" s="40" t="s">
        <v>166</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53797</v>
      </c>
      <c r="AA248" s="40"/>
      <c r="AB248" s="40"/>
      <c r="AC248" s="43"/>
      <c r="AD248" s="22"/>
    </row>
    <row r="249" spans="1:30" s="23" customFormat="1" x14ac:dyDescent="0.3">
      <c r="A249" s="47"/>
      <c r="B249" s="40" t="s">
        <v>194</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53797</v>
      </c>
      <c r="AA249" s="40"/>
      <c r="AB249" s="40"/>
      <c r="AC249" s="43"/>
      <c r="AD249" s="22"/>
    </row>
    <row r="250" spans="1:30" s="23" customFormat="1" x14ac:dyDescent="0.3">
      <c r="A250" s="47"/>
      <c r="B250" s="40" t="s">
        <v>195</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53797</v>
      </c>
      <c r="AA250" s="40"/>
      <c r="AB250" s="40"/>
      <c r="AC250" s="43"/>
      <c r="AD250" s="22"/>
    </row>
    <row r="251" spans="1:30" s="23" customFormat="1" x14ac:dyDescent="0.3">
      <c r="A251" s="47"/>
      <c r="B251" s="40" t="s">
        <v>47</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71">
        <v>21.18</v>
      </c>
      <c r="AA251" s="40" t="s">
        <v>76</v>
      </c>
      <c r="AB251" s="40"/>
      <c r="AC251" s="43"/>
      <c r="AD251" s="22"/>
    </row>
    <row r="252" spans="1:30" s="23" customFormat="1" x14ac:dyDescent="0.3">
      <c r="A252" s="47"/>
      <c r="B252" s="40" t="s">
        <v>48</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71">
        <v>17.8</v>
      </c>
      <c r="AA252" s="40" t="s">
        <v>76</v>
      </c>
      <c r="AB252" s="40"/>
      <c r="AC252" s="43"/>
      <c r="AD252" s="22"/>
    </row>
    <row r="253" spans="1:30" s="23" customFormat="1" x14ac:dyDescent="0.3">
      <c r="A253" s="47"/>
      <c r="B253" s="40" t="s">
        <v>49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67">
        <f>(+T57+V57+Z57)/(R57+R63+R64)</f>
        <v>1.0115079708621393E-2</v>
      </c>
      <c r="AA253" s="40"/>
      <c r="AB253" s="40"/>
      <c r="AC253" s="43"/>
      <c r="AD253" s="22"/>
    </row>
    <row r="254" spans="1:30" s="23" customFormat="1" x14ac:dyDescent="0.3">
      <c r="A254" s="47"/>
      <c r="B254" s="40" t="s">
        <v>50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67">
        <v>4.8399999999999999E-2</v>
      </c>
      <c r="AA254" s="40"/>
      <c r="AB254" s="40"/>
      <c r="AC254" s="43"/>
      <c r="AD254" s="22"/>
    </row>
    <row r="255" spans="1:30" x14ac:dyDescent="0.3">
      <c r="A255" s="145"/>
      <c r="B255" s="151"/>
      <c r="C255" s="151"/>
      <c r="D255" s="99"/>
      <c r="E255" s="99"/>
      <c r="F255" s="99"/>
      <c r="G255" s="99"/>
      <c r="H255" s="99"/>
      <c r="I255" s="99"/>
      <c r="J255" s="99"/>
      <c r="K255" s="99"/>
      <c r="L255" s="99"/>
      <c r="M255" s="99"/>
      <c r="N255" s="99"/>
      <c r="O255" s="99"/>
      <c r="P255" s="99"/>
      <c r="Q255" s="99"/>
      <c r="R255" s="99"/>
      <c r="S255" s="99"/>
      <c r="T255" s="99"/>
      <c r="U255" s="99"/>
      <c r="V255" s="99"/>
      <c r="W255" s="99"/>
      <c r="X255" s="99"/>
      <c r="Y255" s="99"/>
      <c r="Z255" s="126"/>
      <c r="AA255" s="99"/>
      <c r="AB255" s="152"/>
      <c r="AC255" s="10"/>
      <c r="AD255" s="5"/>
    </row>
    <row r="256" spans="1:30" x14ac:dyDescent="0.3">
      <c r="A256" s="153"/>
      <c r="B256" s="102" t="s">
        <v>51</v>
      </c>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t="s">
        <v>69</v>
      </c>
      <c r="Z256" s="154" t="s">
        <v>74</v>
      </c>
      <c r="AA256" s="34"/>
      <c r="AB256" s="34"/>
      <c r="AC256" s="36"/>
      <c r="AD256" s="5"/>
    </row>
    <row r="257" spans="1:30" s="23" customFormat="1" x14ac:dyDescent="0.3">
      <c r="A257" s="155"/>
      <c r="B257" s="37" t="s">
        <v>52</v>
      </c>
      <c r="C257" s="10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v>0</v>
      </c>
      <c r="Z257" s="157">
        <v>0</v>
      </c>
      <c r="AA257" s="37"/>
      <c r="AB257" s="158"/>
      <c r="AC257" s="159"/>
      <c r="AD257" s="22"/>
    </row>
    <row r="258" spans="1:30" s="23" customFormat="1" x14ac:dyDescent="0.3">
      <c r="A258" s="160"/>
      <c r="B258" s="40" t="s">
        <v>97</v>
      </c>
      <c r="C258" s="97"/>
      <c r="D258" s="48"/>
      <c r="E258" s="48"/>
      <c r="F258" s="48"/>
      <c r="G258" s="48"/>
      <c r="H258" s="48"/>
      <c r="I258" s="48"/>
      <c r="J258" s="48"/>
      <c r="K258" s="48"/>
      <c r="L258" s="48"/>
      <c r="M258" s="48"/>
      <c r="N258" s="48"/>
      <c r="O258" s="48"/>
      <c r="P258" s="48"/>
      <c r="Q258" s="48"/>
      <c r="R258" s="48"/>
      <c r="S258" s="48"/>
      <c r="T258" s="48"/>
      <c r="U258" s="48"/>
      <c r="V258" s="48"/>
      <c r="W258" s="48"/>
      <c r="X258" s="48"/>
      <c r="Y258" s="161">
        <f>+X310</f>
        <v>3</v>
      </c>
      <c r="Z258" s="162">
        <f>+Z310</f>
        <v>393</v>
      </c>
      <c r="AA258" s="40"/>
      <c r="AB258" s="163"/>
      <c r="AC258" s="164"/>
      <c r="AD258" s="22"/>
    </row>
    <row r="259" spans="1:30" s="23" customFormat="1" x14ac:dyDescent="0.3">
      <c r="A259" s="160"/>
      <c r="B259" s="40" t="s">
        <v>53</v>
      </c>
      <c r="C259" s="97"/>
      <c r="D259" s="48"/>
      <c r="E259" s="48"/>
      <c r="F259" s="48"/>
      <c r="G259" s="48"/>
      <c r="H259" s="48"/>
      <c r="I259" s="48"/>
      <c r="J259" s="48"/>
      <c r="K259" s="48"/>
      <c r="L259" s="48"/>
      <c r="M259" s="48"/>
      <c r="N259" s="48"/>
      <c r="O259" s="48"/>
      <c r="P259" s="48"/>
      <c r="Q259" s="48"/>
      <c r="R259" s="48"/>
      <c r="S259" s="48"/>
      <c r="T259" s="48"/>
      <c r="U259" s="48"/>
      <c r="V259" s="48"/>
      <c r="W259" s="48"/>
      <c r="X259" s="48"/>
      <c r="Y259" s="161">
        <f>+X332</f>
        <v>0</v>
      </c>
      <c r="Z259" s="162">
        <f>+Z332</f>
        <v>0</v>
      </c>
      <c r="AA259" s="40"/>
      <c r="AB259" s="163"/>
      <c r="AC259" s="164"/>
      <c r="AD259" s="22"/>
    </row>
    <row r="260" spans="1:30" x14ac:dyDescent="0.3">
      <c r="A260" s="165"/>
      <c r="B260" s="166" t="s">
        <v>167</v>
      </c>
      <c r="C260" s="167"/>
      <c r="D260" s="59"/>
      <c r="E260" s="59"/>
      <c r="F260" s="59"/>
      <c r="G260" s="59"/>
      <c r="H260" s="59"/>
      <c r="I260" s="59"/>
      <c r="J260" s="59"/>
      <c r="K260" s="59"/>
      <c r="L260" s="59"/>
      <c r="M260" s="59"/>
      <c r="N260" s="59"/>
      <c r="O260" s="59"/>
      <c r="P260" s="59"/>
      <c r="Q260" s="59"/>
      <c r="R260" s="59"/>
      <c r="S260" s="59"/>
      <c r="T260" s="59"/>
      <c r="U260" s="59"/>
      <c r="V260" s="59"/>
      <c r="W260" s="59"/>
      <c r="X260" s="59"/>
      <c r="Y260" s="112"/>
      <c r="Z260" s="162">
        <f>Z57</f>
        <v>0</v>
      </c>
      <c r="AA260" s="59"/>
      <c r="AB260" s="168"/>
      <c r="AC260" s="169"/>
      <c r="AD260" s="5"/>
    </row>
    <row r="261" spans="1:30" x14ac:dyDescent="0.3">
      <c r="A261" s="165"/>
      <c r="B261" s="166" t="s">
        <v>261</v>
      </c>
      <c r="C261" s="167"/>
      <c r="D261" s="59"/>
      <c r="E261" s="59"/>
      <c r="F261" s="59"/>
      <c r="G261" s="59"/>
      <c r="H261" s="59"/>
      <c r="I261" s="59"/>
      <c r="J261" s="59"/>
      <c r="K261" s="59"/>
      <c r="L261" s="59"/>
      <c r="M261" s="59"/>
      <c r="N261" s="59"/>
      <c r="O261" s="59"/>
      <c r="P261" s="59"/>
      <c r="Q261" s="59"/>
      <c r="R261" s="59"/>
      <c r="S261" s="59"/>
      <c r="T261" s="59"/>
      <c r="U261" s="59"/>
      <c r="V261" s="59"/>
      <c r="W261" s="59"/>
      <c r="X261" s="59"/>
      <c r="Y261" s="112"/>
      <c r="Z261" s="162">
        <f>-T63</f>
        <v>0</v>
      </c>
      <c r="AA261" s="59"/>
      <c r="AB261" s="168"/>
      <c r="AC261" s="169"/>
      <c r="AD261" s="5"/>
    </row>
    <row r="262" spans="1:30" x14ac:dyDescent="0.3">
      <c r="A262" s="170"/>
      <c r="B262" s="166" t="s">
        <v>54</v>
      </c>
      <c r="C262" s="171"/>
      <c r="D262" s="59"/>
      <c r="E262" s="59"/>
      <c r="F262" s="59"/>
      <c r="G262" s="59"/>
      <c r="H262" s="59"/>
      <c r="I262" s="59"/>
      <c r="J262" s="59"/>
      <c r="K262" s="59"/>
      <c r="L262" s="59"/>
      <c r="M262" s="59"/>
      <c r="N262" s="59"/>
      <c r="O262" s="59"/>
      <c r="P262" s="59"/>
      <c r="Q262" s="59"/>
      <c r="R262" s="59"/>
      <c r="S262" s="59"/>
      <c r="T262" s="59"/>
      <c r="U262" s="59"/>
      <c r="V262" s="59"/>
      <c r="W262" s="59"/>
      <c r="X262" s="59"/>
      <c r="Y262" s="112"/>
      <c r="Z262" s="172"/>
      <c r="AA262" s="59"/>
      <c r="AB262" s="168"/>
      <c r="AC262" s="173"/>
      <c r="AD262" s="5"/>
    </row>
    <row r="263" spans="1:30" s="23" customFormat="1" x14ac:dyDescent="0.3">
      <c r="A263" s="174"/>
      <c r="B263" s="40" t="s">
        <v>55</v>
      </c>
      <c r="C263" s="40"/>
      <c r="D263" s="40"/>
      <c r="E263" s="40"/>
      <c r="F263" s="40"/>
      <c r="G263" s="40"/>
      <c r="H263" s="40"/>
      <c r="I263" s="40"/>
      <c r="J263" s="40"/>
      <c r="K263" s="40"/>
      <c r="L263" s="40"/>
      <c r="M263" s="40"/>
      <c r="N263" s="40"/>
      <c r="O263" s="40"/>
      <c r="P263" s="40"/>
      <c r="Q263" s="40"/>
      <c r="R263" s="40"/>
      <c r="S263" s="40"/>
      <c r="T263" s="40"/>
      <c r="U263" s="40"/>
      <c r="V263" s="40"/>
      <c r="W263" s="40"/>
      <c r="X263" s="40"/>
      <c r="Y263" s="48"/>
      <c r="Z263" s="162">
        <f>AB166</f>
        <v>1</v>
      </c>
      <c r="AA263" s="40"/>
      <c r="AB263" s="163"/>
      <c r="AC263" s="175"/>
      <c r="AD263" s="22"/>
    </row>
    <row r="264" spans="1:30" s="23" customFormat="1" x14ac:dyDescent="0.3">
      <c r="A264" s="160"/>
      <c r="B264" s="40" t="s">
        <v>56</v>
      </c>
      <c r="C264" s="97"/>
      <c r="D264" s="40"/>
      <c r="E264" s="40"/>
      <c r="F264" s="40"/>
      <c r="G264" s="40"/>
      <c r="H264" s="40"/>
      <c r="I264" s="40"/>
      <c r="J264" s="40"/>
      <c r="K264" s="40"/>
      <c r="L264" s="40"/>
      <c r="M264" s="40"/>
      <c r="N264" s="40"/>
      <c r="O264" s="40"/>
      <c r="P264" s="40"/>
      <c r="Q264" s="40"/>
      <c r="R264" s="40"/>
      <c r="S264" s="40"/>
      <c r="T264" s="40"/>
      <c r="U264" s="40"/>
      <c r="V264" s="40"/>
      <c r="W264" s="40"/>
      <c r="X264" s="40"/>
      <c r="Y264" s="48"/>
      <c r="Z264" s="162">
        <f>Z263+'June 2023'!Z264</f>
        <v>4</v>
      </c>
      <c r="AA264" s="40"/>
      <c r="AB264" s="163"/>
      <c r="AC264" s="175"/>
      <c r="AD264" s="22"/>
    </row>
    <row r="265" spans="1:30" x14ac:dyDescent="0.3">
      <c r="A265" s="170"/>
      <c r="B265" s="166" t="s">
        <v>125</v>
      </c>
      <c r="C265" s="171"/>
      <c r="D265" s="59"/>
      <c r="E265" s="59"/>
      <c r="F265" s="59"/>
      <c r="G265" s="59"/>
      <c r="H265" s="59"/>
      <c r="I265" s="59"/>
      <c r="J265" s="59"/>
      <c r="K265" s="59"/>
      <c r="L265" s="59"/>
      <c r="M265" s="59"/>
      <c r="N265" s="59"/>
      <c r="O265" s="59"/>
      <c r="P265" s="59"/>
      <c r="Q265" s="59"/>
      <c r="R265" s="59"/>
      <c r="S265" s="59"/>
      <c r="T265" s="59"/>
      <c r="U265" s="59"/>
      <c r="V265" s="59"/>
      <c r="W265" s="59"/>
      <c r="X265" s="59"/>
      <c r="Y265" s="176"/>
      <c r="Z265" s="172"/>
      <c r="AA265" s="59"/>
      <c r="AB265" s="168"/>
      <c r="AC265" s="173"/>
      <c r="AD265" s="5"/>
    </row>
    <row r="266" spans="1:30" s="23" customFormat="1" x14ac:dyDescent="0.3">
      <c r="A266" s="174"/>
      <c r="B266" s="40" t="s">
        <v>134</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v>0</v>
      </c>
      <c r="Z266" s="162">
        <v>0</v>
      </c>
      <c r="AA266" s="40"/>
      <c r="AB266" s="163"/>
      <c r="AC266" s="175"/>
      <c r="AD266" s="22"/>
    </row>
    <row r="267" spans="1:30" s="23" customFormat="1" x14ac:dyDescent="0.3">
      <c r="A267" s="160"/>
      <c r="B267" s="40" t="s">
        <v>57</v>
      </c>
      <c r="C267" s="70"/>
      <c r="D267" s="40"/>
      <c r="E267" s="40"/>
      <c r="F267" s="40"/>
      <c r="G267" s="40"/>
      <c r="H267" s="40"/>
      <c r="I267" s="40"/>
      <c r="J267" s="40"/>
      <c r="K267" s="40"/>
      <c r="L267" s="40"/>
      <c r="M267" s="40"/>
      <c r="N267" s="40"/>
      <c r="O267" s="40"/>
      <c r="P267" s="40"/>
      <c r="Q267" s="40"/>
      <c r="R267" s="40"/>
      <c r="S267" s="40"/>
      <c r="T267" s="40"/>
      <c r="U267" s="40"/>
      <c r="V267" s="40"/>
      <c r="W267" s="40"/>
      <c r="X267" s="40"/>
      <c r="Y267" s="40"/>
      <c r="Z267" s="177">
        <v>0</v>
      </c>
      <c r="AA267" s="40"/>
      <c r="AB267" s="163"/>
      <c r="AC267" s="175"/>
      <c r="AD267" s="22"/>
    </row>
    <row r="268" spans="1:30" s="23" customFormat="1" x14ac:dyDescent="0.3">
      <c r="A268" s="160"/>
      <c r="B268" s="40" t="s">
        <v>58</v>
      </c>
      <c r="C268" s="70"/>
      <c r="D268" s="40"/>
      <c r="E268" s="40"/>
      <c r="F268" s="40"/>
      <c r="G268" s="40"/>
      <c r="H268" s="40"/>
      <c r="I268" s="40"/>
      <c r="J268" s="40"/>
      <c r="K268" s="40"/>
      <c r="L268" s="40"/>
      <c r="M268" s="40"/>
      <c r="N268" s="40"/>
      <c r="O268" s="40"/>
      <c r="P268" s="40"/>
      <c r="Q268" s="40"/>
      <c r="R268" s="40"/>
      <c r="S268" s="40"/>
      <c r="T268" s="40"/>
      <c r="U268" s="40"/>
      <c r="V268" s="40"/>
      <c r="W268" s="40"/>
      <c r="X268" s="40"/>
      <c r="Y268" s="40"/>
      <c r="Z268" s="177">
        <v>0</v>
      </c>
      <c r="AA268" s="40"/>
      <c r="AB268" s="163"/>
      <c r="AC268" s="175"/>
      <c r="AD268" s="22"/>
    </row>
    <row r="269" spans="1:30" x14ac:dyDescent="0.3">
      <c r="A269" s="165"/>
      <c r="B269" s="166" t="s">
        <v>116</v>
      </c>
      <c r="C269" s="178"/>
      <c r="D269" s="59"/>
      <c r="E269" s="59"/>
      <c r="F269" s="59"/>
      <c r="G269" s="59"/>
      <c r="H269" s="59"/>
      <c r="I269" s="59"/>
      <c r="J269" s="59"/>
      <c r="K269" s="59"/>
      <c r="L269" s="59"/>
      <c r="M269" s="59"/>
      <c r="N269" s="59"/>
      <c r="O269" s="59"/>
      <c r="P269" s="59"/>
      <c r="Q269" s="59"/>
      <c r="R269" s="59"/>
      <c r="S269" s="59"/>
      <c r="T269" s="59"/>
      <c r="U269" s="59"/>
      <c r="V269" s="59"/>
      <c r="W269" s="59"/>
      <c r="X269" s="59"/>
      <c r="Y269" s="112"/>
      <c r="Z269" s="179"/>
      <c r="AA269" s="59"/>
      <c r="AB269" s="168"/>
      <c r="AC269" s="173"/>
      <c r="AD269" s="5"/>
    </row>
    <row r="270" spans="1:30" s="23" customFormat="1" x14ac:dyDescent="0.3">
      <c r="A270" s="160"/>
      <c r="B270" s="40" t="s">
        <v>134</v>
      </c>
      <c r="C270" s="7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0" s="23" customFormat="1" x14ac:dyDescent="0.3">
      <c r="A271" s="160"/>
      <c r="B271" s="40" t="s">
        <v>117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71"/>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x14ac:dyDescent="0.3">
      <c r="A273" s="165"/>
      <c r="B273" s="171"/>
      <c r="C273" s="178"/>
      <c r="D273" s="59"/>
      <c r="E273" s="59"/>
      <c r="F273" s="59"/>
      <c r="G273" s="59"/>
      <c r="H273" s="59"/>
      <c r="I273" s="59"/>
      <c r="J273" s="59"/>
      <c r="K273" s="59"/>
      <c r="L273" s="59"/>
      <c r="M273" s="59"/>
      <c r="N273" s="59"/>
      <c r="O273" s="59"/>
      <c r="P273" s="59"/>
      <c r="Q273" s="59"/>
      <c r="R273" s="59"/>
      <c r="S273" s="59"/>
      <c r="T273" s="59"/>
      <c r="U273" s="59"/>
      <c r="V273" s="59"/>
      <c r="W273" s="59"/>
      <c r="X273" s="59"/>
      <c r="Y273" s="59"/>
      <c r="Z273" s="180"/>
      <c r="AA273" s="59"/>
      <c r="AB273" s="168"/>
      <c r="AC273" s="173"/>
      <c r="AD273" s="5"/>
    </row>
    <row r="274" spans="1:30" ht="18" x14ac:dyDescent="0.35">
      <c r="A274" s="165"/>
      <c r="B274" s="181" t="s">
        <v>109</v>
      </c>
      <c r="C274" s="178"/>
      <c r="D274" s="59"/>
      <c r="E274" s="59"/>
      <c r="F274" s="59"/>
      <c r="G274" s="59"/>
      <c r="H274" s="59"/>
      <c r="I274" s="59"/>
      <c r="J274" s="59"/>
      <c r="K274" s="59"/>
      <c r="L274" s="182"/>
      <c r="M274" s="182"/>
      <c r="N274" s="182"/>
      <c r="O274" s="182"/>
      <c r="P274" s="261" t="s">
        <v>168</v>
      </c>
      <c r="Q274" s="182"/>
      <c r="R274" s="182"/>
      <c r="S274" s="182"/>
      <c r="T274" s="182"/>
      <c r="U274" s="182"/>
      <c r="V274" s="182"/>
      <c r="W274" s="59"/>
      <c r="X274" s="183"/>
      <c r="Y274" s="182"/>
      <c r="Z274" s="180"/>
      <c r="AA274" s="59"/>
      <c r="AB274" s="168"/>
      <c r="AC274" s="173"/>
      <c r="AD274" s="5"/>
    </row>
    <row r="275" spans="1:30" ht="18" x14ac:dyDescent="0.35">
      <c r="A275" s="184"/>
      <c r="B275" s="185"/>
      <c r="C275" s="186"/>
      <c r="D275" s="99"/>
      <c r="E275" s="99"/>
      <c r="F275" s="99"/>
      <c r="G275" s="99"/>
      <c r="H275" s="99"/>
      <c r="I275" s="99"/>
      <c r="J275" s="99"/>
      <c r="K275" s="99"/>
      <c r="L275" s="187"/>
      <c r="M275" s="187"/>
      <c r="N275" s="187"/>
      <c r="O275" s="187"/>
      <c r="P275" s="187"/>
      <c r="Q275" s="187"/>
      <c r="R275" s="187"/>
      <c r="S275" s="187"/>
      <c r="T275" s="187"/>
      <c r="U275" s="187"/>
      <c r="V275" s="187"/>
      <c r="W275" s="99"/>
      <c r="X275" s="99"/>
      <c r="Y275" s="99"/>
      <c r="Z275" s="188"/>
      <c r="AA275" s="99"/>
      <c r="AB275" s="152"/>
      <c r="AC275" s="189"/>
      <c r="AD275" s="5"/>
    </row>
    <row r="276" spans="1:30" x14ac:dyDescent="0.3">
      <c r="A276" s="33"/>
      <c r="B276" s="102" t="s">
        <v>126</v>
      </c>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54" t="s">
        <v>69</v>
      </c>
      <c r="Y276" s="103" t="s">
        <v>70</v>
      </c>
      <c r="Z276" s="154" t="s">
        <v>75</v>
      </c>
      <c r="AA276" s="103" t="s">
        <v>70</v>
      </c>
      <c r="AB276" s="34"/>
      <c r="AC276" s="190"/>
      <c r="AD276" s="5"/>
    </row>
    <row r="277" spans="1:30" s="23" customFormat="1" x14ac:dyDescent="0.3">
      <c r="A277" s="18"/>
      <c r="B277" s="106" t="s">
        <v>59</v>
      </c>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06">
        <f t="shared" ref="X277:X284" si="0">+X289+X301+X323</f>
        <v>3382</v>
      </c>
      <c r="Y277" s="192">
        <f>X277/$X$286</f>
        <v>0.99705188679245282</v>
      </c>
      <c r="Z277" s="107">
        <f t="shared" ref="Z277:Z284" si="1">+Z289+Z301+Z323</f>
        <v>637947</v>
      </c>
      <c r="AA277" s="192">
        <f>Z277/$Z$286</f>
        <v>0.99630804405983964</v>
      </c>
      <c r="AB277" s="158"/>
      <c r="AC277" s="193"/>
      <c r="AD277" s="22"/>
    </row>
    <row r="278" spans="1:30" s="23" customFormat="1" x14ac:dyDescent="0.3">
      <c r="A278" s="47"/>
      <c r="B278" s="97" t="s">
        <v>60</v>
      </c>
      <c r="C278" s="194"/>
      <c r="D278" s="194"/>
      <c r="E278" s="194"/>
      <c r="F278" s="194"/>
      <c r="G278" s="194"/>
      <c r="H278" s="194"/>
      <c r="I278" s="194"/>
      <c r="J278" s="194"/>
      <c r="K278" s="194"/>
      <c r="L278" s="194"/>
      <c r="M278" s="194"/>
      <c r="N278" s="194"/>
      <c r="O278" s="194"/>
      <c r="P278" s="194"/>
      <c r="Q278" s="194"/>
      <c r="R278" s="194"/>
      <c r="S278" s="194"/>
      <c r="T278" s="194"/>
      <c r="U278" s="194"/>
      <c r="V278" s="194"/>
      <c r="W278" s="194"/>
      <c r="X278" s="195">
        <f t="shared" si="0"/>
        <v>5</v>
      </c>
      <c r="Y278" s="196">
        <f t="shared" ref="Y278:Y284" si="2">X278/$X$286</f>
        <v>1.474056603773585E-3</v>
      </c>
      <c r="Z278" s="197">
        <f t="shared" si="1"/>
        <v>1333</v>
      </c>
      <c r="AA278" s="198">
        <f>Z278/$Z$286</f>
        <v>2.0818008748873596E-3</v>
      </c>
      <c r="AB278" s="163"/>
      <c r="AC278" s="175"/>
      <c r="AD278" s="22"/>
    </row>
    <row r="279" spans="1:30" s="23" customFormat="1" x14ac:dyDescent="0.3">
      <c r="A279" s="47"/>
      <c r="B279" s="97" t="s">
        <v>61</v>
      </c>
      <c r="C279" s="194"/>
      <c r="D279" s="194"/>
      <c r="E279" s="194"/>
      <c r="F279" s="194"/>
      <c r="G279" s="194"/>
      <c r="H279" s="194"/>
      <c r="I279" s="194"/>
      <c r="J279" s="194"/>
      <c r="K279" s="194"/>
      <c r="L279" s="194"/>
      <c r="M279" s="194"/>
      <c r="N279" s="194"/>
      <c r="O279" s="194"/>
      <c r="P279" s="194"/>
      <c r="Q279" s="194"/>
      <c r="R279" s="194"/>
      <c r="S279" s="194"/>
      <c r="T279" s="194"/>
      <c r="U279" s="194"/>
      <c r="V279" s="194"/>
      <c r="W279" s="194"/>
      <c r="X279" s="199">
        <f t="shared" si="0"/>
        <v>1</v>
      </c>
      <c r="Y279" s="200">
        <f t="shared" si="2"/>
        <v>2.9481132075471697E-4</v>
      </c>
      <c r="Z279" s="131">
        <f t="shared" si="1"/>
        <v>54</v>
      </c>
      <c r="AA279" s="198">
        <f t="shared" ref="AA279:AA284" si="3">Z279/$Z$286</f>
        <v>8.4334018937672471E-5</v>
      </c>
      <c r="AB279" s="163"/>
      <c r="AC279" s="175"/>
      <c r="AD279" s="22"/>
    </row>
    <row r="280" spans="1:30" s="23" customFormat="1" x14ac:dyDescent="0.3">
      <c r="A280" s="47"/>
      <c r="B280" s="97" t="s">
        <v>100</v>
      </c>
      <c r="C280" s="194"/>
      <c r="D280" s="194"/>
      <c r="E280" s="194"/>
      <c r="F280" s="194"/>
      <c r="G280" s="194"/>
      <c r="H280" s="194"/>
      <c r="I280" s="194"/>
      <c r="J280" s="194"/>
      <c r="K280" s="194"/>
      <c r="L280" s="194"/>
      <c r="M280" s="194"/>
      <c r="N280" s="194"/>
      <c r="O280" s="194"/>
      <c r="P280" s="194"/>
      <c r="Q280" s="194"/>
      <c r="R280" s="194"/>
      <c r="S280" s="194"/>
      <c r="T280" s="194"/>
      <c r="U280" s="194"/>
      <c r="V280" s="194"/>
      <c r="W280" s="194"/>
      <c r="X280" s="199">
        <f t="shared" si="0"/>
        <v>3</v>
      </c>
      <c r="Y280" s="200">
        <f t="shared" si="2"/>
        <v>8.8443396226415096E-4</v>
      </c>
      <c r="Z280" s="131">
        <f t="shared" si="1"/>
        <v>914</v>
      </c>
      <c r="AA280" s="198">
        <f t="shared" si="3"/>
        <v>1.4274313575746785E-3</v>
      </c>
      <c r="AB280" s="163"/>
      <c r="AC280" s="175"/>
      <c r="AD280" s="22"/>
    </row>
    <row r="281" spans="1:30" s="23" customFormat="1" x14ac:dyDescent="0.3">
      <c r="A281" s="47"/>
      <c r="B281" s="97" t="s">
        <v>101</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9">
        <f t="shared" si="0"/>
        <v>0</v>
      </c>
      <c r="Y281" s="200">
        <f t="shared" si="2"/>
        <v>0</v>
      </c>
      <c r="Z281" s="131">
        <f t="shared" si="1"/>
        <v>0</v>
      </c>
      <c r="AA281" s="198">
        <f t="shared" si="3"/>
        <v>0</v>
      </c>
      <c r="AB281" s="163"/>
      <c r="AC281" s="175"/>
      <c r="AD281" s="22"/>
    </row>
    <row r="282" spans="1:30" s="23" customFormat="1" x14ac:dyDescent="0.3">
      <c r="A282" s="47"/>
      <c r="B282" s="97" t="s">
        <v>102</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0"/>
        <v>0</v>
      </c>
      <c r="Y282" s="200">
        <f t="shared" si="2"/>
        <v>0</v>
      </c>
      <c r="Z282" s="131">
        <f t="shared" si="1"/>
        <v>0</v>
      </c>
      <c r="AA282" s="198">
        <f t="shared" si="3"/>
        <v>0</v>
      </c>
      <c r="AB282" s="163"/>
      <c r="AC282" s="175"/>
      <c r="AD282" s="22"/>
    </row>
    <row r="283" spans="1:30" s="23" customFormat="1" x14ac:dyDescent="0.3">
      <c r="A283" s="47"/>
      <c r="B283" s="97" t="s">
        <v>103</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201">
        <f t="shared" si="0"/>
        <v>1</v>
      </c>
      <c r="Y283" s="202">
        <f t="shared" si="2"/>
        <v>2.9481132075471697E-4</v>
      </c>
      <c r="Z283" s="203">
        <f t="shared" si="1"/>
        <v>63</v>
      </c>
      <c r="AA283" s="198">
        <f t="shared" si="3"/>
        <v>9.8389688760617885E-5</v>
      </c>
      <c r="AB283" s="163"/>
      <c r="AC283" s="175"/>
      <c r="AD283" s="22"/>
    </row>
    <row r="284" spans="1:30" s="23" customFormat="1" x14ac:dyDescent="0.3">
      <c r="A284" s="47"/>
      <c r="B284" s="97" t="s">
        <v>104</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06">
        <f t="shared" si="0"/>
        <v>0</v>
      </c>
      <c r="Y284" s="198">
        <f t="shared" si="2"/>
        <v>0</v>
      </c>
      <c r="Z284" s="107">
        <f t="shared" si="1"/>
        <v>0</v>
      </c>
      <c r="AA284" s="198">
        <f t="shared" si="3"/>
        <v>0</v>
      </c>
      <c r="AB284" s="163"/>
      <c r="AC284" s="175"/>
      <c r="AD284" s="22"/>
    </row>
    <row r="285" spans="1:30" s="23" customFormat="1" x14ac:dyDescent="0.3">
      <c r="A285" s="47"/>
      <c r="B285" s="97"/>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97"/>
      <c r="Y285" s="198"/>
      <c r="Z285" s="98"/>
      <c r="AA285" s="198"/>
      <c r="AB285" s="163"/>
      <c r="AC285" s="175"/>
      <c r="AD285" s="22"/>
    </row>
    <row r="286" spans="1:30" s="23" customFormat="1" x14ac:dyDescent="0.3">
      <c r="A286" s="47"/>
      <c r="B286" s="40" t="s">
        <v>80</v>
      </c>
      <c r="C286" s="40"/>
      <c r="D286" s="204"/>
      <c r="E286" s="204"/>
      <c r="F286" s="204"/>
      <c r="G286" s="204"/>
      <c r="H286" s="204"/>
      <c r="I286" s="204"/>
      <c r="J286" s="204"/>
      <c r="K286" s="204"/>
      <c r="L286" s="204"/>
      <c r="M286" s="204"/>
      <c r="N286" s="204"/>
      <c r="O286" s="204"/>
      <c r="P286" s="204"/>
      <c r="Q286" s="204"/>
      <c r="R286" s="204"/>
      <c r="S286" s="204"/>
      <c r="T286" s="204"/>
      <c r="U286" s="204"/>
      <c r="V286" s="204"/>
      <c r="W286" s="204"/>
      <c r="X286" s="97">
        <f>SUM(X277:X285)</f>
        <v>3392</v>
      </c>
      <c r="Y286" s="198">
        <f>SUM(Y277:Y285)</f>
        <v>0.99999999999999989</v>
      </c>
      <c r="Z286" s="98">
        <f>SUM(Z277:Z285)</f>
        <v>640311</v>
      </c>
      <c r="AA286" s="198">
        <f>SUM(AA277:AA285)</f>
        <v>1</v>
      </c>
      <c r="AB286" s="40"/>
      <c r="AC286" s="43"/>
      <c r="AD286" s="22"/>
    </row>
    <row r="287" spans="1:30" x14ac:dyDescent="0.3">
      <c r="A287" s="7"/>
      <c r="B287" s="151"/>
      <c r="C287" s="186"/>
      <c r="D287" s="99"/>
      <c r="E287" s="99"/>
      <c r="F287" s="99"/>
      <c r="G287" s="99"/>
      <c r="H287" s="99"/>
      <c r="I287" s="99"/>
      <c r="J287" s="99"/>
      <c r="K287" s="99"/>
      <c r="L287" s="99"/>
      <c r="M287" s="99"/>
      <c r="N287" s="99"/>
      <c r="O287" s="99"/>
      <c r="P287" s="99"/>
      <c r="Q287" s="99"/>
      <c r="R287" s="99"/>
      <c r="S287" s="99"/>
      <c r="T287" s="99"/>
      <c r="U287" s="99"/>
      <c r="V287" s="99"/>
      <c r="W287" s="99"/>
      <c r="X287" s="99"/>
      <c r="Y287" s="99"/>
      <c r="Z287" s="188"/>
      <c r="AA287" s="99"/>
      <c r="AB287" s="99"/>
      <c r="AC287" s="10"/>
      <c r="AD287" s="5"/>
    </row>
    <row r="288" spans="1:30" x14ac:dyDescent="0.3">
      <c r="A288" s="33"/>
      <c r="B288" s="102" t="s">
        <v>105</v>
      </c>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54" t="s">
        <v>69</v>
      </c>
      <c r="Y288" s="103" t="s">
        <v>70</v>
      </c>
      <c r="Z288" s="154" t="s">
        <v>75</v>
      </c>
      <c r="AA288" s="103" t="s">
        <v>70</v>
      </c>
      <c r="AB288" s="34"/>
      <c r="AC288" s="190"/>
      <c r="AD288" s="5"/>
    </row>
    <row r="289" spans="1:31" s="23" customFormat="1" x14ac:dyDescent="0.3">
      <c r="A289" s="18"/>
      <c r="B289" s="106" t="s">
        <v>59</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06">
        <v>3382</v>
      </c>
      <c r="Y289" s="192">
        <f>X289/$X$298</f>
        <v>0.99793449395101796</v>
      </c>
      <c r="Z289" s="107">
        <v>637947</v>
      </c>
      <c r="AA289" s="192">
        <f>Z289/$Z$298</f>
        <v>0.99691991786447642</v>
      </c>
      <c r="AB289" s="158"/>
      <c r="AC289" s="193"/>
      <c r="AD289" s="22"/>
    </row>
    <row r="290" spans="1:31" s="23" customFormat="1" x14ac:dyDescent="0.3">
      <c r="A290" s="47"/>
      <c r="B290" s="97" t="s">
        <v>60</v>
      </c>
      <c r="C290" s="194"/>
      <c r="D290" s="194"/>
      <c r="E290" s="194"/>
      <c r="F290" s="194"/>
      <c r="G290" s="194"/>
      <c r="H290" s="194"/>
      <c r="I290" s="194"/>
      <c r="J290" s="194"/>
      <c r="K290" s="194"/>
      <c r="L290" s="194"/>
      <c r="M290" s="194"/>
      <c r="N290" s="194"/>
      <c r="O290" s="194"/>
      <c r="P290" s="194"/>
      <c r="Q290" s="194"/>
      <c r="R290" s="194"/>
      <c r="S290" s="194"/>
      <c r="T290" s="194"/>
      <c r="U290" s="194"/>
      <c r="V290" s="194"/>
      <c r="W290" s="194"/>
      <c r="X290" s="97">
        <v>5</v>
      </c>
      <c r="Y290" s="198">
        <f t="shared" ref="Y290:Y296" si="4">X290/$X$298</f>
        <v>1.4753614635585719E-3</v>
      </c>
      <c r="Z290" s="98">
        <v>1333</v>
      </c>
      <c r="AA290" s="198">
        <f t="shared" ref="AA290:AA296" si="5">Z290/$Z$298</f>
        <v>2.0830793945474262E-3</v>
      </c>
      <c r="AB290" s="163"/>
      <c r="AC290" s="175"/>
      <c r="AD290" s="22"/>
      <c r="AE290" s="115"/>
    </row>
    <row r="291" spans="1:31" s="23" customFormat="1" x14ac:dyDescent="0.3">
      <c r="A291" s="47"/>
      <c r="B291" s="97" t="s">
        <v>61</v>
      </c>
      <c r="C291" s="194"/>
      <c r="D291" s="194"/>
      <c r="E291" s="194"/>
      <c r="F291" s="194"/>
      <c r="G291" s="194"/>
      <c r="H291" s="194"/>
      <c r="I291" s="194"/>
      <c r="J291" s="194"/>
      <c r="K291" s="194"/>
      <c r="L291" s="194"/>
      <c r="M291" s="194"/>
      <c r="N291" s="194"/>
      <c r="O291" s="194"/>
      <c r="P291" s="194"/>
      <c r="Q291" s="194"/>
      <c r="R291" s="194"/>
      <c r="S291" s="194"/>
      <c r="T291" s="194"/>
      <c r="U291" s="194"/>
      <c r="V291" s="194"/>
      <c r="W291" s="194"/>
      <c r="X291" s="97">
        <v>1</v>
      </c>
      <c r="Y291" s="198">
        <f t="shared" si="4"/>
        <v>2.9507229271171436E-4</v>
      </c>
      <c r="Z291" s="98">
        <v>54</v>
      </c>
      <c r="AA291" s="198">
        <f t="shared" si="5"/>
        <v>8.4385811932153807E-5</v>
      </c>
      <c r="AB291" s="163"/>
      <c r="AC291" s="175"/>
      <c r="AD291" s="22"/>
    </row>
    <row r="292" spans="1:31" s="23" customFormat="1" x14ac:dyDescent="0.3">
      <c r="A292" s="47"/>
      <c r="B292" s="97" t="s">
        <v>100</v>
      </c>
      <c r="C292" s="194"/>
      <c r="D292" s="194"/>
      <c r="E292" s="194"/>
      <c r="F292" s="194"/>
      <c r="G292" s="194"/>
      <c r="H292" s="194"/>
      <c r="I292" s="194"/>
      <c r="J292" s="194"/>
      <c r="K292" s="194"/>
      <c r="L292" s="194"/>
      <c r="M292" s="194"/>
      <c r="N292" s="194"/>
      <c r="O292" s="194"/>
      <c r="P292" s="194"/>
      <c r="Q292" s="194"/>
      <c r="R292" s="194"/>
      <c r="S292" s="194"/>
      <c r="T292" s="194"/>
      <c r="U292" s="194"/>
      <c r="V292" s="194"/>
      <c r="W292" s="194"/>
      <c r="X292" s="97">
        <v>1</v>
      </c>
      <c r="Y292" s="198">
        <f t="shared" si="4"/>
        <v>2.9507229271171436E-4</v>
      </c>
      <c r="Z292" s="98">
        <v>584</v>
      </c>
      <c r="AA292" s="198">
        <f t="shared" si="5"/>
        <v>9.1261692904403375E-4</v>
      </c>
      <c r="AB292" s="163"/>
      <c r="AC292" s="175"/>
      <c r="AD292" s="22"/>
      <c r="AE292" s="115"/>
    </row>
    <row r="293" spans="1:31" s="23" customFormat="1" x14ac:dyDescent="0.3">
      <c r="A293" s="47"/>
      <c r="B293" s="97" t="s">
        <v>101</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0</v>
      </c>
      <c r="Y293" s="198">
        <f t="shared" si="4"/>
        <v>0</v>
      </c>
      <c r="Z293" s="98">
        <v>0</v>
      </c>
      <c r="AA293" s="198">
        <f t="shared" si="5"/>
        <v>0</v>
      </c>
      <c r="AB293" s="163"/>
      <c r="AC293" s="175"/>
      <c r="AD293" s="22"/>
    </row>
    <row r="294" spans="1:31" s="23" customFormat="1" x14ac:dyDescent="0.3">
      <c r="A294" s="47"/>
      <c r="B294" s="97" t="s">
        <v>102</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4"/>
        <v>0</v>
      </c>
      <c r="Z294" s="98">
        <v>0</v>
      </c>
      <c r="AA294" s="198">
        <f t="shared" si="5"/>
        <v>0</v>
      </c>
      <c r="AB294" s="163"/>
      <c r="AC294" s="175"/>
      <c r="AD294" s="22"/>
      <c r="AE294" s="115"/>
    </row>
    <row r="295" spans="1:31" s="23" customFormat="1" x14ac:dyDescent="0.3">
      <c r="A295" s="47"/>
      <c r="B295" s="97" t="s">
        <v>103</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0</v>
      </c>
      <c r="Y295" s="198">
        <f>X295/$X$298</f>
        <v>0</v>
      </c>
      <c r="Z295" s="98">
        <v>0</v>
      </c>
      <c r="AA295" s="198">
        <f t="shared" si="5"/>
        <v>0</v>
      </c>
      <c r="AB295" s="163"/>
      <c r="AC295" s="175"/>
      <c r="AD295" s="22"/>
    </row>
    <row r="296" spans="1:31" s="23" customFormat="1" x14ac:dyDescent="0.3">
      <c r="A296" s="47"/>
      <c r="B296" s="97" t="s">
        <v>104</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4"/>
        <v>0</v>
      </c>
      <c r="Z296" s="98">
        <v>0</v>
      </c>
      <c r="AA296" s="198">
        <f t="shared" si="5"/>
        <v>0</v>
      </c>
      <c r="AB296" s="163"/>
      <c r="AC296" s="175"/>
      <c r="AD296" s="22"/>
      <c r="AE296" s="115"/>
    </row>
    <row r="297" spans="1:31" s="23" customFormat="1" x14ac:dyDescent="0.3">
      <c r="A297" s="47"/>
      <c r="B297" s="97"/>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c r="Y297" s="198"/>
      <c r="Z297" s="98"/>
      <c r="AA297" s="198"/>
      <c r="AB297" s="163"/>
      <c r="AC297" s="175"/>
      <c r="AD297" s="22"/>
    </row>
    <row r="298" spans="1:31" s="23" customFormat="1" x14ac:dyDescent="0.3">
      <c r="A298" s="47"/>
      <c r="B298" s="40" t="s">
        <v>80</v>
      </c>
      <c r="C298" s="40"/>
      <c r="D298" s="204"/>
      <c r="E298" s="204"/>
      <c r="F298" s="204"/>
      <c r="G298" s="204"/>
      <c r="H298" s="204"/>
      <c r="I298" s="204"/>
      <c r="J298" s="204"/>
      <c r="K298" s="204"/>
      <c r="L298" s="204"/>
      <c r="M298" s="204"/>
      <c r="N298" s="204"/>
      <c r="O298" s="204"/>
      <c r="P298" s="204"/>
      <c r="Q298" s="204"/>
      <c r="R298" s="204"/>
      <c r="S298" s="204"/>
      <c r="T298" s="204"/>
      <c r="U298" s="204"/>
      <c r="V298" s="204"/>
      <c r="W298" s="204"/>
      <c r="X298" s="97">
        <f>SUM(X289:X297)</f>
        <v>3389</v>
      </c>
      <c r="Y298" s="198">
        <f>SUM(Y289:Y297)</f>
        <v>1</v>
      </c>
      <c r="Z298" s="98">
        <f>SUM(Z289:Z297)</f>
        <v>639918</v>
      </c>
      <c r="AA298" s="198">
        <f>SUM(AA289:AA297)</f>
        <v>1</v>
      </c>
      <c r="AB298" s="40"/>
      <c r="AC298" s="43"/>
      <c r="AD298" s="22"/>
    </row>
    <row r="299" spans="1:31" x14ac:dyDescent="0.3">
      <c r="A299" s="7"/>
      <c r="B299" s="99"/>
      <c r="C299" s="99"/>
      <c r="D299" s="205"/>
      <c r="E299" s="205"/>
      <c r="F299" s="205"/>
      <c r="G299" s="205"/>
      <c r="H299" s="205"/>
      <c r="I299" s="205"/>
      <c r="J299" s="205"/>
      <c r="K299" s="205"/>
      <c r="L299" s="205"/>
      <c r="M299" s="205"/>
      <c r="N299" s="205"/>
      <c r="O299" s="205"/>
      <c r="P299" s="205"/>
      <c r="Q299" s="205"/>
      <c r="R299" s="205"/>
      <c r="S299" s="205"/>
      <c r="T299" s="205"/>
      <c r="U299" s="205"/>
      <c r="V299" s="205"/>
      <c r="W299" s="205"/>
      <c r="X299" s="100"/>
      <c r="Y299" s="206"/>
      <c r="Z299" s="207"/>
      <c r="AA299" s="206"/>
      <c r="AB299" s="99"/>
      <c r="AC299" s="10"/>
      <c r="AD299" s="5"/>
    </row>
    <row r="300" spans="1:31" x14ac:dyDescent="0.3">
      <c r="A300" s="33"/>
      <c r="B300" s="102" t="s">
        <v>121</v>
      </c>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54" t="s">
        <v>69</v>
      </c>
      <c r="Y300" s="103" t="s">
        <v>70</v>
      </c>
      <c r="Z300" s="154" t="s">
        <v>75</v>
      </c>
      <c r="AA300" s="103" t="s">
        <v>70</v>
      </c>
      <c r="AB300" s="34"/>
      <c r="AC300" s="36"/>
      <c r="AD300" s="5"/>
    </row>
    <row r="301" spans="1:31" s="23" customFormat="1" x14ac:dyDescent="0.3">
      <c r="A301" s="18"/>
      <c r="B301" s="106" t="s">
        <v>59</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06">
        <v>0</v>
      </c>
      <c r="Y301" s="192">
        <v>0</v>
      </c>
      <c r="Z301" s="107">
        <v>0</v>
      </c>
      <c r="AA301" s="192">
        <v>0</v>
      </c>
      <c r="AB301" s="37"/>
      <c r="AC301" s="21"/>
      <c r="AD301" s="22"/>
    </row>
    <row r="302" spans="1:31" s="23" customFormat="1" x14ac:dyDescent="0.3">
      <c r="A302" s="47"/>
      <c r="B302" s="97" t="s">
        <v>60</v>
      </c>
      <c r="C302" s="194"/>
      <c r="D302" s="194"/>
      <c r="E302" s="194"/>
      <c r="F302" s="194"/>
      <c r="G302" s="194"/>
      <c r="H302" s="194"/>
      <c r="I302" s="194"/>
      <c r="J302" s="194"/>
      <c r="K302" s="194"/>
      <c r="L302" s="194"/>
      <c r="M302" s="194"/>
      <c r="N302" s="194"/>
      <c r="O302" s="194"/>
      <c r="P302" s="194"/>
      <c r="Q302" s="194"/>
      <c r="R302" s="194"/>
      <c r="S302" s="194"/>
      <c r="T302" s="194"/>
      <c r="U302" s="194"/>
      <c r="V302" s="194"/>
      <c r="W302" s="194"/>
      <c r="X302" s="97">
        <v>0</v>
      </c>
      <c r="Y302" s="198">
        <f>X302/X310</f>
        <v>0</v>
      </c>
      <c r="Z302" s="98">
        <v>0</v>
      </c>
      <c r="AA302" s="198">
        <f>Z302/Z310</f>
        <v>0</v>
      </c>
      <c r="AB302" s="40"/>
      <c r="AC302" s="43"/>
      <c r="AD302" s="22"/>
    </row>
    <row r="303" spans="1:31" s="23" customFormat="1" x14ac:dyDescent="0.3">
      <c r="A303" s="47"/>
      <c r="B303" s="97" t="s">
        <v>61</v>
      </c>
      <c r="C303" s="194"/>
      <c r="D303" s="194"/>
      <c r="E303" s="194"/>
      <c r="F303" s="194"/>
      <c r="G303" s="194"/>
      <c r="H303" s="194"/>
      <c r="I303" s="194"/>
      <c r="J303" s="194"/>
      <c r="K303" s="194"/>
      <c r="L303" s="194"/>
      <c r="M303" s="194"/>
      <c r="N303" s="194"/>
      <c r="O303" s="194"/>
      <c r="P303" s="194"/>
      <c r="Q303" s="194"/>
      <c r="R303" s="194"/>
      <c r="S303" s="194"/>
      <c r="T303" s="194"/>
      <c r="U303" s="194"/>
      <c r="V303" s="194"/>
      <c r="W303" s="194"/>
      <c r="X303" s="97">
        <v>0</v>
      </c>
      <c r="Y303" s="198">
        <f>X303/X310</f>
        <v>0</v>
      </c>
      <c r="Z303" s="98">
        <v>0</v>
      </c>
      <c r="AA303" s="198">
        <f>Z303/Z310</f>
        <v>0</v>
      </c>
      <c r="AB303" s="40"/>
      <c r="AC303" s="43"/>
      <c r="AD303" s="22"/>
    </row>
    <row r="304" spans="1:31" s="23" customFormat="1" x14ac:dyDescent="0.3">
      <c r="A304" s="47"/>
      <c r="B304" s="97" t="s">
        <v>100</v>
      </c>
      <c r="C304" s="194"/>
      <c r="D304" s="194"/>
      <c r="E304" s="194"/>
      <c r="F304" s="194"/>
      <c r="G304" s="194"/>
      <c r="H304" s="194"/>
      <c r="I304" s="194"/>
      <c r="J304" s="194"/>
      <c r="K304" s="194"/>
      <c r="L304" s="194"/>
      <c r="M304" s="194"/>
      <c r="N304" s="194"/>
      <c r="O304" s="194"/>
      <c r="P304" s="194"/>
      <c r="Q304" s="194"/>
      <c r="R304" s="194"/>
      <c r="S304" s="194"/>
      <c r="T304" s="194"/>
      <c r="U304" s="194"/>
      <c r="V304" s="194"/>
      <c r="W304" s="194"/>
      <c r="X304" s="97">
        <v>2</v>
      </c>
      <c r="Y304" s="198">
        <f>X304/X310</f>
        <v>0.66666666666666663</v>
      </c>
      <c r="Z304" s="98">
        <v>330</v>
      </c>
      <c r="AA304" s="198">
        <f>Z304/Z310</f>
        <v>0.83969465648854957</v>
      </c>
      <c r="AB304" s="40"/>
      <c r="AC304" s="43"/>
      <c r="AD304" s="22"/>
    </row>
    <row r="305" spans="1:30" s="23" customFormat="1" x14ac:dyDescent="0.3">
      <c r="A305" s="47"/>
      <c r="B305" s="97" t="s">
        <v>101</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102</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103</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1</v>
      </c>
      <c r="Y307" s="198">
        <f>X307/X310</f>
        <v>0.33333333333333331</v>
      </c>
      <c r="Z307" s="98">
        <v>63</v>
      </c>
      <c r="AA307" s="198">
        <f>Z307/Z310</f>
        <v>0.16030534351145037</v>
      </c>
      <c r="AB307" s="40"/>
      <c r="AC307" s="43"/>
      <c r="AD307" s="22"/>
    </row>
    <row r="308" spans="1:30" s="23" customFormat="1" x14ac:dyDescent="0.3">
      <c r="A308" s="47"/>
      <c r="B308" s="97" t="s">
        <v>104</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c r="Y309" s="198"/>
      <c r="Z309" s="98"/>
      <c r="AA309" s="198"/>
      <c r="AB309" s="40"/>
      <c r="AC309" s="43"/>
      <c r="AD309" s="22"/>
    </row>
    <row r="310" spans="1:30" s="23" customFormat="1" x14ac:dyDescent="0.3">
      <c r="A310" s="47"/>
      <c r="B310" s="40" t="s">
        <v>80</v>
      </c>
      <c r="C310" s="40"/>
      <c r="D310" s="204"/>
      <c r="E310" s="204"/>
      <c r="F310" s="204"/>
      <c r="G310" s="204"/>
      <c r="H310" s="204"/>
      <c r="I310" s="204"/>
      <c r="J310" s="204"/>
      <c r="K310" s="204"/>
      <c r="L310" s="204"/>
      <c r="M310" s="204"/>
      <c r="N310" s="204"/>
      <c r="O310" s="204"/>
      <c r="P310" s="204"/>
      <c r="Q310" s="204"/>
      <c r="R310" s="204"/>
      <c r="S310" s="204"/>
      <c r="T310" s="204"/>
      <c r="U310" s="204"/>
      <c r="V310" s="204"/>
      <c r="W310" s="204"/>
      <c r="X310" s="97">
        <f>SUM(X301:X309)</f>
        <v>3</v>
      </c>
      <c r="Y310" s="198">
        <f>SUM(Y301:Y309)</f>
        <v>1</v>
      </c>
      <c r="Z310" s="98">
        <f>SUM(Z301:Z309)</f>
        <v>393</v>
      </c>
      <c r="AA310" s="198">
        <f>SUM(AA301:AA309)</f>
        <v>1</v>
      </c>
      <c r="AB310" s="40"/>
      <c r="AC310" s="43"/>
      <c r="AD310" s="22"/>
    </row>
    <row r="311" spans="1:30" s="23" customFormat="1" x14ac:dyDescent="0.3">
      <c r="A311" s="47"/>
      <c r="B311" s="40"/>
      <c r="C311" s="40"/>
      <c r="D311" s="204"/>
      <c r="E311" s="204"/>
      <c r="F311" s="204"/>
      <c r="G311" s="204"/>
      <c r="H311" s="204"/>
      <c r="I311" s="204"/>
      <c r="J311" s="204"/>
      <c r="K311" s="204"/>
      <c r="L311" s="204"/>
      <c r="M311" s="204"/>
      <c r="N311" s="204"/>
      <c r="O311" s="204"/>
      <c r="P311" s="204"/>
      <c r="Q311" s="204"/>
      <c r="R311" s="204"/>
      <c r="S311" s="204"/>
      <c r="T311" s="204"/>
      <c r="U311" s="204"/>
      <c r="V311" s="204"/>
      <c r="W311" s="204"/>
      <c r="X311" s="97"/>
      <c r="Y311" s="198"/>
      <c r="Z311" s="98"/>
      <c r="AA311" s="198"/>
      <c r="AB311" s="40"/>
      <c r="AC311" s="43"/>
      <c r="AD311" s="22"/>
    </row>
    <row r="312" spans="1:30" s="23" customFormat="1" x14ac:dyDescent="0.3">
      <c r="A312" s="242"/>
      <c r="B312" s="243" t="s">
        <v>299</v>
      </c>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62" t="s">
        <v>69</v>
      </c>
      <c r="Y312" s="263" t="s">
        <v>70</v>
      </c>
      <c r="Z312" s="262" t="s">
        <v>75</v>
      </c>
      <c r="AA312" s="263" t="s">
        <v>70</v>
      </c>
      <c r="AB312" s="243"/>
      <c r="AC312" s="243"/>
      <c r="AD312" s="22"/>
    </row>
    <row r="313" spans="1:30" s="23" customFormat="1" x14ac:dyDescent="0.3">
      <c r="A313" s="272"/>
      <c r="B313" s="273" t="s">
        <v>295</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275">
        <v>2</v>
      </c>
      <c r="Y313" s="276">
        <f>X313/X320</f>
        <v>0.66666666666666663</v>
      </c>
      <c r="Z313" s="277">
        <v>330</v>
      </c>
      <c r="AA313" s="276">
        <f>Z313/Z320</f>
        <v>0.83969465648854957</v>
      </c>
      <c r="AB313" s="40"/>
      <c r="AC313" s="43"/>
      <c r="AD313" s="22"/>
    </row>
    <row r="314" spans="1:30" s="23" customFormat="1" x14ac:dyDescent="0.3">
      <c r="A314" s="272"/>
      <c r="B314" s="273" t="s">
        <v>296</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275">
        <v>0</v>
      </c>
      <c r="Y314" s="276">
        <v>0</v>
      </c>
      <c r="Z314" s="277">
        <v>0</v>
      </c>
      <c r="AA314" s="276">
        <v>0</v>
      </c>
      <c r="AB314" s="40"/>
      <c r="AC314" s="43"/>
      <c r="AD314" s="22"/>
    </row>
    <row r="315" spans="1:30" s="23" customFormat="1" x14ac:dyDescent="0.3">
      <c r="A315" s="272"/>
      <c r="B315" s="273" t="s">
        <v>297</v>
      </c>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275">
        <v>0</v>
      </c>
      <c r="Y315" s="276">
        <v>0</v>
      </c>
      <c r="Z315" s="277">
        <v>0</v>
      </c>
      <c r="AA315" s="276">
        <v>0</v>
      </c>
      <c r="AB315" s="40"/>
      <c r="AC315" s="43"/>
      <c r="AD315" s="22"/>
    </row>
    <row r="316" spans="1:30" s="23" customFormat="1" x14ac:dyDescent="0.3">
      <c r="A316" s="272"/>
      <c r="B316" s="273" t="s">
        <v>298</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5">
        <v>0</v>
      </c>
      <c r="Y316" s="276">
        <f>X316/X320</f>
        <v>0</v>
      </c>
      <c r="Z316" s="277">
        <v>0</v>
      </c>
      <c r="AA316" s="276">
        <f>Z316/Z320</f>
        <v>0</v>
      </c>
      <c r="AB316" s="40"/>
      <c r="AC316" s="43"/>
      <c r="AD316" s="22"/>
    </row>
    <row r="317" spans="1:30" s="23" customFormat="1" x14ac:dyDescent="0.3">
      <c r="A317" s="272"/>
      <c r="B317" s="273" t="s">
        <v>368</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5">
        <v>1</v>
      </c>
      <c r="Y317" s="276">
        <f>X317/X320</f>
        <v>0.33333333333333331</v>
      </c>
      <c r="Z317" s="277">
        <v>63</v>
      </c>
      <c r="AA317" s="276">
        <f>Z317/Z320</f>
        <v>0.16030534351145037</v>
      </c>
      <c r="AB317" s="40"/>
      <c r="AC317" s="43"/>
      <c r="AD317" s="22"/>
    </row>
    <row r="318" spans="1:30" s="23" customFormat="1" x14ac:dyDescent="0.3">
      <c r="A318" s="272"/>
      <c r="B318" s="274" t="s">
        <v>300</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5">
        <v>0</v>
      </c>
      <c r="Y318" s="276">
        <v>0</v>
      </c>
      <c r="Z318" s="277">
        <v>0</v>
      </c>
      <c r="AA318" s="276">
        <v>0</v>
      </c>
      <c r="AB318" s="40"/>
      <c r="AC318" s="43"/>
      <c r="AD318" s="22"/>
    </row>
    <row r="319" spans="1:30" s="23" customFormat="1" x14ac:dyDescent="0.3">
      <c r="A319" s="272"/>
      <c r="B319" s="273"/>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5"/>
      <c r="Y319" s="276"/>
      <c r="Z319" s="277"/>
      <c r="AA319" s="276"/>
      <c r="AB319" s="40"/>
      <c r="AC319" s="43"/>
      <c r="AD319" s="22"/>
    </row>
    <row r="320" spans="1:30" s="23" customFormat="1" x14ac:dyDescent="0.3">
      <c r="A320" s="272"/>
      <c r="B320" s="273" t="s">
        <v>80</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5">
        <f>SUM(X313:X319)</f>
        <v>3</v>
      </c>
      <c r="Y320" s="276">
        <f>SUM(Y313:Y318)</f>
        <v>1</v>
      </c>
      <c r="Z320" s="277">
        <f>SUM(Z313:Z318)</f>
        <v>393</v>
      </c>
      <c r="AA320" s="276">
        <f>SUM(AA313:AA319)</f>
        <v>1</v>
      </c>
      <c r="AB320" s="40"/>
      <c r="AC320" s="43"/>
      <c r="AD320" s="22"/>
    </row>
    <row r="321" spans="1:30" x14ac:dyDescent="0.3">
      <c r="A321" s="7"/>
      <c r="B321" s="99"/>
      <c r="C321" s="99"/>
      <c r="D321" s="205"/>
      <c r="E321" s="205"/>
      <c r="F321" s="205"/>
      <c r="G321" s="205"/>
      <c r="H321" s="205"/>
      <c r="I321" s="205"/>
      <c r="J321" s="205"/>
      <c r="K321" s="205"/>
      <c r="L321" s="205"/>
      <c r="M321" s="205"/>
      <c r="N321" s="205"/>
      <c r="O321" s="205"/>
      <c r="P321" s="205"/>
      <c r="Q321" s="205"/>
      <c r="R321" s="205"/>
      <c r="S321" s="205"/>
      <c r="T321" s="205"/>
      <c r="U321" s="205"/>
      <c r="V321" s="205"/>
      <c r="W321" s="205"/>
      <c r="X321" s="100"/>
      <c r="Y321" s="206"/>
      <c r="Z321" s="207"/>
      <c r="AA321" s="206"/>
      <c r="AB321" s="99"/>
      <c r="AC321" s="10"/>
      <c r="AD321" s="5"/>
    </row>
    <row r="322" spans="1:30" x14ac:dyDescent="0.3">
      <c r="A322" s="33"/>
      <c r="B322" s="102" t="s">
        <v>106</v>
      </c>
      <c r="C322" s="34"/>
      <c r="D322" s="208"/>
      <c r="E322" s="208"/>
      <c r="F322" s="208"/>
      <c r="G322" s="208"/>
      <c r="H322" s="208"/>
      <c r="I322" s="208"/>
      <c r="J322" s="208"/>
      <c r="K322" s="208"/>
      <c r="L322" s="208"/>
      <c r="M322" s="208"/>
      <c r="N322" s="208"/>
      <c r="O322" s="208"/>
      <c r="P322" s="208"/>
      <c r="Q322" s="208"/>
      <c r="R322" s="208"/>
      <c r="S322" s="208"/>
      <c r="T322" s="208"/>
      <c r="U322" s="208"/>
      <c r="V322" s="208"/>
      <c r="W322" s="208"/>
      <c r="X322" s="154" t="s">
        <v>69</v>
      </c>
      <c r="Y322" s="103" t="s">
        <v>70</v>
      </c>
      <c r="Z322" s="154" t="s">
        <v>75</v>
      </c>
      <c r="AA322" s="103" t="s">
        <v>70</v>
      </c>
      <c r="AB322" s="34"/>
      <c r="AC322" s="36"/>
      <c r="AD322" s="5"/>
    </row>
    <row r="323" spans="1:30" s="23" customFormat="1" x14ac:dyDescent="0.3">
      <c r="A323" s="18"/>
      <c r="B323" s="106" t="s">
        <v>59</v>
      </c>
      <c r="C323" s="37"/>
      <c r="D323" s="209"/>
      <c r="E323" s="209"/>
      <c r="F323" s="209"/>
      <c r="G323" s="209"/>
      <c r="H323" s="209"/>
      <c r="I323" s="209"/>
      <c r="J323" s="209"/>
      <c r="K323" s="209"/>
      <c r="L323" s="209"/>
      <c r="M323" s="209"/>
      <c r="N323" s="209"/>
      <c r="O323" s="209"/>
      <c r="P323" s="209"/>
      <c r="Q323" s="209"/>
      <c r="R323" s="209"/>
      <c r="S323" s="209"/>
      <c r="T323" s="209"/>
      <c r="U323" s="209"/>
      <c r="V323" s="209"/>
      <c r="W323" s="209"/>
      <c r="X323" s="106">
        <v>0</v>
      </c>
      <c r="Y323" s="192">
        <v>0</v>
      </c>
      <c r="Z323" s="107">
        <v>0</v>
      </c>
      <c r="AA323" s="192">
        <v>0</v>
      </c>
      <c r="AB323" s="37"/>
      <c r="AC323" s="21"/>
      <c r="AD323" s="22"/>
    </row>
    <row r="324" spans="1:30" s="23" customFormat="1" x14ac:dyDescent="0.3">
      <c r="A324" s="47"/>
      <c r="B324" s="97" t="s">
        <v>60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97">
        <v>0</v>
      </c>
      <c r="Y324" s="198">
        <v>0</v>
      </c>
      <c r="Z324" s="98">
        <v>0</v>
      </c>
      <c r="AA324" s="198">
        <v>0</v>
      </c>
      <c r="AB324" s="40"/>
      <c r="AC324" s="43"/>
      <c r="AD324" s="22"/>
    </row>
    <row r="325" spans="1:30" s="23" customFormat="1" x14ac:dyDescent="0.3">
      <c r="A325" s="47"/>
      <c r="B325" s="97" t="s">
        <v>61</v>
      </c>
      <c r="C325" s="40"/>
      <c r="D325" s="204"/>
      <c r="E325" s="204"/>
      <c r="F325" s="204"/>
      <c r="G325" s="204"/>
      <c r="H325" s="204"/>
      <c r="I325" s="204"/>
      <c r="J325" s="204"/>
      <c r="K325" s="204"/>
      <c r="L325" s="204"/>
      <c r="M325" s="204"/>
      <c r="N325" s="204"/>
      <c r="O325" s="204"/>
      <c r="P325" s="204"/>
      <c r="Q325" s="204"/>
      <c r="R325" s="204"/>
      <c r="S325" s="204"/>
      <c r="T325" s="204"/>
      <c r="U325" s="204"/>
      <c r="V325" s="204"/>
      <c r="W325" s="204"/>
      <c r="X325" s="97">
        <v>0</v>
      </c>
      <c r="Y325" s="198">
        <v>0</v>
      </c>
      <c r="Z325" s="98">
        <v>0</v>
      </c>
      <c r="AA325" s="198">
        <v>0</v>
      </c>
      <c r="AB325" s="40"/>
      <c r="AC325" s="43"/>
      <c r="AD325" s="22"/>
    </row>
    <row r="326" spans="1:30" s="23" customFormat="1" x14ac:dyDescent="0.3">
      <c r="A326" s="47"/>
      <c r="B326" s="97" t="s">
        <v>100</v>
      </c>
      <c r="C326" s="40"/>
      <c r="D326" s="204"/>
      <c r="E326" s="204"/>
      <c r="F326" s="204"/>
      <c r="G326" s="204"/>
      <c r="H326" s="204"/>
      <c r="I326" s="204"/>
      <c r="J326" s="204"/>
      <c r="K326" s="204"/>
      <c r="L326" s="204"/>
      <c r="M326" s="204"/>
      <c r="N326" s="204"/>
      <c r="O326" s="204"/>
      <c r="P326" s="204"/>
      <c r="Q326" s="204"/>
      <c r="R326" s="204"/>
      <c r="S326" s="204"/>
      <c r="T326" s="204"/>
      <c r="U326" s="204"/>
      <c r="V326" s="204"/>
      <c r="W326" s="204"/>
      <c r="X326" s="97">
        <v>0</v>
      </c>
      <c r="Y326" s="198">
        <v>0</v>
      </c>
      <c r="Z326" s="98">
        <v>0</v>
      </c>
      <c r="AA326" s="198">
        <v>0</v>
      </c>
      <c r="AB326" s="40"/>
      <c r="AC326" s="43"/>
      <c r="AD326" s="22"/>
    </row>
    <row r="327" spans="1:30" s="23" customFormat="1" x14ac:dyDescent="0.3">
      <c r="A327" s="47"/>
      <c r="B327" s="97" t="s">
        <v>101</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102</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103</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104</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c r="Y331" s="198"/>
      <c r="Z331" s="98"/>
      <c r="AA331" s="198"/>
      <c r="AB331" s="40"/>
      <c r="AC331" s="43"/>
      <c r="AD331" s="22"/>
    </row>
    <row r="332" spans="1:30" s="23" customFormat="1" x14ac:dyDescent="0.3">
      <c r="A332" s="47"/>
      <c r="B332" s="40" t="s">
        <v>80</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f>SUM(X323:X330)</f>
        <v>0</v>
      </c>
      <c r="Y332" s="198">
        <f>SUM(Y323:Y330)</f>
        <v>0</v>
      </c>
      <c r="Z332" s="98">
        <f>SUM(Z323:Z330)</f>
        <v>0</v>
      </c>
      <c r="AA332" s="198">
        <f>SUM(AA323:AA330)</f>
        <v>0</v>
      </c>
      <c r="AB332" s="40"/>
      <c r="AC332" s="43"/>
      <c r="AD332" s="22"/>
    </row>
    <row r="333" spans="1:30" s="23" customFormat="1" x14ac:dyDescent="0.3">
      <c r="A333" s="47"/>
      <c r="B333" s="40"/>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c r="Y333" s="198"/>
      <c r="Z333" s="98"/>
      <c r="AA333" s="198"/>
      <c r="AB333" s="40"/>
      <c r="AC333" s="43"/>
      <c r="AD333" s="22"/>
    </row>
    <row r="334" spans="1:30" s="23" customFormat="1" x14ac:dyDescent="0.3">
      <c r="A334" s="47"/>
      <c r="B334" s="44" t="s">
        <v>139</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210">
        <f>X332+X310+X298</f>
        <v>3392</v>
      </c>
      <c r="Y334" s="198"/>
      <c r="Z334" s="211">
        <f>+Z332+Z310+Z298</f>
        <v>640311</v>
      </c>
      <c r="AA334" s="198"/>
      <c r="AB334" s="40"/>
      <c r="AC334" s="43"/>
      <c r="AD334" s="22"/>
    </row>
    <row r="335" spans="1:30" s="23" customFormat="1" x14ac:dyDescent="0.3">
      <c r="A335" s="47"/>
      <c r="B335" s="44" t="s">
        <v>280</v>
      </c>
      <c r="C335" s="44"/>
      <c r="D335" s="212"/>
      <c r="E335" s="212"/>
      <c r="F335" s="212"/>
      <c r="G335" s="212"/>
      <c r="H335" s="212"/>
      <c r="I335" s="212"/>
      <c r="J335" s="212"/>
      <c r="K335" s="212"/>
      <c r="L335" s="212"/>
      <c r="M335" s="212"/>
      <c r="N335" s="212"/>
      <c r="O335" s="212"/>
      <c r="P335" s="212"/>
      <c r="Q335" s="212"/>
      <c r="R335" s="212"/>
      <c r="S335" s="212"/>
      <c r="T335" s="212"/>
      <c r="U335" s="212"/>
      <c r="V335" s="212"/>
      <c r="W335" s="212"/>
      <c r="X335" s="210"/>
      <c r="Y335" s="213"/>
      <c r="Z335" s="211">
        <f>+AB64+AB63</f>
        <v>3</v>
      </c>
      <c r="AA335" s="198"/>
      <c r="AB335" s="40"/>
      <c r="AC335" s="43"/>
      <c r="AD335" s="22"/>
    </row>
    <row r="336" spans="1:30" s="23" customFormat="1" x14ac:dyDescent="0.3">
      <c r="A336" s="47"/>
      <c r="B336" s="44" t="s">
        <v>107</v>
      </c>
      <c r="C336" s="44"/>
      <c r="D336" s="212"/>
      <c r="E336" s="212"/>
      <c r="F336" s="212"/>
      <c r="G336" s="212"/>
      <c r="H336" s="212"/>
      <c r="I336" s="212"/>
      <c r="J336" s="212"/>
      <c r="K336" s="212"/>
      <c r="L336" s="212"/>
      <c r="M336" s="212"/>
      <c r="N336" s="212"/>
      <c r="O336" s="212"/>
      <c r="P336" s="212"/>
      <c r="Q336" s="212"/>
      <c r="R336" s="212"/>
      <c r="S336" s="212"/>
      <c r="T336" s="212"/>
      <c r="U336" s="212"/>
      <c r="V336" s="212"/>
      <c r="W336" s="212"/>
      <c r="X336" s="210"/>
      <c r="Y336" s="213"/>
      <c r="Z336" s="211">
        <f>+Z334+Z335</f>
        <v>640314</v>
      </c>
      <c r="AA336" s="198"/>
      <c r="AB336" s="40"/>
      <c r="AC336" s="43"/>
      <c r="AD336" s="22"/>
    </row>
    <row r="337" spans="1:30" s="23" customFormat="1" x14ac:dyDescent="0.3">
      <c r="A337" s="47"/>
      <c r="B337" s="44" t="s">
        <v>245</v>
      </c>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210"/>
      <c r="Y337" s="198"/>
      <c r="Z337" s="211">
        <f>+AB66</f>
        <v>640314</v>
      </c>
      <c r="AA337" s="198"/>
      <c r="AB337" s="40"/>
      <c r="AC337" s="43"/>
      <c r="AD337" s="22"/>
    </row>
    <row r="338" spans="1:30" s="23" customFormat="1" x14ac:dyDescent="0.3">
      <c r="A338" s="47"/>
      <c r="B338" s="44"/>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c r="Y338" s="198"/>
      <c r="Z338" s="211"/>
      <c r="AA338" s="198"/>
      <c r="AB338" s="40"/>
      <c r="AC338" s="43"/>
      <c r="AD338" s="22"/>
    </row>
    <row r="339" spans="1:30" s="23" customFormat="1" x14ac:dyDescent="0.3">
      <c r="A339" s="47"/>
      <c r="B339" s="44" t="s">
        <v>327</v>
      </c>
      <c r="C339" s="40"/>
      <c r="D339" s="204"/>
      <c r="E339" s="204"/>
      <c r="F339" s="204"/>
      <c r="G339" s="204"/>
      <c r="H339" s="204"/>
      <c r="I339" s="204"/>
      <c r="J339" s="204"/>
      <c r="K339" s="204"/>
      <c r="L339" s="204"/>
      <c r="M339" s="204"/>
      <c r="N339" s="204"/>
      <c r="O339" s="204"/>
      <c r="P339" s="204"/>
      <c r="Q339" s="204"/>
      <c r="R339" s="204"/>
      <c r="S339" s="204"/>
      <c r="T339" s="204"/>
      <c r="U339" s="204"/>
      <c r="V339" s="204"/>
      <c r="W339" s="204"/>
      <c r="X339" s="210"/>
      <c r="Y339" s="198"/>
      <c r="Z339" s="236">
        <f>(F31+H31+J31+L31+N31)/AB31</f>
        <v>1</v>
      </c>
      <c r="AA339" s="198"/>
      <c r="AB339" s="40"/>
      <c r="AC339" s="43"/>
      <c r="AD339" s="22"/>
    </row>
    <row r="340" spans="1:30" s="23" customFormat="1" x14ac:dyDescent="0.3">
      <c r="A340" s="18"/>
      <c r="B340" s="20"/>
      <c r="C340" s="20"/>
      <c r="D340" s="214"/>
      <c r="E340" s="214"/>
      <c r="F340" s="214"/>
      <c r="G340" s="214"/>
      <c r="H340" s="214"/>
      <c r="I340" s="214"/>
      <c r="J340" s="214"/>
      <c r="K340" s="214"/>
      <c r="L340" s="214"/>
      <c r="M340" s="214"/>
      <c r="N340" s="214"/>
      <c r="O340" s="214"/>
      <c r="P340" s="214"/>
      <c r="Q340" s="214"/>
      <c r="R340" s="214"/>
      <c r="S340" s="214"/>
      <c r="T340" s="214"/>
      <c r="U340" s="214"/>
      <c r="V340" s="214"/>
      <c r="W340" s="214"/>
      <c r="X340" s="214"/>
      <c r="Y340" s="214"/>
      <c r="Z340" s="215"/>
      <c r="AA340" s="214"/>
      <c r="AB340" s="20"/>
      <c r="AC340" s="21"/>
      <c r="AD340" s="22"/>
    </row>
    <row r="341" spans="1:30" s="23" customFormat="1" x14ac:dyDescent="0.3">
      <c r="A341" s="18"/>
      <c r="B341" s="19" t="s">
        <v>62</v>
      </c>
      <c r="C341" s="20"/>
      <c r="D341" s="216" t="s">
        <v>66</v>
      </c>
      <c r="E341" s="19"/>
      <c r="F341" s="19" t="s">
        <v>67</v>
      </c>
      <c r="G341" s="20"/>
      <c r="H341" s="19"/>
      <c r="I341" s="20"/>
      <c r="J341" s="20"/>
      <c r="K341" s="20"/>
      <c r="L341" s="20"/>
      <c r="M341" s="20"/>
      <c r="N341" s="20"/>
      <c r="O341" s="20"/>
      <c r="P341" s="20"/>
      <c r="Q341" s="20"/>
      <c r="R341" s="20"/>
      <c r="S341" s="20"/>
      <c r="T341" s="20"/>
      <c r="U341" s="20"/>
      <c r="V341" s="20"/>
      <c r="W341" s="20"/>
      <c r="X341" s="20"/>
      <c r="Y341" s="20"/>
      <c r="Z341" s="20"/>
      <c r="AA341" s="20"/>
      <c r="AB341" s="20"/>
      <c r="AC341" s="21"/>
      <c r="AD341" s="22"/>
    </row>
    <row r="342" spans="1:30" s="23" customFormat="1" x14ac:dyDescent="0.3">
      <c r="A342" s="18"/>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1"/>
      <c r="AD342" s="22"/>
    </row>
    <row r="343" spans="1:30" s="23" customFormat="1" x14ac:dyDescent="0.3">
      <c r="A343" s="18"/>
      <c r="B343" s="19" t="s">
        <v>152</v>
      </c>
      <c r="C343" s="19"/>
      <c r="D343" s="217" t="s">
        <v>122</v>
      </c>
      <c r="E343" s="19"/>
      <c r="F343" s="19" t="s">
        <v>169</v>
      </c>
      <c r="G343" s="19"/>
      <c r="H343" s="19"/>
      <c r="I343" s="20"/>
      <c r="J343" s="20"/>
      <c r="K343" s="20"/>
      <c r="L343" s="20"/>
      <c r="M343" s="20"/>
      <c r="N343" s="20"/>
      <c r="O343" s="20"/>
      <c r="P343" s="20"/>
      <c r="Q343" s="20"/>
      <c r="R343" s="20"/>
      <c r="S343" s="20"/>
      <c r="T343" s="20"/>
      <c r="U343" s="20"/>
      <c r="V343" s="20"/>
      <c r="W343" s="20"/>
      <c r="X343" s="20"/>
      <c r="Y343" s="20"/>
      <c r="Z343" s="20"/>
      <c r="AA343" s="20"/>
      <c r="AB343" s="20"/>
      <c r="AC343" s="21"/>
      <c r="AD343" s="22"/>
    </row>
    <row r="344" spans="1:30" s="23" customFormat="1" x14ac:dyDescent="0.3">
      <c r="A344" s="18"/>
      <c r="B344" s="19" t="s">
        <v>153</v>
      </c>
      <c r="C344" s="19"/>
      <c r="D344" s="217" t="s">
        <v>98</v>
      </c>
      <c r="E344" s="19"/>
      <c r="F344" s="19" t="s">
        <v>170</v>
      </c>
      <c r="G344" s="19"/>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s="23" customFormat="1" x14ac:dyDescent="0.3">
      <c r="A345" s="18"/>
      <c r="B345" s="19"/>
      <c r="C345" s="19"/>
      <c r="D345" s="217"/>
      <c r="E345" s="19"/>
      <c r="F345" s="19"/>
      <c r="G345" s="19"/>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ht="18" x14ac:dyDescent="0.35">
      <c r="A346" s="218"/>
      <c r="B346" s="259" t="s">
        <v>109</v>
      </c>
      <c r="C346" s="219"/>
      <c r="D346" s="220"/>
      <c r="E346" s="220"/>
      <c r="F346" s="220"/>
      <c r="G346" s="220"/>
      <c r="H346" s="220"/>
      <c r="I346" s="220"/>
      <c r="J346" s="220"/>
      <c r="K346" s="220"/>
      <c r="L346" s="220"/>
      <c r="M346" s="220"/>
      <c r="N346" s="220"/>
      <c r="O346" s="220"/>
      <c r="P346" s="260" t="s">
        <v>168</v>
      </c>
      <c r="Q346" s="220"/>
      <c r="R346" s="220"/>
      <c r="S346" s="220"/>
      <c r="T346" s="220"/>
      <c r="U346" s="220"/>
      <c r="V346" s="220"/>
      <c r="W346" s="220"/>
      <c r="X346" s="220"/>
      <c r="Y346" s="220"/>
      <c r="Z346" s="220"/>
      <c r="AA346" s="220"/>
      <c r="AB346" s="220"/>
      <c r="AC346" s="221"/>
      <c r="AD346" s="5"/>
    </row>
    <row r="347" spans="1:30" ht="18" x14ac:dyDescent="0.35">
      <c r="A347" s="218"/>
      <c r="B347" s="259"/>
      <c r="C347" s="219"/>
      <c r="D347" s="220"/>
      <c r="E347" s="220"/>
      <c r="F347" s="220"/>
      <c r="G347" s="220"/>
      <c r="H347" s="220"/>
      <c r="I347" s="220"/>
      <c r="J347" s="220"/>
      <c r="K347" s="220"/>
      <c r="L347" s="220"/>
      <c r="M347" s="220"/>
      <c r="N347" s="220"/>
      <c r="O347" s="220"/>
      <c r="P347" s="260"/>
      <c r="Q347" s="220"/>
      <c r="R347" s="220"/>
      <c r="S347" s="220"/>
      <c r="T347" s="220"/>
      <c r="U347" s="220"/>
      <c r="V347" s="220"/>
      <c r="W347" s="220"/>
      <c r="X347" s="220"/>
      <c r="Y347" s="220"/>
      <c r="Z347" s="220"/>
      <c r="AA347" s="220"/>
      <c r="AB347" s="220"/>
      <c r="AC347" s="221"/>
      <c r="AD347" s="5"/>
    </row>
    <row r="348" spans="1:30" ht="18.600000000000001" thickBot="1" x14ac:dyDescent="0.4">
      <c r="A348" s="218"/>
      <c r="B348" s="222" t="str">
        <f>B234</f>
        <v>PM27 INVESTOR REPORT QUARTER ENDING SEPTEMBER 2023</v>
      </c>
      <c r="C348" s="219"/>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c r="AA348" s="220"/>
      <c r="AB348" s="220"/>
      <c r="AC348" s="223"/>
      <c r="AD348" s="5"/>
    </row>
    <row r="349" spans="1:30" x14ac:dyDescent="0.3">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c r="Y349" s="224"/>
      <c r="Z349" s="224"/>
      <c r="AA349" s="224"/>
      <c r="AB349" s="224"/>
      <c r="AC349" s="224"/>
    </row>
    <row r="350" spans="1:30" x14ac:dyDescent="0.3">
      <c r="B350" s="278" t="s">
        <v>351</v>
      </c>
    </row>
    <row r="351" spans="1:30" x14ac:dyDescent="0.3">
      <c r="B351" s="270" t="s">
        <v>352</v>
      </c>
    </row>
    <row r="352" spans="1:30" x14ac:dyDescent="0.3">
      <c r="B352" s="298" t="s">
        <v>353</v>
      </c>
    </row>
    <row r="354" spans="2:2" x14ac:dyDescent="0.3">
      <c r="B354" s="270" t="s">
        <v>365</v>
      </c>
    </row>
    <row r="355" spans="2:2" x14ac:dyDescent="0.3">
      <c r="B355" s="270" t="s">
        <v>364</v>
      </c>
    </row>
  </sheetData>
  <hyperlinks>
    <hyperlink ref="K9" r:id="rId1" display="http://www.paragon-group.co.uk" xr:uid="{8C6EE358-EB1B-401B-87F4-B799D5824CAC}"/>
    <hyperlink ref="P346" r:id="rId2" xr:uid="{93B8256C-2300-4915-BD33-537738154D9F}"/>
    <hyperlink ref="P274" r:id="rId3" xr:uid="{A68162CF-E442-410B-9CA3-CDD342A31033}"/>
    <hyperlink ref="B352" r:id="rId4" display="https://investorreporting.paragonbankinggroup.co.uk/bondinvestor_viewer/resources/bondinvestor/pdf/investornews/2021/libor-mortgages-transition-july-19" xr:uid="{9EC53B1F-F139-4883-A3BA-DEEB91A354B0}"/>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1" max="18" man="1"/>
    <brk id="234" max="18" man="1"/>
  </rowBreaks>
  <colBreaks count="1" manualBreakCount="1">
    <brk id="29" max="299" man="1"/>
  </colBreak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50688-FA39-498D-BC4F-E01C9BA32A0B}">
  <sheetPr>
    <tabColor rgb="FF89CB31"/>
  </sheetPr>
  <dimension ref="A1:JB355"/>
  <sheetViews>
    <sheetView showGridLines="0" showOutlineSymbols="0" zoomScale="70" zoomScaleNormal="70" workbookViewId="0"/>
  </sheetViews>
  <sheetFormatPr defaultColWidth="9.81640625" defaultRowHeight="15.6" x14ac:dyDescent="0.3"/>
  <cols>
    <col min="1" max="1" width="4" style="6" customWidth="1"/>
    <col min="2" max="2" width="71.08984375" style="6" customWidth="1"/>
    <col min="3" max="3" width="2.08984375" style="6" customWidth="1"/>
    <col min="4" max="4" width="16.08984375" style="6" customWidth="1"/>
    <col min="5" max="5" width="2.81640625" style="6" customWidth="1"/>
    <col min="6" max="6" width="16.08984375" style="6" customWidth="1"/>
    <col min="7" max="7" width="2.08984375" style="6" customWidth="1"/>
    <col min="8" max="8" width="17.81640625" style="6" customWidth="1"/>
    <col min="9" max="9" width="2.08984375" style="6" customWidth="1"/>
    <col min="10" max="10" width="14.8164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302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168</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301</v>
      </c>
      <c r="AC14" s="21"/>
      <c r="AD14" s="22"/>
    </row>
    <row r="15" spans="1:30" s="23" customFormat="1" x14ac:dyDescent="0.3">
      <c r="A15" s="18"/>
      <c r="B15" s="19" t="s">
        <v>278</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323</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3.6400000000000002E-2</v>
      </c>
      <c r="Z16" s="29" t="s">
        <v>264</v>
      </c>
      <c r="AA16" s="29">
        <v>0.96360000000000001</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2.9640834387666931E-2</v>
      </c>
      <c r="Z17" s="29" t="s">
        <v>264</v>
      </c>
      <c r="AA17" s="29">
        <v>0.97035916561233293</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6">
        <v>43951</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45309</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304</v>
      </c>
      <c r="G23" s="35"/>
      <c r="H23" s="35" t="s">
        <v>140</v>
      </c>
      <c r="I23" s="35"/>
      <c r="J23" s="35" t="s">
        <v>141</v>
      </c>
      <c r="K23" s="35"/>
      <c r="L23" s="35" t="s">
        <v>171</v>
      </c>
      <c r="M23" s="35"/>
      <c r="N23" s="35" t="s">
        <v>161</v>
      </c>
      <c r="O23" s="35"/>
      <c r="P23" s="35" t="s">
        <v>181</v>
      </c>
      <c r="Q23" s="35"/>
      <c r="R23" s="35" t="s">
        <v>182</v>
      </c>
      <c r="S23" s="35"/>
      <c r="T23" s="35" t="s">
        <v>183</v>
      </c>
      <c r="U23" s="35"/>
      <c r="V23" s="35" t="s">
        <v>184</v>
      </c>
      <c r="W23" s="35"/>
      <c r="X23" s="35" t="s">
        <v>185</v>
      </c>
      <c r="Y23" s="35" t="s">
        <v>186</v>
      </c>
      <c r="Z23" s="35"/>
      <c r="AA23" s="34"/>
      <c r="AB23" s="34"/>
      <c r="AC23" s="36"/>
      <c r="AD23" s="5"/>
    </row>
    <row r="24" spans="1:33" s="23" customFormat="1" x14ac:dyDescent="0.3">
      <c r="A24" s="18"/>
      <c r="B24" s="37" t="s">
        <v>158</v>
      </c>
      <c r="C24" s="38"/>
      <c r="D24" s="228"/>
      <c r="E24" s="228"/>
      <c r="F24" s="228" t="s">
        <v>220</v>
      </c>
      <c r="G24" s="228"/>
      <c r="H24" s="228" t="s">
        <v>221</v>
      </c>
      <c r="I24" s="228"/>
      <c r="J24" s="228" t="s">
        <v>269</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c r="E25" s="227"/>
      <c r="F25" s="227" t="s">
        <v>222</v>
      </c>
      <c r="G25" s="227"/>
      <c r="H25" s="227" t="s">
        <v>223</v>
      </c>
      <c r="I25" s="227"/>
      <c r="J25" s="227" t="s">
        <v>270</v>
      </c>
      <c r="K25" s="227"/>
      <c r="L25" s="227" t="s">
        <v>324</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159</v>
      </c>
      <c r="C26" s="41"/>
      <c r="D26" s="229"/>
      <c r="E26" s="229"/>
      <c r="F26" s="229" t="s">
        <v>220</v>
      </c>
      <c r="G26" s="229"/>
      <c r="H26" s="229" t="s">
        <v>220</v>
      </c>
      <c r="I26" s="229"/>
      <c r="J26" s="229" t="s">
        <v>355</v>
      </c>
      <c r="K26" s="229"/>
      <c r="L26" s="229" t="s">
        <v>356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c r="E27" s="229"/>
      <c r="F27" s="229" t="s">
        <v>222</v>
      </c>
      <c r="G27" s="229"/>
      <c r="H27" s="229" t="s">
        <v>223</v>
      </c>
      <c r="I27" s="229"/>
      <c r="J27" s="229" t="s">
        <v>270</v>
      </c>
      <c r="K27" s="229"/>
      <c r="L27" s="229" t="s">
        <v>324</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c r="E28" s="227"/>
      <c r="F28" s="227" t="s">
        <v>313</v>
      </c>
      <c r="G28" s="227"/>
      <c r="H28" s="227" t="s">
        <v>314</v>
      </c>
      <c r="I28" s="227"/>
      <c r="J28" s="227" t="s">
        <v>315</v>
      </c>
      <c r="K28" s="227"/>
      <c r="L28" s="227" t="s">
        <v>316</v>
      </c>
      <c r="M28" s="227"/>
      <c r="N28" s="227" t="s">
        <v>317</v>
      </c>
      <c r="O28" s="227"/>
      <c r="P28" s="227" t="s">
        <v>318</v>
      </c>
      <c r="Q28" s="227"/>
      <c r="R28" s="227" t="s">
        <v>83</v>
      </c>
      <c r="S28" s="227"/>
      <c r="T28" s="227" t="s">
        <v>319</v>
      </c>
      <c r="U28" s="227"/>
      <c r="V28" s="227" t="s">
        <v>320</v>
      </c>
      <c r="W28" s="227"/>
      <c r="X28" s="227" t="s">
        <v>321</v>
      </c>
      <c r="Y28" s="227" t="s">
        <v>322</v>
      </c>
      <c r="Z28" s="227"/>
      <c r="AA28" s="49"/>
      <c r="AB28" s="50"/>
      <c r="AC28" s="51"/>
      <c r="AD28" s="22"/>
      <c r="AE28" s="45"/>
      <c r="AG28" s="46"/>
    </row>
    <row r="29" spans="1:33" s="23" customFormat="1" x14ac:dyDescent="0.3">
      <c r="A29" s="39"/>
      <c r="B29" s="40" t="s">
        <v>91</v>
      </c>
      <c r="C29" s="52"/>
      <c r="D29" s="54"/>
      <c r="E29" s="53"/>
      <c r="F29" s="54">
        <v>648307</v>
      </c>
      <c r="G29" s="55"/>
      <c r="H29" s="54">
        <v>41826</v>
      </c>
      <c r="I29" s="55"/>
      <c r="J29" s="54">
        <v>22814</v>
      </c>
      <c r="K29" s="55"/>
      <c r="L29" s="54">
        <v>22814</v>
      </c>
      <c r="M29" s="50"/>
      <c r="N29" s="54">
        <v>24717</v>
      </c>
      <c r="O29" s="54"/>
      <c r="P29" s="231">
        <v>11637</v>
      </c>
      <c r="Q29" s="231"/>
      <c r="R29" s="231">
        <v>4175</v>
      </c>
      <c r="S29" s="54"/>
      <c r="T29" s="54" t="s">
        <v>83</v>
      </c>
      <c r="U29" s="54"/>
      <c r="V29" s="54" t="s">
        <v>83</v>
      </c>
      <c r="W29" s="54"/>
      <c r="X29" s="54" t="s">
        <v>83</v>
      </c>
      <c r="Y29" s="54" t="s">
        <v>83</v>
      </c>
      <c r="Z29" s="54"/>
      <c r="AA29" s="52"/>
      <c r="AB29" s="50">
        <f>SUM(F29:N29)</f>
        <v>760478</v>
      </c>
      <c r="AC29" s="51"/>
      <c r="AD29" s="22"/>
    </row>
    <row r="30" spans="1:33" s="23" customFormat="1" x14ac:dyDescent="0.3">
      <c r="A30" s="47"/>
      <c r="B30" s="40" t="s">
        <v>90</v>
      </c>
      <c r="C30" s="49"/>
      <c r="D30" s="54"/>
      <c r="E30" s="54"/>
      <c r="F30" s="54">
        <f>F29*F33</f>
        <v>528143.29755000002</v>
      </c>
      <c r="G30" s="54"/>
      <c r="H30" s="54">
        <f>H29</f>
        <v>41826</v>
      </c>
      <c r="I30" s="54"/>
      <c r="J30" s="54">
        <f>J29</f>
        <v>22814</v>
      </c>
      <c r="K30" s="54"/>
      <c r="L30" s="54">
        <f>L29</f>
        <v>22814</v>
      </c>
      <c r="M30" s="54"/>
      <c r="N30" s="54">
        <f>N29</f>
        <v>24717</v>
      </c>
      <c r="O30" s="54"/>
      <c r="P30" s="54">
        <f>P29*P33</f>
        <v>9331.5939299999991</v>
      </c>
      <c r="Q30" s="54"/>
      <c r="R30" s="54">
        <f>'December 2020'!R31</f>
        <v>0</v>
      </c>
      <c r="S30" s="54"/>
      <c r="T30" s="54" t="s">
        <v>83</v>
      </c>
      <c r="U30" s="54"/>
      <c r="V30" s="54" t="s">
        <v>83</v>
      </c>
      <c r="W30" s="54"/>
      <c r="X30" s="54" t="s">
        <v>83</v>
      </c>
      <c r="Y30" s="54" t="s">
        <v>83</v>
      </c>
      <c r="Z30" s="54"/>
      <c r="AA30" s="49"/>
      <c r="AB30" s="50">
        <f>SUM(F30:N30)</f>
        <v>640314.29755000002</v>
      </c>
      <c r="AC30" s="51"/>
      <c r="AD30" s="22"/>
    </row>
    <row r="31" spans="1:33" s="23" customFormat="1" x14ac:dyDescent="0.3">
      <c r="A31" s="47"/>
      <c r="B31" s="44" t="s">
        <v>92</v>
      </c>
      <c r="C31" s="49"/>
      <c r="D31" s="57"/>
      <c r="E31" s="57"/>
      <c r="F31" s="57">
        <f>F29*F32</f>
        <v>519864.41716000001</v>
      </c>
      <c r="G31" s="57"/>
      <c r="H31" s="57">
        <f>H29</f>
        <v>41826</v>
      </c>
      <c r="I31" s="57"/>
      <c r="J31" s="57">
        <f>J29</f>
        <v>22814</v>
      </c>
      <c r="K31" s="57"/>
      <c r="L31" s="57">
        <f>L29</f>
        <v>22814</v>
      </c>
      <c r="M31" s="57"/>
      <c r="N31" s="57">
        <f>N29</f>
        <v>24717</v>
      </c>
      <c r="O31" s="57"/>
      <c r="P31" s="57">
        <f>P29*P32</f>
        <v>9233.4940200000001</v>
      </c>
      <c r="Q31" s="57"/>
      <c r="R31" s="57">
        <v>0</v>
      </c>
      <c r="S31" s="57"/>
      <c r="T31" s="57" t="s">
        <v>83</v>
      </c>
      <c r="U31" s="57"/>
      <c r="V31" s="57" t="s">
        <v>83</v>
      </c>
      <c r="W31" s="57"/>
      <c r="X31" s="57" t="s">
        <v>83</v>
      </c>
      <c r="Y31" s="57" t="s">
        <v>83</v>
      </c>
      <c r="Z31" s="57"/>
      <c r="AA31" s="49"/>
      <c r="AB31" s="56">
        <f>SUM(F31:N31)</f>
        <v>632035.41715999995</v>
      </c>
      <c r="AC31" s="51"/>
      <c r="AD31" s="22"/>
      <c r="AE31" s="235"/>
    </row>
    <row r="32" spans="1:33" s="65" customFormat="1" x14ac:dyDescent="0.3">
      <c r="A32" s="58"/>
      <c r="B32" s="166" t="s">
        <v>88</v>
      </c>
      <c r="C32" s="61"/>
      <c r="D32" s="60"/>
      <c r="E32" s="60"/>
      <c r="F32" s="60">
        <v>0.80188000000000004</v>
      </c>
      <c r="G32" s="60"/>
      <c r="H32" s="60">
        <v>1</v>
      </c>
      <c r="I32" s="60"/>
      <c r="J32" s="60">
        <v>1</v>
      </c>
      <c r="K32" s="60"/>
      <c r="L32" s="60">
        <v>1</v>
      </c>
      <c r="M32" s="60"/>
      <c r="N32" s="60">
        <v>1</v>
      </c>
      <c r="O32" s="60"/>
      <c r="P32" s="60">
        <v>0.79346000000000005</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c r="E33" s="225"/>
      <c r="F33" s="60">
        <v>0.81464999999999999</v>
      </c>
      <c r="G33" s="60"/>
      <c r="H33" s="60">
        <v>1</v>
      </c>
      <c r="I33" s="60"/>
      <c r="J33" s="60">
        <v>1</v>
      </c>
      <c r="K33" s="60"/>
      <c r="L33" s="60">
        <v>1</v>
      </c>
      <c r="M33" s="60"/>
      <c r="N33" s="60">
        <v>1</v>
      </c>
      <c r="O33" s="60"/>
      <c r="P33" s="60">
        <v>0.80188999999999999</v>
      </c>
      <c r="Q33" s="225"/>
      <c r="R33" s="60">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c r="E34" s="48"/>
      <c r="F34" s="48" t="s">
        <v>305</v>
      </c>
      <c r="G34" s="48"/>
      <c r="H34" s="48" t="s">
        <v>306</v>
      </c>
      <c r="I34" s="48"/>
      <c r="J34" s="48" t="s">
        <v>273</v>
      </c>
      <c r="K34" s="48"/>
      <c r="L34" s="48" t="s">
        <v>307</v>
      </c>
      <c r="M34" s="48"/>
      <c r="N34" s="48" t="s">
        <v>308</v>
      </c>
      <c r="O34" s="48"/>
      <c r="P34" s="48" t="s">
        <v>254</v>
      </c>
      <c r="Q34" s="48"/>
      <c r="R34" s="48" t="s">
        <v>254</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c r="E35" s="241"/>
      <c r="F35" s="241">
        <v>6.3200699999999999E-2</v>
      </c>
      <c r="G35" s="241"/>
      <c r="H35" s="241">
        <v>6.7200700000000002E-2</v>
      </c>
      <c r="I35" s="241"/>
      <c r="J35" s="241">
        <v>7.0200700000000005E-2</v>
      </c>
      <c r="K35" s="241"/>
      <c r="L35" s="241">
        <v>7.3200699999999994E-2</v>
      </c>
      <c r="M35" s="241"/>
      <c r="N35" s="241">
        <v>8.3200700000000002E-2</v>
      </c>
      <c r="O35" s="241"/>
      <c r="P35" s="241">
        <v>9.2200699999999997E-2</v>
      </c>
      <c r="Q35" s="241"/>
      <c r="R35" s="241">
        <v>9.2200699999999997E-2</v>
      </c>
      <c r="S35" s="68"/>
      <c r="T35" s="68" t="s">
        <v>83</v>
      </c>
      <c r="U35" s="68"/>
      <c r="V35" s="68" t="s">
        <v>83</v>
      </c>
      <c r="W35" s="68"/>
      <c r="X35" s="68" t="s">
        <v>83</v>
      </c>
      <c r="Y35" s="68" t="s">
        <v>83</v>
      </c>
      <c r="Z35" s="68"/>
      <c r="AA35" s="40"/>
      <c r="AB35" s="67">
        <f>SUMPRODUCT(D35:N35,D30:N30)/AB30</f>
        <v>6.4839710723351915E-2</v>
      </c>
      <c r="AC35" s="43"/>
      <c r="AD35" s="22"/>
    </row>
    <row r="36" spans="1:30" s="23" customFormat="1" x14ac:dyDescent="0.3">
      <c r="A36" s="47"/>
      <c r="B36" s="40" t="s">
        <v>10</v>
      </c>
      <c r="C36" s="69"/>
      <c r="D36" s="241"/>
      <c r="E36" s="241"/>
      <c r="F36" s="241">
        <v>6.2499499999999999E-2</v>
      </c>
      <c r="G36" s="241"/>
      <c r="H36" s="241">
        <v>6.6499500000000003E-2</v>
      </c>
      <c r="I36" s="241"/>
      <c r="J36" s="241">
        <v>6.9499500000000006E-2</v>
      </c>
      <c r="K36" s="241"/>
      <c r="L36" s="241">
        <v>7.2499499999999995E-2</v>
      </c>
      <c r="M36" s="241"/>
      <c r="N36" s="241">
        <v>8.2499500000000003E-2</v>
      </c>
      <c r="O36" s="241"/>
      <c r="P36" s="241">
        <v>9.1499499999999998E-2</v>
      </c>
      <c r="Q36" s="241"/>
      <c r="R36" s="241">
        <v>9.1499499999999998E-2</v>
      </c>
      <c r="S36" s="68"/>
      <c r="T36" s="68" t="s">
        <v>83</v>
      </c>
      <c r="U36" s="68"/>
      <c r="V36" s="68" t="s">
        <v>83</v>
      </c>
      <c r="W36" s="68"/>
      <c r="X36" s="68" t="s">
        <v>83</v>
      </c>
      <c r="Y36" s="68" t="s">
        <v>83</v>
      </c>
      <c r="Z36" s="68"/>
      <c r="AA36" s="40"/>
      <c r="AB36" s="40"/>
      <c r="AC36" s="43"/>
      <c r="AD36" s="22"/>
    </row>
    <row r="37" spans="1:30" s="23" customFormat="1" x14ac:dyDescent="0.3">
      <c r="A37" s="47"/>
      <c r="B37" s="40" t="s">
        <v>160</v>
      </c>
      <c r="C37" s="40"/>
      <c r="D37" s="69"/>
      <c r="E37" s="69"/>
      <c r="F37" s="69">
        <v>45945</v>
      </c>
      <c r="G37" s="69"/>
      <c r="H37" s="69">
        <v>45945</v>
      </c>
      <c r="I37" s="69"/>
      <c r="J37" s="69">
        <v>45945</v>
      </c>
      <c r="K37" s="69"/>
      <c r="L37" s="69">
        <v>45945</v>
      </c>
      <c r="M37" s="69"/>
      <c r="N37" s="69">
        <v>45945</v>
      </c>
      <c r="O37" s="69"/>
      <c r="P37" s="69">
        <v>45945</v>
      </c>
      <c r="Q37" s="69"/>
      <c r="R37" s="69">
        <v>45945</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c r="E38" s="69"/>
      <c r="F38" s="69">
        <v>45945</v>
      </c>
      <c r="G38" s="48"/>
      <c r="H38" s="69">
        <v>45945</v>
      </c>
      <c r="I38" s="48"/>
      <c r="J38" s="69">
        <v>45945</v>
      </c>
      <c r="K38" s="48"/>
      <c r="L38" s="69">
        <v>45945</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c r="E39" s="48"/>
      <c r="F39" s="48" t="s">
        <v>309</v>
      </c>
      <c r="G39" s="48"/>
      <c r="H39" s="48" t="s">
        <v>272</v>
      </c>
      <c r="I39" s="48"/>
      <c r="J39" s="48" t="s">
        <v>310</v>
      </c>
      <c r="K39" s="48"/>
      <c r="L39" s="48" t="s">
        <v>308</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7" t="s">
        <v>110</v>
      </c>
      <c r="AC40" s="43"/>
      <c r="AD40" s="22"/>
    </row>
    <row r="41" spans="1:30" s="23" customFormat="1" x14ac:dyDescent="0.3">
      <c r="A41" s="47"/>
      <c r="B41" s="40" t="s">
        <v>253</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32">
        <f>SUM(G29:N29)/F29</f>
        <v>0.17302142349226524</v>
      </c>
      <c r="AC41" s="43"/>
      <c r="AD41" s="22"/>
    </row>
    <row r="42" spans="1:30" s="23" customFormat="1" x14ac:dyDescent="0.3">
      <c r="A42" s="47"/>
      <c r="B42" s="40" t="s">
        <v>252</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32">
        <f>SUM(G31:N31)/F31</f>
        <v>0.21576972052210461</v>
      </c>
      <c r="AC42" s="43"/>
      <c r="AD42" s="22"/>
    </row>
    <row r="43" spans="1:30" s="23" customFormat="1" x14ac:dyDescent="0.3">
      <c r="A43" s="47"/>
      <c r="B43" s="40" t="s">
        <v>197</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1"/>
      <c r="AC44" s="43"/>
      <c r="AD44" s="22"/>
    </row>
    <row r="45" spans="1:30" s="23" customFormat="1" x14ac:dyDescent="0.3">
      <c r="A45" s="47"/>
      <c r="B45" s="40" t="s">
        <v>196</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2"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3"/>
      <c r="AA46" s="73"/>
      <c r="AB46" s="74">
        <v>45306</v>
      </c>
      <c r="AC46" s="43"/>
      <c r="AD46" s="22"/>
    </row>
    <row r="47" spans="1:30" s="23" customFormat="1" x14ac:dyDescent="0.3">
      <c r="A47" s="47"/>
      <c r="B47" s="40" t="s">
        <v>85</v>
      </c>
      <c r="C47" s="40"/>
      <c r="D47" s="75"/>
      <c r="E47" s="75"/>
      <c r="F47" s="75"/>
      <c r="G47" s="75"/>
      <c r="H47" s="75"/>
      <c r="I47" s="75"/>
      <c r="J47" s="75"/>
      <c r="K47" s="75"/>
      <c r="L47" s="75"/>
      <c r="M47" s="75"/>
      <c r="N47" s="75"/>
      <c r="O47" s="75"/>
      <c r="P47" s="75"/>
      <c r="Q47" s="75"/>
      <c r="R47" s="75"/>
      <c r="S47" s="75"/>
      <c r="T47" s="75"/>
      <c r="U47" s="75"/>
      <c r="V47" s="75"/>
      <c r="W47" s="75"/>
      <c r="X47" s="280">
        <f>+AB47-Z47+1</f>
        <v>91</v>
      </c>
      <c r="Y47" s="40"/>
      <c r="Z47" s="76">
        <v>45124</v>
      </c>
      <c r="AA47" s="77"/>
      <c r="AB47" s="76">
        <v>45214</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80">
        <f>+AB48-Z48+1</f>
        <v>91</v>
      </c>
      <c r="Y48" s="40"/>
      <c r="Z48" s="76">
        <v>45215</v>
      </c>
      <c r="AA48" s="77"/>
      <c r="AB48" s="76">
        <v>45305</v>
      </c>
      <c r="AC48" s="43"/>
      <c r="AD48" s="22"/>
    </row>
    <row r="49" spans="1:31" s="23" customFormat="1" x14ac:dyDescent="0.3">
      <c r="A49" s="47"/>
      <c r="B49" s="40" t="s">
        <v>187</v>
      </c>
      <c r="C49" s="40"/>
      <c r="D49" s="40"/>
      <c r="E49" s="40"/>
      <c r="F49" s="40"/>
      <c r="G49" s="40"/>
      <c r="H49" s="40"/>
      <c r="I49" s="40"/>
      <c r="J49" s="40"/>
      <c r="K49" s="40"/>
      <c r="L49" s="40"/>
      <c r="M49" s="40"/>
      <c r="N49" s="40"/>
      <c r="O49" s="40"/>
      <c r="P49" s="40"/>
      <c r="Q49" s="40"/>
      <c r="R49" s="40"/>
      <c r="S49" s="40"/>
      <c r="T49" s="40"/>
      <c r="U49" s="40"/>
      <c r="V49" s="40"/>
      <c r="W49" s="40"/>
      <c r="X49" s="40"/>
      <c r="Y49" s="40"/>
      <c r="Z49" s="76"/>
      <c r="AA49" s="77"/>
      <c r="AB49" s="76" t="s">
        <v>99</v>
      </c>
      <c r="AC49" s="43"/>
      <c r="AD49" s="22"/>
      <c r="AE49" s="78"/>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v>45303</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9"/>
      <c r="AA51" s="80"/>
      <c r="AB51" s="79"/>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1"/>
      <c r="AA52" s="82"/>
      <c r="AB52" s="81"/>
      <c r="AC52" s="21"/>
      <c r="AD52" s="22"/>
    </row>
    <row r="53" spans="1:31" s="23" customFormat="1" ht="18.600000000000001" thickBot="1" x14ac:dyDescent="0.4">
      <c r="A53" s="83"/>
      <c r="B53" s="84" t="s">
        <v>369</v>
      </c>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6"/>
      <c r="AC53" s="87"/>
      <c r="AD53" s="22"/>
    </row>
    <row r="54" spans="1:31" x14ac:dyDescent="0.3">
      <c r="A54" s="33"/>
      <c r="B54" s="88" t="s">
        <v>13</v>
      </c>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90"/>
      <c r="AC54" s="89"/>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1"/>
      <c r="AC55" s="10"/>
      <c r="AD55" s="5"/>
    </row>
    <row r="56" spans="1:31" s="65" customFormat="1" ht="46.8" x14ac:dyDescent="0.3">
      <c r="A56" s="92"/>
      <c r="B56" s="93" t="s">
        <v>14</v>
      </c>
      <c r="C56" s="94"/>
      <c r="D56" s="94"/>
      <c r="E56" s="94"/>
      <c r="F56" s="94"/>
      <c r="G56" s="94"/>
      <c r="H56" s="94"/>
      <c r="I56" s="94"/>
      <c r="J56" s="94"/>
      <c r="K56" s="94"/>
      <c r="L56" s="94"/>
      <c r="M56" s="94"/>
      <c r="N56" s="94"/>
      <c r="O56" s="94"/>
      <c r="P56" s="94" t="s">
        <v>63</v>
      </c>
      <c r="Q56" s="94"/>
      <c r="R56" s="94" t="s">
        <v>65</v>
      </c>
      <c r="S56" s="94"/>
      <c r="T56" s="94" t="s">
        <v>135</v>
      </c>
      <c r="U56" s="94"/>
      <c r="V56" s="94" t="s">
        <v>136</v>
      </c>
      <c r="W56" s="94"/>
      <c r="X56" s="94" t="s">
        <v>68</v>
      </c>
      <c r="Y56" s="94"/>
      <c r="Z56" s="94" t="s">
        <v>72</v>
      </c>
      <c r="AA56" s="94"/>
      <c r="AB56" s="95" t="s">
        <v>78</v>
      </c>
      <c r="AC56" s="96"/>
      <c r="AD56" s="64"/>
    </row>
    <row r="57" spans="1:31" s="23" customFormat="1" x14ac:dyDescent="0.3">
      <c r="A57" s="47"/>
      <c r="B57" s="40" t="s">
        <v>15</v>
      </c>
      <c r="C57" s="97"/>
      <c r="D57" s="97"/>
      <c r="E57" s="97"/>
      <c r="F57" s="97"/>
      <c r="G57" s="97"/>
      <c r="H57" s="98"/>
      <c r="I57" s="97"/>
      <c r="J57" s="98"/>
      <c r="K57" s="97"/>
      <c r="L57" s="97"/>
      <c r="M57" s="97"/>
      <c r="N57" s="97"/>
      <c r="O57" s="97"/>
      <c r="P57" s="238">
        <v>759666</v>
      </c>
      <c r="Q57" s="238"/>
      <c r="R57" s="237">
        <v>640311</v>
      </c>
      <c r="S57" s="238"/>
      <c r="T57" s="237">
        <f>351+19</f>
        <v>370</v>
      </c>
      <c r="U57" s="238"/>
      <c r="V57" s="238">
        <v>7909</v>
      </c>
      <c r="W57" s="238"/>
      <c r="X57" s="238">
        <v>0</v>
      </c>
      <c r="Y57" s="238"/>
      <c r="Z57" s="238">
        <v>0</v>
      </c>
      <c r="AA57" s="238"/>
      <c r="AB57" s="237">
        <f>R57-T57-V57+X57-Z57</f>
        <v>632032</v>
      </c>
      <c r="AC57" s="43"/>
      <c r="AD57" s="22"/>
      <c r="AE57" s="271"/>
    </row>
    <row r="58" spans="1:31" s="23" customFormat="1" x14ac:dyDescent="0.3">
      <c r="A58" s="47"/>
      <c r="B58" s="40" t="s">
        <v>16</v>
      </c>
      <c r="C58" s="97"/>
      <c r="D58" s="97"/>
      <c r="E58" s="97"/>
      <c r="F58" s="97"/>
      <c r="G58" s="97"/>
      <c r="H58" s="98"/>
      <c r="I58" s="97"/>
      <c r="J58" s="98"/>
      <c r="K58" s="97"/>
      <c r="L58" s="97"/>
      <c r="M58" s="97"/>
      <c r="N58" s="97"/>
      <c r="O58" s="97"/>
      <c r="P58" s="238">
        <v>0</v>
      </c>
      <c r="Q58" s="238"/>
      <c r="R58" s="237">
        <v>0</v>
      </c>
      <c r="S58" s="238"/>
      <c r="T58" s="237">
        <v>0</v>
      </c>
      <c r="U58" s="238"/>
      <c r="V58" s="238">
        <v>0</v>
      </c>
      <c r="W58" s="238"/>
      <c r="X58" s="238">
        <v>0</v>
      </c>
      <c r="Y58" s="238"/>
      <c r="Z58" s="238">
        <v>0</v>
      </c>
      <c r="AA58" s="238"/>
      <c r="AB58" s="237">
        <f>F58-J58-L58</f>
        <v>0</v>
      </c>
      <c r="AC58" s="43"/>
      <c r="AD58" s="22"/>
    </row>
    <row r="59" spans="1:31" s="23" customFormat="1" x14ac:dyDescent="0.3">
      <c r="A59" s="47"/>
      <c r="B59" s="40"/>
      <c r="C59" s="97"/>
      <c r="D59" s="97"/>
      <c r="E59" s="97"/>
      <c r="F59" s="97"/>
      <c r="G59" s="97"/>
      <c r="H59" s="98"/>
      <c r="I59" s="97"/>
      <c r="J59" s="98"/>
      <c r="K59" s="97"/>
      <c r="L59" s="97"/>
      <c r="M59" s="97"/>
      <c r="N59" s="97"/>
      <c r="O59" s="97"/>
      <c r="P59" s="238"/>
      <c r="Q59" s="238"/>
      <c r="R59" s="237"/>
      <c r="S59" s="238"/>
      <c r="T59" s="237"/>
      <c r="U59" s="238"/>
      <c r="V59" s="238"/>
      <c r="W59" s="238"/>
      <c r="X59" s="238"/>
      <c r="Y59" s="238"/>
      <c r="Z59" s="238"/>
      <c r="AA59" s="238"/>
      <c r="AB59" s="237"/>
      <c r="AC59" s="43"/>
      <c r="AD59" s="22"/>
    </row>
    <row r="60" spans="1:31" s="23" customFormat="1" x14ac:dyDescent="0.3">
      <c r="A60" s="47"/>
      <c r="B60" s="40" t="s">
        <v>17</v>
      </c>
      <c r="C60" s="97"/>
      <c r="D60" s="97"/>
      <c r="E60" s="97"/>
      <c r="F60" s="97"/>
      <c r="G60" s="97"/>
      <c r="H60" s="97"/>
      <c r="I60" s="97"/>
      <c r="J60" s="97"/>
      <c r="K60" s="97"/>
      <c r="L60" s="97"/>
      <c r="M60" s="97"/>
      <c r="N60" s="97"/>
      <c r="O60" s="97"/>
      <c r="P60" s="238">
        <f>SUM(P57:P59)</f>
        <v>759666</v>
      </c>
      <c r="Q60" s="238"/>
      <c r="R60" s="238">
        <f>R57+R58</f>
        <v>640311</v>
      </c>
      <c r="S60" s="238"/>
      <c r="T60" s="238">
        <f>T57+T58</f>
        <v>370</v>
      </c>
      <c r="U60" s="238"/>
      <c r="V60" s="238">
        <f>SUM(V57:V59)</f>
        <v>7909</v>
      </c>
      <c r="W60" s="238"/>
      <c r="X60" s="238">
        <f>SUM(X57:X59)</f>
        <v>0</v>
      </c>
      <c r="Y60" s="238"/>
      <c r="Z60" s="238">
        <f>SUM(Z57:Z59)</f>
        <v>0</v>
      </c>
      <c r="AA60" s="238"/>
      <c r="AB60" s="238">
        <f>SUM(AB57:AB59)</f>
        <v>632032</v>
      </c>
      <c r="AC60" s="43"/>
      <c r="AD60" s="22"/>
    </row>
    <row r="61" spans="1:31" s="23" customFormat="1" ht="32.1" customHeight="1" x14ac:dyDescent="0.3">
      <c r="A61" s="47"/>
      <c r="B61" s="40"/>
      <c r="C61" s="97"/>
      <c r="D61" s="97"/>
      <c r="E61" s="97"/>
      <c r="F61" s="97"/>
      <c r="G61" s="97"/>
      <c r="H61" s="97"/>
      <c r="I61" s="97"/>
      <c r="J61" s="97"/>
      <c r="K61" s="97"/>
      <c r="L61" s="97"/>
      <c r="M61" s="97"/>
      <c r="N61" s="97"/>
      <c r="O61" s="97"/>
      <c r="P61" s="238"/>
      <c r="Q61" s="238"/>
      <c r="R61" s="238"/>
      <c r="S61" s="238"/>
      <c r="T61" s="238"/>
      <c r="U61" s="238"/>
      <c r="V61" s="238"/>
      <c r="W61" s="238"/>
      <c r="X61" s="238"/>
      <c r="Y61" s="238"/>
      <c r="Z61" s="238"/>
      <c r="AA61" s="238"/>
      <c r="AB61" s="238"/>
      <c r="AC61" s="43"/>
      <c r="AD61" s="22"/>
    </row>
    <row r="62" spans="1:31" s="23" customFormat="1" x14ac:dyDescent="0.3">
      <c r="A62" s="47"/>
      <c r="B62" s="40" t="s">
        <v>18</v>
      </c>
      <c r="C62" s="97"/>
      <c r="D62" s="97"/>
      <c r="E62" s="97"/>
      <c r="F62" s="97"/>
      <c r="G62" s="97"/>
      <c r="H62" s="97"/>
      <c r="I62" s="97"/>
      <c r="J62" s="97"/>
      <c r="K62" s="97"/>
      <c r="L62" s="97"/>
      <c r="M62" s="97"/>
      <c r="N62" s="97"/>
      <c r="O62" s="97"/>
      <c r="P62" s="238">
        <v>0</v>
      </c>
      <c r="Q62" s="238"/>
      <c r="R62" s="238">
        <v>0</v>
      </c>
      <c r="S62" s="238"/>
      <c r="T62" s="238"/>
      <c r="U62" s="238"/>
      <c r="V62" s="238"/>
      <c r="W62" s="238"/>
      <c r="X62" s="238"/>
      <c r="Y62" s="238"/>
      <c r="Z62" s="238"/>
      <c r="AA62" s="238"/>
      <c r="AB62" s="237">
        <v>0</v>
      </c>
      <c r="AC62" s="43"/>
      <c r="AD62" s="22"/>
    </row>
    <row r="63" spans="1:31" s="23" customFormat="1" x14ac:dyDescent="0.3">
      <c r="A63" s="47"/>
      <c r="B63" s="40" t="s">
        <v>274</v>
      </c>
      <c r="C63" s="97"/>
      <c r="D63" s="97"/>
      <c r="E63" s="97"/>
      <c r="F63" s="97"/>
      <c r="G63" s="97"/>
      <c r="H63" s="97"/>
      <c r="I63" s="97"/>
      <c r="J63" s="97"/>
      <c r="K63" s="97"/>
      <c r="L63" s="97"/>
      <c r="M63" s="97"/>
      <c r="N63" s="97"/>
      <c r="O63" s="97"/>
      <c r="P63" s="238">
        <v>0</v>
      </c>
      <c r="Q63" s="238"/>
      <c r="R63" s="238">
        <v>3</v>
      </c>
      <c r="S63" s="238"/>
      <c r="T63" s="238">
        <v>0</v>
      </c>
      <c r="U63" s="238"/>
      <c r="V63" s="238">
        <v>0</v>
      </c>
      <c r="W63" s="238"/>
      <c r="X63" s="238"/>
      <c r="Y63" s="238"/>
      <c r="Z63" s="238"/>
      <c r="AA63" s="238"/>
      <c r="AB63" s="238">
        <f>R63+V63</f>
        <v>3</v>
      </c>
      <c r="AC63" s="43"/>
      <c r="AD63" s="22"/>
    </row>
    <row r="64" spans="1:31" s="23" customFormat="1" x14ac:dyDescent="0.3">
      <c r="A64" s="47"/>
      <c r="B64" s="40" t="s">
        <v>172</v>
      </c>
      <c r="C64" s="97"/>
      <c r="D64" s="97"/>
      <c r="E64" s="97"/>
      <c r="F64" s="97"/>
      <c r="G64" s="97"/>
      <c r="H64" s="97"/>
      <c r="I64" s="97"/>
      <c r="J64" s="97"/>
      <c r="K64" s="97"/>
      <c r="L64" s="97"/>
      <c r="M64" s="97"/>
      <c r="N64" s="97"/>
      <c r="O64" s="97"/>
      <c r="P64" s="238">
        <v>812</v>
      </c>
      <c r="Q64" s="238"/>
      <c r="R64" s="238">
        <v>0</v>
      </c>
      <c r="S64" s="238"/>
      <c r="T64" s="238"/>
      <c r="U64" s="238"/>
      <c r="V64" s="238"/>
      <c r="W64" s="238"/>
      <c r="X64" s="238">
        <v>0</v>
      </c>
      <c r="Y64" s="238"/>
      <c r="Z64" s="238"/>
      <c r="AA64" s="238"/>
      <c r="AB64" s="238">
        <f>+R64+X64</f>
        <v>0</v>
      </c>
      <c r="AC64" s="43"/>
      <c r="AD64" s="22"/>
    </row>
    <row r="65" spans="1:30" s="23" customFormat="1" x14ac:dyDescent="0.3">
      <c r="A65" s="47"/>
      <c r="B65" s="40" t="s">
        <v>19</v>
      </c>
      <c r="C65" s="97"/>
      <c r="D65" s="97"/>
      <c r="E65" s="97"/>
      <c r="F65" s="97"/>
      <c r="G65" s="97"/>
      <c r="H65" s="97"/>
      <c r="I65" s="97"/>
      <c r="J65" s="97"/>
      <c r="K65" s="97"/>
      <c r="L65" s="97"/>
      <c r="M65" s="97"/>
      <c r="N65" s="97"/>
      <c r="O65" s="97"/>
      <c r="P65" s="238">
        <v>0</v>
      </c>
      <c r="Q65" s="238"/>
      <c r="R65" s="238">
        <v>0</v>
      </c>
      <c r="S65" s="238"/>
      <c r="T65" s="238"/>
      <c r="U65" s="238"/>
      <c r="V65" s="238"/>
      <c r="W65" s="238"/>
      <c r="X65" s="238"/>
      <c r="Y65" s="238"/>
      <c r="Z65" s="238"/>
      <c r="AA65" s="238"/>
      <c r="AB65" s="238">
        <v>0</v>
      </c>
      <c r="AC65" s="43"/>
      <c r="AD65" s="22"/>
    </row>
    <row r="66" spans="1:30" s="23" customFormat="1" x14ac:dyDescent="0.3">
      <c r="A66" s="47"/>
      <c r="B66" s="40" t="s">
        <v>20</v>
      </c>
      <c r="C66" s="97"/>
      <c r="D66" s="97"/>
      <c r="E66" s="97"/>
      <c r="F66" s="97"/>
      <c r="G66" s="97"/>
      <c r="H66" s="97"/>
      <c r="I66" s="97"/>
      <c r="J66" s="97"/>
      <c r="K66" s="97"/>
      <c r="L66" s="97"/>
      <c r="M66" s="97"/>
      <c r="N66" s="97"/>
      <c r="O66" s="97"/>
      <c r="P66" s="238">
        <f>SUM(P60:P65)</f>
        <v>760478</v>
      </c>
      <c r="Q66" s="238"/>
      <c r="R66" s="238">
        <f>SUM(R60:R65)</f>
        <v>640314</v>
      </c>
      <c r="S66" s="238"/>
      <c r="T66" s="238"/>
      <c r="U66" s="238"/>
      <c r="V66" s="238"/>
      <c r="W66" s="238"/>
      <c r="X66" s="238"/>
      <c r="Y66" s="238"/>
      <c r="Z66" s="238"/>
      <c r="AA66" s="238"/>
      <c r="AB66" s="238">
        <f>SUM(AB60:AB65)</f>
        <v>632035</v>
      </c>
      <c r="AC66" s="43"/>
      <c r="AD66" s="22"/>
    </row>
    <row r="67" spans="1:30" x14ac:dyDescent="0.3">
      <c r="A67" s="7"/>
      <c r="B67" s="99"/>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1"/>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2" t="s">
        <v>21</v>
      </c>
      <c r="C69" s="102"/>
      <c r="D69" s="103"/>
      <c r="E69" s="103"/>
      <c r="F69" s="103"/>
      <c r="G69" s="103"/>
      <c r="H69" s="104"/>
      <c r="I69" s="103"/>
      <c r="J69" s="105"/>
      <c r="K69" s="103"/>
      <c r="L69" s="103"/>
      <c r="M69" s="103"/>
      <c r="N69" s="103"/>
      <c r="O69" s="103"/>
      <c r="P69" s="103"/>
      <c r="Q69" s="103"/>
      <c r="R69" s="104" t="s">
        <v>64</v>
      </c>
      <c r="S69" s="103"/>
      <c r="T69" s="105">
        <f>+Z235</f>
        <v>45289</v>
      </c>
      <c r="U69" s="103"/>
      <c r="V69" s="103"/>
      <c r="W69" s="103"/>
      <c r="X69" s="103"/>
      <c r="Y69" s="103"/>
      <c r="Z69" s="103" t="s">
        <v>73</v>
      </c>
      <c r="AA69" s="103"/>
      <c r="AB69" s="103"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100">
        <f>+R63</f>
        <v>3</v>
      </c>
      <c r="AA70" s="37"/>
      <c r="AB70" s="107">
        <v>0</v>
      </c>
      <c r="AC70" s="21"/>
      <c r="AD70" s="22"/>
    </row>
    <row r="71" spans="1:30" s="23" customFormat="1" x14ac:dyDescent="0.3">
      <c r="A71" s="47"/>
      <c r="B71" s="40" t="s">
        <v>218</v>
      </c>
      <c r="C71" s="40"/>
      <c r="D71" s="70"/>
      <c r="E71" s="70"/>
      <c r="F71" s="70"/>
      <c r="G71" s="108"/>
      <c r="H71" s="70"/>
      <c r="I71" s="40"/>
      <c r="J71" s="109"/>
      <c r="K71" s="40"/>
      <c r="L71" s="40"/>
      <c r="M71" s="40"/>
      <c r="N71" s="40"/>
      <c r="O71" s="40"/>
      <c r="P71" s="40"/>
      <c r="Q71" s="40"/>
      <c r="R71" s="40"/>
      <c r="S71" s="40"/>
      <c r="T71" s="40"/>
      <c r="U71" s="40"/>
      <c r="V71" s="40"/>
      <c r="W71" s="40"/>
      <c r="X71" s="40"/>
      <c r="Y71" s="40"/>
      <c r="Z71" s="238">
        <f>-X64</f>
        <v>0</v>
      </c>
      <c r="AA71" s="40"/>
      <c r="AB71" s="98"/>
      <c r="AC71" s="43"/>
      <c r="AD71" s="22"/>
    </row>
    <row r="72" spans="1:30" s="23" customFormat="1" x14ac:dyDescent="0.3">
      <c r="A72" s="47"/>
      <c r="B72" s="40" t="s">
        <v>217</v>
      </c>
      <c r="C72" s="40"/>
      <c r="D72" s="70"/>
      <c r="E72" s="70"/>
      <c r="F72" s="70"/>
      <c r="G72" s="108"/>
      <c r="H72" s="70"/>
      <c r="I72" s="40"/>
      <c r="J72" s="109"/>
      <c r="K72" s="40"/>
      <c r="L72" s="40"/>
      <c r="M72" s="40"/>
      <c r="N72" s="40"/>
      <c r="O72" s="40"/>
      <c r="P72" s="40"/>
      <c r="Q72" s="40"/>
      <c r="R72" s="40"/>
      <c r="S72" s="40"/>
      <c r="T72" s="40"/>
      <c r="U72" s="40"/>
      <c r="V72" s="40"/>
      <c r="W72" s="40"/>
      <c r="X72" s="40"/>
      <c r="Y72" s="40"/>
      <c r="Z72" s="238">
        <f>-Z209</f>
        <v>0</v>
      </c>
      <c r="AA72" s="40"/>
      <c r="AB72" s="98"/>
      <c r="AC72" s="43"/>
      <c r="AD72" s="22"/>
    </row>
    <row r="73" spans="1:30" s="23" customFormat="1" x14ac:dyDescent="0.3">
      <c r="A73" s="47"/>
      <c r="B73" s="40" t="s">
        <v>23</v>
      </c>
      <c r="C73" s="40"/>
      <c r="D73" s="70"/>
      <c r="E73" s="70"/>
      <c r="F73" s="70"/>
      <c r="G73" s="108"/>
      <c r="H73" s="70"/>
      <c r="I73" s="40"/>
      <c r="J73" s="109"/>
      <c r="K73" s="40"/>
      <c r="L73" s="40"/>
      <c r="M73" s="40"/>
      <c r="N73" s="40"/>
      <c r="O73" s="40"/>
      <c r="P73" s="40"/>
      <c r="Q73" s="40"/>
      <c r="R73" s="40"/>
      <c r="S73" s="40"/>
      <c r="T73" s="40"/>
      <c r="U73" s="40"/>
      <c r="V73" s="40"/>
      <c r="W73" s="40"/>
      <c r="X73" s="40"/>
      <c r="Y73" s="40"/>
      <c r="Z73" s="238">
        <f>+T57+V57+Z57+1</f>
        <v>8280</v>
      </c>
      <c r="AA73" s="40"/>
      <c r="AB73" s="98"/>
      <c r="AC73" s="43"/>
      <c r="AD73" s="22"/>
    </row>
    <row r="74" spans="1:30" s="23" customFormat="1" x14ac:dyDescent="0.3">
      <c r="A74" s="47"/>
      <c r="B74" s="40" t="s">
        <v>115</v>
      </c>
      <c r="C74" s="40"/>
      <c r="D74" s="70"/>
      <c r="E74" s="70"/>
      <c r="F74" s="70"/>
      <c r="G74" s="108"/>
      <c r="H74" s="70"/>
      <c r="I74" s="40"/>
      <c r="J74" s="109"/>
      <c r="K74" s="40"/>
      <c r="L74" s="40"/>
      <c r="M74" s="40"/>
      <c r="N74" s="40"/>
      <c r="O74" s="40"/>
      <c r="P74" s="40"/>
      <c r="Q74" s="40"/>
      <c r="R74" s="40"/>
      <c r="S74" s="40"/>
      <c r="T74" s="40"/>
      <c r="U74" s="40"/>
      <c r="V74" s="40"/>
      <c r="W74" s="40"/>
      <c r="X74" s="40"/>
      <c r="Y74" s="40"/>
      <c r="Z74" s="238"/>
      <c r="AA74" s="40"/>
      <c r="AB74" s="98">
        <f>7880+244-1168-8</f>
        <v>6948</v>
      </c>
      <c r="AC74" s="43"/>
      <c r="AD74" s="22"/>
    </row>
    <row r="75" spans="1:30" s="23" customFormat="1" x14ac:dyDescent="0.3">
      <c r="A75" s="47"/>
      <c r="B75" s="40" t="s">
        <v>113</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v>138</v>
      </c>
      <c r="AC75" s="43"/>
      <c r="AD75" s="22"/>
    </row>
    <row r="76" spans="1:30" s="23" customFormat="1" x14ac:dyDescent="0.3">
      <c r="A76" s="47"/>
      <c r="B76" s="40" t="s">
        <v>114</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v>272</v>
      </c>
      <c r="AC76" s="43"/>
      <c r="AD76" s="22"/>
    </row>
    <row r="77" spans="1:30" s="23" customFormat="1" x14ac:dyDescent="0.3">
      <c r="A77" s="47"/>
      <c r="B77" s="40" t="s">
        <v>120</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59" t="s">
        <v>224</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98</v>
      </c>
      <c r="AC78" s="43"/>
      <c r="AD78" s="22"/>
    </row>
    <row r="79" spans="1:30" s="23" customFormat="1" x14ac:dyDescent="0.3">
      <c r="A79" s="47"/>
      <c r="B79" s="59" t="s">
        <v>225</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0</v>
      </c>
      <c r="AC79" s="43"/>
      <c r="AD79" s="22"/>
    </row>
    <row r="80" spans="1:30" s="23" customFormat="1" x14ac:dyDescent="0.3">
      <c r="A80" s="47"/>
      <c r="B80" s="40" t="s">
        <v>232</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f>+AB167</f>
        <v>0</v>
      </c>
      <c r="AC80" s="43"/>
      <c r="AD80" s="22"/>
    </row>
    <row r="81" spans="1:30" s="23" customFormat="1" x14ac:dyDescent="0.3">
      <c r="A81" s="47"/>
      <c r="B81" s="40" t="s">
        <v>246</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v>0</v>
      </c>
      <c r="AC81" s="43"/>
      <c r="AD81" s="22"/>
    </row>
    <row r="82" spans="1:30" s="23" customFormat="1" x14ac:dyDescent="0.3">
      <c r="A82" s="47"/>
      <c r="B82" s="59" t="s">
        <v>233</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2453</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8">
        <f>SUM(Z70:Z82)</f>
        <v>8283</v>
      </c>
      <c r="AA83" s="40"/>
      <c r="AB83" s="97">
        <f>SUM(AB70:AB82)</f>
        <v>9909</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8">
        <f>-AB84</f>
        <v>0</v>
      </c>
      <c r="AA84" s="40"/>
      <c r="AB84" s="98">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8"/>
      <c r="AA85" s="40"/>
      <c r="AB85" s="98">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8">
        <f>Z83+Z84</f>
        <v>8283</v>
      </c>
      <c r="AA86" s="40"/>
      <c r="AB86" s="97">
        <f>AB83+AB84+AB85</f>
        <v>9909</v>
      </c>
      <c r="AC86" s="43"/>
      <c r="AD86" s="22"/>
    </row>
    <row r="87" spans="1:30" x14ac:dyDescent="0.3">
      <c r="A87" s="110"/>
      <c r="B87" s="111" t="s">
        <v>27</v>
      </c>
      <c r="C87" s="59"/>
      <c r="D87" s="59"/>
      <c r="E87" s="59"/>
      <c r="F87" s="59"/>
      <c r="G87" s="59"/>
      <c r="H87" s="59"/>
      <c r="I87" s="59"/>
      <c r="J87" s="59"/>
      <c r="K87" s="59"/>
      <c r="L87" s="59"/>
      <c r="M87" s="59"/>
      <c r="N87" s="59"/>
      <c r="O87" s="59"/>
      <c r="P87" s="59"/>
      <c r="Q87" s="59"/>
      <c r="R87" s="59"/>
      <c r="S87" s="59"/>
      <c r="T87" s="59"/>
      <c r="U87" s="59"/>
      <c r="V87" s="59"/>
      <c r="W87" s="59"/>
      <c r="X87" s="59"/>
      <c r="Y87" s="59"/>
      <c r="Z87" s="238"/>
      <c r="AA87" s="112"/>
      <c r="AB87" s="113"/>
      <c r="AC87" s="114"/>
      <c r="AD87" s="5"/>
    </row>
    <row r="88" spans="1:30" x14ac:dyDescent="0.3">
      <c r="A88" s="110">
        <v>1</v>
      </c>
      <c r="B88" s="59" t="s">
        <v>138</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98">
        <v>0</v>
      </c>
      <c r="AC88" s="114"/>
      <c r="AD88" s="5"/>
    </row>
    <row r="89" spans="1:30" x14ac:dyDescent="0.3">
      <c r="A89" s="110">
        <v>2</v>
      </c>
      <c r="B89" s="59" t="s">
        <v>275</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-2</v>
      </c>
      <c r="AC89" s="114"/>
      <c r="AD89" s="5"/>
    </row>
    <row r="90" spans="1:30" x14ac:dyDescent="0.3">
      <c r="A90" s="110">
        <v>3</v>
      </c>
      <c r="B90" s="59" t="s">
        <v>247</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f>-323-10-10</f>
        <v>-343</v>
      </c>
      <c r="AC90" s="114"/>
      <c r="AD90" s="5"/>
    </row>
    <row r="91" spans="1:30" x14ac:dyDescent="0.3">
      <c r="A91" s="110">
        <v>4</v>
      </c>
      <c r="B91" s="59" t="s">
        <v>82</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v>6954</v>
      </c>
      <c r="AC91" s="114"/>
      <c r="AD91" s="5"/>
    </row>
    <row r="92" spans="1:30" x14ac:dyDescent="0.3">
      <c r="A92" s="110">
        <v>5</v>
      </c>
      <c r="B92" s="59" t="s">
        <v>129</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-8322</v>
      </c>
      <c r="AC92" s="114"/>
      <c r="AD92" s="5"/>
    </row>
    <row r="93" spans="1:30" x14ac:dyDescent="0.3">
      <c r="A93" s="110">
        <v>6</v>
      </c>
      <c r="B93" s="59" t="s">
        <v>150</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-701</v>
      </c>
      <c r="AC93" s="114"/>
      <c r="AD93" s="5"/>
    </row>
    <row r="94" spans="1:30" x14ac:dyDescent="0.3">
      <c r="A94" s="110">
        <v>7</v>
      </c>
      <c r="B94" s="59" t="s">
        <v>201</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0</v>
      </c>
      <c r="AC94" s="114"/>
      <c r="AD94" s="5"/>
    </row>
    <row r="95" spans="1:30" x14ac:dyDescent="0.3">
      <c r="A95" s="110">
        <v>8</v>
      </c>
      <c r="B95" s="59" t="s">
        <v>151</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-399</v>
      </c>
      <c r="AC95" s="114"/>
      <c r="AD95" s="5"/>
    </row>
    <row r="96" spans="1:30" x14ac:dyDescent="0.3">
      <c r="A96" s="110">
        <v>9</v>
      </c>
      <c r="B96" s="59" t="s">
        <v>180</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-416</v>
      </c>
      <c r="AC96" s="114"/>
      <c r="AD96" s="5"/>
    </row>
    <row r="97" spans="1:30" x14ac:dyDescent="0.3">
      <c r="A97" s="110">
        <v>10</v>
      </c>
      <c r="B97" s="59" t="s">
        <v>130</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0</v>
      </c>
      <c r="AC97" s="114"/>
      <c r="AD97" s="5"/>
    </row>
    <row r="98" spans="1:30" x14ac:dyDescent="0.3">
      <c r="A98" s="110">
        <v>11</v>
      </c>
      <c r="B98" s="59" t="s">
        <v>200</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0</v>
      </c>
      <c r="AC98" s="114"/>
      <c r="AD98" s="5"/>
    </row>
    <row r="99" spans="1:30" x14ac:dyDescent="0.3">
      <c r="A99" s="110">
        <v>12</v>
      </c>
      <c r="B99" s="59" t="s">
        <v>33</v>
      </c>
      <c r="C99" s="59"/>
      <c r="D99" s="59"/>
      <c r="E99" s="59"/>
      <c r="F99" s="59"/>
      <c r="G99" s="59"/>
      <c r="H99" s="59"/>
      <c r="I99" s="59"/>
      <c r="J99" s="59"/>
      <c r="K99" s="59"/>
      <c r="L99" s="59"/>
      <c r="M99" s="59"/>
      <c r="N99" s="59"/>
      <c r="O99" s="59"/>
      <c r="P99" s="59"/>
      <c r="Q99" s="59"/>
      <c r="R99" s="59"/>
      <c r="S99" s="59"/>
      <c r="T99" s="59"/>
      <c r="U99" s="59"/>
      <c r="V99" s="59"/>
      <c r="W99" s="59"/>
      <c r="X99" s="59"/>
      <c r="Y99" s="59"/>
      <c r="Z99" s="238">
        <f>-AB99</f>
        <v>-1</v>
      </c>
      <c r="AA99" s="112"/>
      <c r="AB99" s="98">
        <v>1</v>
      </c>
      <c r="AC99" s="114"/>
      <c r="AD99" s="5"/>
    </row>
    <row r="100" spans="1:30" x14ac:dyDescent="0.3">
      <c r="A100" s="110">
        <v>13</v>
      </c>
      <c r="B100" s="59" t="s">
        <v>276</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14</v>
      </c>
      <c r="B101" s="59" t="s">
        <v>277</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c r="AA101" s="112"/>
      <c r="AB101" s="98">
        <v>-3000</v>
      </c>
      <c r="AC101" s="114"/>
      <c r="AD101" s="5"/>
    </row>
    <row r="102" spans="1:30" x14ac:dyDescent="0.3">
      <c r="A102" s="110">
        <v>15</v>
      </c>
      <c r="B102" s="59" t="s">
        <v>28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-26</v>
      </c>
      <c r="AC102" s="114"/>
      <c r="AD102" s="5"/>
    </row>
    <row r="103" spans="1:30" x14ac:dyDescent="0.3">
      <c r="A103" s="110">
        <v>16</v>
      </c>
      <c r="B103" s="59" t="s">
        <v>118</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0</v>
      </c>
      <c r="AC103" s="114"/>
      <c r="AD103" s="5"/>
    </row>
    <row r="104" spans="1:30" x14ac:dyDescent="0.3">
      <c r="A104" s="110">
        <v>17</v>
      </c>
      <c r="B104" s="59" t="s">
        <v>188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0</v>
      </c>
      <c r="AC104" s="114"/>
      <c r="AD104" s="5"/>
    </row>
    <row r="105" spans="1:30" x14ac:dyDescent="0.3">
      <c r="A105" s="110">
        <v>18</v>
      </c>
      <c r="B105" s="59" t="s">
        <v>162</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-513</v>
      </c>
      <c r="AC105" s="114"/>
      <c r="AD105" s="5"/>
    </row>
    <row r="106" spans="1:30" x14ac:dyDescent="0.3">
      <c r="A106" s="110">
        <v>19</v>
      </c>
      <c r="B106" s="59" t="s">
        <v>257</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-214</v>
      </c>
      <c r="AC106" s="114"/>
      <c r="AD106" s="5"/>
    </row>
    <row r="107" spans="1:30" x14ac:dyDescent="0.3">
      <c r="A107" s="110">
        <v>20</v>
      </c>
      <c r="B107" s="59" t="s">
        <v>258</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-98</v>
      </c>
      <c r="AC107" s="114"/>
      <c r="AD107" s="5"/>
    </row>
    <row r="108" spans="1:30" x14ac:dyDescent="0.3">
      <c r="A108" s="110">
        <v>21</v>
      </c>
      <c r="B108" s="59" t="s">
        <v>259</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0</v>
      </c>
      <c r="AC108" s="114"/>
      <c r="AD108" s="5"/>
    </row>
    <row r="109" spans="1:30" x14ac:dyDescent="0.3">
      <c r="A109" s="110">
        <v>22</v>
      </c>
      <c r="B109" s="59" t="s">
        <v>260</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0</v>
      </c>
      <c r="AC109" s="114"/>
      <c r="AD109" s="5"/>
    </row>
    <row r="110" spans="1:30" x14ac:dyDescent="0.3">
      <c r="A110" s="110">
        <v>23</v>
      </c>
      <c r="B110" s="59" t="s">
        <v>131</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24</v>
      </c>
      <c r="B111" s="59" t="s">
        <v>137</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f>-14-72</f>
        <v>-86</v>
      </c>
      <c r="AC111" s="114"/>
      <c r="AD111" s="5"/>
    </row>
    <row r="112" spans="1:30" x14ac:dyDescent="0.3">
      <c r="A112" s="110">
        <v>25</v>
      </c>
      <c r="B112" s="59" t="s">
        <v>255</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-5</v>
      </c>
      <c r="AC112" s="114"/>
      <c r="AD112" s="5"/>
    </row>
    <row r="113" spans="1:30" x14ac:dyDescent="0.3">
      <c r="A113" s="110">
        <v>26</v>
      </c>
      <c r="B113" s="59" t="s">
        <v>226</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-2739</v>
      </c>
      <c r="AC113" s="114"/>
      <c r="AD113" s="5"/>
    </row>
    <row r="114" spans="1:30" x14ac:dyDescent="0.3">
      <c r="A114" s="110"/>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113"/>
      <c r="AC114" s="114"/>
      <c r="AD114" s="5"/>
    </row>
    <row r="115" spans="1:30" x14ac:dyDescent="0.3">
      <c r="A115" s="110"/>
      <c r="B115" s="111" t="s">
        <v>29</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112"/>
      <c r="AB115" s="116"/>
      <c r="AC115" s="114"/>
      <c r="AD115" s="5"/>
    </row>
    <row r="116" spans="1:30" x14ac:dyDescent="0.3">
      <c r="A116" s="110"/>
      <c r="B116" s="40" t="s">
        <v>227</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v>0</v>
      </c>
      <c r="AA116" s="112"/>
      <c r="AB116" s="116"/>
      <c r="AC116" s="114"/>
      <c r="AD116" s="5"/>
    </row>
    <row r="117" spans="1:30" s="23" customFormat="1" x14ac:dyDescent="0.3">
      <c r="A117" s="47"/>
      <c r="B117" s="40" t="s">
        <v>156</v>
      </c>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238">
        <v>0</v>
      </c>
      <c r="AA117" s="97"/>
      <c r="AB117" s="98"/>
      <c r="AC117" s="43"/>
      <c r="AD117" s="22"/>
    </row>
    <row r="118" spans="1:30" s="23" customFormat="1" x14ac:dyDescent="0.3">
      <c r="A118" s="47"/>
      <c r="B118" s="40" t="s">
        <v>157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8">
        <v>0</v>
      </c>
      <c r="AA118" s="97"/>
      <c r="AB118" s="98"/>
      <c r="AC118" s="43"/>
      <c r="AD118" s="22"/>
    </row>
    <row r="119" spans="1:30" s="23" customFormat="1" x14ac:dyDescent="0.3">
      <c r="A119" s="47"/>
      <c r="B119" s="40" t="s">
        <v>262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263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312</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-8279</v>
      </c>
      <c r="AA121" s="97"/>
      <c r="AB121" s="98"/>
      <c r="AC121" s="43"/>
      <c r="AD121" s="22"/>
    </row>
    <row r="122" spans="1:30" s="23" customFormat="1" x14ac:dyDescent="0.3">
      <c r="A122" s="47"/>
      <c r="B122" s="40" t="s">
        <v>142</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143</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0</v>
      </c>
      <c r="AA123" s="97"/>
      <c r="AB123" s="98"/>
      <c r="AC123" s="43"/>
      <c r="AD123" s="22"/>
    </row>
    <row r="124" spans="1:30" s="23" customFormat="1" x14ac:dyDescent="0.3">
      <c r="A124" s="47"/>
      <c r="B124" s="40" t="s">
        <v>173</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163</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189</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30</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f>SUM(Z116:Z126)</f>
        <v>-8279</v>
      </c>
      <c r="AA127" s="97"/>
      <c r="AB127" s="97">
        <f>SUM(AB87:AB125)</f>
        <v>-9909</v>
      </c>
      <c r="AC127" s="43"/>
      <c r="AD127" s="22"/>
    </row>
    <row r="128" spans="1:30" s="23" customFormat="1" x14ac:dyDescent="0.3">
      <c r="A128" s="47"/>
      <c r="B128" s="40" t="s">
        <v>31</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f>Z86+Z127+Z99</f>
        <v>3</v>
      </c>
      <c r="AA128" s="97"/>
      <c r="AB128" s="97">
        <f>AB86+AB127</f>
        <v>0</v>
      </c>
      <c r="AC128" s="43"/>
      <c r="AD128" s="22"/>
    </row>
    <row r="129" spans="1:30" s="23" customFormat="1" x14ac:dyDescent="0.3">
      <c r="A129" s="18"/>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106"/>
      <c r="AA129" s="106"/>
      <c r="AB129" s="106"/>
      <c r="AC129" s="21"/>
      <c r="AD129" s="22"/>
    </row>
    <row r="130" spans="1:30" s="23" customFormat="1" x14ac:dyDescent="0.3">
      <c r="A130" s="18"/>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117"/>
      <c r="AC130" s="21"/>
      <c r="AD130" s="22"/>
    </row>
    <row r="131" spans="1:30" s="23" customFormat="1" ht="18.600000000000001" thickBot="1" x14ac:dyDescent="0.4">
      <c r="A131" s="83"/>
      <c r="B131" s="84" t="str">
        <f>B53</f>
        <v>PM27 INVESTOR REPORT QUARTER ENDING DECEMBER 2023</v>
      </c>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118"/>
      <c r="AC131" s="87"/>
      <c r="AD131" s="22"/>
    </row>
    <row r="132" spans="1:30" x14ac:dyDescent="0.3">
      <c r="A132" s="119"/>
      <c r="B132" s="120" t="s">
        <v>32</v>
      </c>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2"/>
      <c r="AC132" s="123"/>
      <c r="AD132" s="5"/>
    </row>
    <row r="133" spans="1:30" x14ac:dyDescent="0.3">
      <c r="A133" s="7"/>
      <c r="B133" s="124"/>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1"/>
      <c r="AC133" s="10"/>
      <c r="AD133" s="5"/>
    </row>
    <row r="134" spans="1:30" x14ac:dyDescent="0.3">
      <c r="A134" s="7"/>
      <c r="B134" s="125" t="s">
        <v>192</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1"/>
      <c r="AC134" s="10"/>
      <c r="AD134" s="5"/>
    </row>
    <row r="135" spans="1:30" s="23" customFormat="1" x14ac:dyDescent="0.3">
      <c r="A135" s="47"/>
      <c r="B135" s="40" t="s">
        <v>199</v>
      </c>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98">
        <f>SUM(F29:H29)*1.5%</f>
        <v>10351.994999999999</v>
      </c>
      <c r="AC135" s="43"/>
      <c r="AD135" s="22"/>
    </row>
    <row r="136" spans="1:30" s="23" customFormat="1" x14ac:dyDescent="0.3">
      <c r="A136" s="47"/>
      <c r="B136" s="40" t="s">
        <v>204</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8">
        <f>+'September 2023'!AB143</f>
        <v>8647.994999999999</v>
      </c>
      <c r="AC136" s="43"/>
      <c r="AD136" s="22"/>
    </row>
    <row r="137" spans="1:30" s="23" customFormat="1" x14ac:dyDescent="0.3">
      <c r="A137" s="47"/>
      <c r="B137" s="40" t="s">
        <v>248</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8"/>
      <c r="AC137" s="43"/>
      <c r="AD137" s="22"/>
    </row>
    <row r="138" spans="1:30" s="23" customFormat="1" x14ac:dyDescent="0.3">
      <c r="A138" s="47"/>
      <c r="B138" s="40" t="s">
        <v>250</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v>0</v>
      </c>
      <c r="AC138" s="43"/>
      <c r="AD138" s="22"/>
    </row>
    <row r="139" spans="1:30" s="23" customFormat="1" x14ac:dyDescent="0.3">
      <c r="A139" s="47"/>
      <c r="B139" s="40" t="s">
        <v>198</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v>0</v>
      </c>
      <c r="AC139" s="43"/>
      <c r="AD139" s="22"/>
    </row>
    <row r="140" spans="1:30" s="23" customFormat="1" x14ac:dyDescent="0.3">
      <c r="A140" s="47"/>
      <c r="B140" s="40" t="s">
        <v>150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v>0</v>
      </c>
      <c r="AC140" s="43"/>
      <c r="AD140" s="22"/>
    </row>
    <row r="141" spans="1:30" s="23" customFormat="1" x14ac:dyDescent="0.3">
      <c r="A141" s="47"/>
      <c r="B141" s="40" t="s">
        <v>87</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251</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-98</v>
      </c>
      <c r="AC142" s="43"/>
      <c r="AD142" s="22"/>
    </row>
    <row r="143" spans="1:30" s="23" customFormat="1" x14ac:dyDescent="0.3">
      <c r="A143" s="47"/>
      <c r="B143" s="40" t="s">
        <v>203</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f>SUM(AB136:AB142)</f>
        <v>8549.994999999999</v>
      </c>
      <c r="AC143" s="43"/>
      <c r="AD143" s="22"/>
    </row>
    <row r="144" spans="1:30" x14ac:dyDescent="0.3">
      <c r="A144" s="7"/>
      <c r="B144" s="124"/>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1"/>
      <c r="AC144" s="10"/>
      <c r="AD144" s="5"/>
    </row>
    <row r="145" spans="1:30" x14ac:dyDescent="0.3">
      <c r="A145" s="7"/>
      <c r="B145" s="125" t="s">
        <v>190</v>
      </c>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1"/>
      <c r="AC145" s="10"/>
      <c r="AD145" s="5"/>
    </row>
    <row r="146" spans="1:30" s="23" customFormat="1" x14ac:dyDescent="0.3">
      <c r="A146" s="47"/>
      <c r="B146" s="59" t="s">
        <v>191</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SUM(J29:L29)*1.5%</f>
        <v>684.42</v>
      </c>
      <c r="AC146" s="43"/>
      <c r="AD146" s="22"/>
    </row>
    <row r="147" spans="1:30" s="23" customFormat="1" x14ac:dyDescent="0.3">
      <c r="A147" s="47"/>
      <c r="B147" s="59" t="s">
        <v>205</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8">
        <f>SUM(J29:L29)*0.015</f>
        <v>684.42</v>
      </c>
      <c r="AC147" s="43"/>
      <c r="AD147" s="22"/>
    </row>
    <row r="148" spans="1:30" s="23" customFormat="1" x14ac:dyDescent="0.3">
      <c r="A148" s="47"/>
      <c r="B148" s="59" t="s">
        <v>93</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8"/>
      <c r="AC148" s="43"/>
      <c r="AD148" s="22"/>
    </row>
    <row r="149" spans="1:30" s="23" customFormat="1" x14ac:dyDescent="0.3">
      <c r="A149" s="47"/>
      <c r="B149" s="40" t="s">
        <v>250</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v>0</v>
      </c>
      <c r="AC149" s="43"/>
      <c r="AD149" s="22"/>
    </row>
    <row r="150" spans="1:30" s="23" customFormat="1" x14ac:dyDescent="0.3">
      <c r="A150" s="47"/>
      <c r="B150" s="59" t="s">
        <v>129</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v>0</v>
      </c>
      <c r="AC150" s="43"/>
      <c r="AD150" s="22"/>
    </row>
    <row r="151" spans="1:30" s="23" customFormat="1" x14ac:dyDescent="0.3">
      <c r="A151" s="47"/>
      <c r="B151" s="59" t="s">
        <v>150</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v>0</v>
      </c>
      <c r="AC151" s="43"/>
      <c r="AD151" s="22"/>
    </row>
    <row r="152" spans="1:30" s="23" customFormat="1" x14ac:dyDescent="0.3">
      <c r="A152" s="47"/>
      <c r="B152" s="59" t="s">
        <v>151</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0" s="23" customFormat="1" x14ac:dyDescent="0.3">
      <c r="A153" s="47"/>
      <c r="B153" s="59" t="s">
        <v>180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0" s="23" customFormat="1" x14ac:dyDescent="0.3">
      <c r="A154" s="47"/>
      <c r="B154" s="59" t="s">
        <v>87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0" s="23" customFormat="1" x14ac:dyDescent="0.3">
      <c r="A155" s="47"/>
      <c r="B155" s="40" t="s">
        <v>251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0" s="23" customFormat="1" x14ac:dyDescent="0.3">
      <c r="A156" s="47"/>
      <c r="B156" s="59" t="s">
        <v>202</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f>SUM(AB147:AB155)</f>
        <v>684.42</v>
      </c>
      <c r="AC156" s="43"/>
      <c r="AD156" s="22"/>
    </row>
    <row r="157" spans="1:30" x14ac:dyDescent="0.3">
      <c r="A157" s="7"/>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126"/>
      <c r="AC157" s="10"/>
      <c r="AD157" s="5"/>
    </row>
    <row r="158" spans="1:30" x14ac:dyDescent="0.3">
      <c r="A158" s="7"/>
      <c r="B158" s="125" t="s">
        <v>174</v>
      </c>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8"/>
      <c r="AC158" s="10"/>
      <c r="AD158" s="5"/>
    </row>
    <row r="159" spans="1:30" s="23" customFormat="1" x14ac:dyDescent="0.3">
      <c r="A159" s="129"/>
      <c r="B159" s="230" t="s">
        <v>281</v>
      </c>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1">
        <f>+'September 2023'!AB162</f>
        <v>0</v>
      </c>
      <c r="AC159" s="132"/>
      <c r="AD159" s="22"/>
    </row>
    <row r="160" spans="1:30" s="23" customFormat="1" x14ac:dyDescent="0.3">
      <c r="A160" s="129"/>
      <c r="B160" s="230" t="s">
        <v>175</v>
      </c>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1">
        <f>X64</f>
        <v>0</v>
      </c>
      <c r="AC160" s="132"/>
      <c r="AD160" s="22"/>
    </row>
    <row r="161" spans="1:262" s="23" customFormat="1" x14ac:dyDescent="0.3">
      <c r="A161" s="129"/>
      <c r="B161" s="230" t="s">
        <v>249</v>
      </c>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1">
        <v>0</v>
      </c>
      <c r="AC161" s="132"/>
      <c r="AD161" s="22"/>
    </row>
    <row r="162" spans="1:262" s="23" customFormat="1" x14ac:dyDescent="0.3">
      <c r="A162" s="129"/>
      <c r="B162" s="230" t="s">
        <v>176</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AB159+AB160+AB161</f>
        <v>0</v>
      </c>
      <c r="AC162" s="132"/>
      <c r="AD162" s="22"/>
    </row>
    <row r="163" spans="1:262" x14ac:dyDescent="0.3">
      <c r="A163" s="7"/>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126"/>
      <c r="AC163" s="10"/>
      <c r="AD163" s="5"/>
    </row>
    <row r="164" spans="1:262" x14ac:dyDescent="0.3">
      <c r="A164" s="7"/>
      <c r="B164" s="125" t="s">
        <v>34</v>
      </c>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133"/>
      <c r="AC164" s="10"/>
      <c r="AD164" s="5"/>
    </row>
    <row r="165" spans="1:262" s="23" customFormat="1" x14ac:dyDescent="0.3">
      <c r="A165" s="47"/>
      <c r="B165" s="40" t="s">
        <v>35</v>
      </c>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98">
        <v>0</v>
      </c>
      <c r="AC165" s="43"/>
      <c r="AD165" s="22"/>
    </row>
    <row r="166" spans="1:262" s="23" customFormat="1" x14ac:dyDescent="0.3">
      <c r="A166" s="47"/>
      <c r="B166" s="40" t="s">
        <v>36</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8">
        <v>-1</v>
      </c>
      <c r="AC166" s="43"/>
      <c r="AD166" s="22"/>
    </row>
    <row r="167" spans="1:262" s="23" customFormat="1" x14ac:dyDescent="0.3">
      <c r="A167" s="47"/>
      <c r="B167" s="40" t="s">
        <v>219</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8">
        <v>0</v>
      </c>
      <c r="AC167" s="43"/>
      <c r="AD167" s="22"/>
    </row>
    <row r="168" spans="1:262" s="23" customFormat="1" x14ac:dyDescent="0.3">
      <c r="A168" s="47"/>
      <c r="B168" s="40" t="s">
        <v>37</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+AB165+AB166+AB167</f>
        <v>-1</v>
      </c>
      <c r="AC168" s="43"/>
      <c r="AD168" s="22"/>
    </row>
    <row r="169" spans="1:262" s="23" customFormat="1" x14ac:dyDescent="0.3">
      <c r="A169" s="47"/>
      <c r="B169" s="40" t="s">
        <v>268</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f>+AB99</f>
        <v>1</v>
      </c>
      <c r="AC169" s="43"/>
      <c r="AD169" s="22"/>
    </row>
    <row r="170" spans="1:262" s="23" customFormat="1" x14ac:dyDescent="0.3">
      <c r="A170" s="47"/>
      <c r="B170" s="40" t="s">
        <v>38</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f>AB168+AB169</f>
        <v>0</v>
      </c>
      <c r="AC170" s="43"/>
      <c r="AD170" s="22"/>
    </row>
    <row r="171" spans="1:262" s="23" customFormat="1" x14ac:dyDescent="0.3">
      <c r="A171" s="47"/>
      <c r="B171" s="40" t="s">
        <v>124</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-AB85</f>
        <v>0</v>
      </c>
      <c r="AC171" s="43"/>
      <c r="AD171" s="22"/>
    </row>
    <row r="172" spans="1:262" ht="16.2" thickBot="1" x14ac:dyDescent="0.35">
      <c r="A172" s="7"/>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126"/>
      <c r="AC172" s="10"/>
      <c r="AD172" s="5"/>
    </row>
    <row r="173" spans="1:262" x14ac:dyDescent="0.3">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134"/>
      <c r="AC173" s="4"/>
      <c r="AD173" s="5"/>
    </row>
    <row r="174" spans="1:262" s="136" customFormat="1" x14ac:dyDescent="0.3">
      <c r="A174" s="7"/>
      <c r="B174" s="125" t="s">
        <v>193</v>
      </c>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135"/>
      <c r="AC174" s="10"/>
      <c r="AD174" s="5"/>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row>
    <row r="175" spans="1:262" s="137" customFormat="1" x14ac:dyDescent="0.3">
      <c r="A175" s="47"/>
      <c r="B175" s="40" t="s">
        <v>332</v>
      </c>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98">
        <v>0</v>
      </c>
      <c r="AC175" s="43"/>
      <c r="AD175" s="22"/>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row>
    <row r="176" spans="1:262" s="137" customFormat="1" x14ac:dyDescent="0.3">
      <c r="A176" s="47"/>
      <c r="B176" s="40" t="s">
        <v>210</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8">
        <f>+'September 2023'!AB179</f>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7" customFormat="1" x14ac:dyDescent="0.3">
      <c r="A177" s="47"/>
      <c r="B177" s="40" t="s">
        <v>234</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8">
        <f>-AB185</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7" customFormat="1" x14ac:dyDescent="0.3">
      <c r="A178" s="47"/>
      <c r="B178" s="40" t="s">
        <v>236</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f>+AB81</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207</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+AB176+AB177-AB178</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9" customFormat="1" ht="16.2" thickBot="1" x14ac:dyDescent="0.35">
      <c r="A180" s="138"/>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126"/>
      <c r="AC180" s="10"/>
      <c r="AD180" s="5"/>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row>
    <row r="181" spans="1:262" x14ac:dyDescent="0.3">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134"/>
      <c r="AC181" s="4"/>
      <c r="AD181" s="5"/>
    </row>
    <row r="182" spans="1:262" s="136" customFormat="1" x14ac:dyDescent="0.3">
      <c r="A182" s="7"/>
      <c r="B182" s="125" t="s">
        <v>206</v>
      </c>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135"/>
      <c r="AC182" s="10"/>
      <c r="AD182" s="5"/>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row>
    <row r="183" spans="1:262" s="137" customFormat="1" x14ac:dyDescent="0.3">
      <c r="A183" s="47"/>
      <c r="B183" s="40" t="s">
        <v>208</v>
      </c>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98">
        <v>300</v>
      </c>
      <c r="AC183" s="43"/>
      <c r="AD183" s="22"/>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row>
    <row r="184" spans="1:262" s="137" customFormat="1" x14ac:dyDescent="0.3">
      <c r="A184" s="47"/>
      <c r="B184" s="40" t="s">
        <v>211</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98">
        <f>+'September 2023'!AB187</f>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7" customFormat="1" x14ac:dyDescent="0.3">
      <c r="A185" s="47"/>
      <c r="B185" s="59" t="s">
        <v>228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8">
        <v>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7" customFormat="1" x14ac:dyDescent="0.3">
      <c r="A186" s="47"/>
      <c r="B186" s="59" t="s">
        <v>229</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f>-AB100</f>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209</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AB183-AB185+AB186</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9" customFormat="1" ht="16.2" thickBot="1" x14ac:dyDescent="0.35">
      <c r="A188" s="138"/>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126"/>
      <c r="AC188" s="10"/>
      <c r="AD188" s="5"/>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row>
    <row r="189" spans="1:262" x14ac:dyDescent="0.3">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134"/>
      <c r="AC189" s="4"/>
      <c r="AD189" s="5"/>
    </row>
    <row r="190" spans="1:262" s="136" customFormat="1" x14ac:dyDescent="0.3">
      <c r="A190" s="7"/>
      <c r="B190" s="125" t="s">
        <v>212</v>
      </c>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135"/>
      <c r="AC190" s="10"/>
      <c r="AD190" s="5"/>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row>
    <row r="191" spans="1:262" s="137" customFormat="1" x14ac:dyDescent="0.3">
      <c r="A191" s="47"/>
      <c r="B191" s="40" t="s">
        <v>334</v>
      </c>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98">
        <v>0</v>
      </c>
      <c r="AC191" s="43"/>
      <c r="AD191" s="22"/>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row>
    <row r="192" spans="1:262" s="137" customFormat="1" x14ac:dyDescent="0.3">
      <c r="A192" s="47"/>
      <c r="B192" s="40" t="s">
        <v>213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98">
        <f>+'September 2023'!AB195</f>
        <v>1999</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7" customFormat="1" x14ac:dyDescent="0.3">
      <c r="A193" s="47"/>
      <c r="B193" s="40" t="s">
        <v>235</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8">
        <f>AB201</f>
        <v>3336</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7"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f>AB82</f>
        <v>2453</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346</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AB192+AB193-AB194</f>
        <v>2882</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9" customFormat="1" ht="16.2" thickBot="1" x14ac:dyDescent="0.35">
      <c r="A196" s="138"/>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126"/>
      <c r="AC196" s="10"/>
      <c r="AD196" s="5"/>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row>
    <row r="197" spans="1:262" x14ac:dyDescent="0.3">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134"/>
      <c r="AC197" s="4"/>
      <c r="AD197" s="5"/>
    </row>
    <row r="198" spans="1:262" s="136" customFormat="1" x14ac:dyDescent="0.3">
      <c r="A198" s="7"/>
      <c r="B198" s="125" t="s">
        <v>333</v>
      </c>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135"/>
      <c r="AC198" s="10"/>
      <c r="AD198" s="5"/>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row>
    <row r="199" spans="1:262" s="137" customFormat="1" x14ac:dyDescent="0.3">
      <c r="A199" s="47"/>
      <c r="B199" s="40" t="s">
        <v>214</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v>301</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7" customFormat="1" x14ac:dyDescent="0.3">
      <c r="A200" s="47"/>
      <c r="B200" s="40" t="s">
        <v>215</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98">
        <f>+'September 2023'!AB203</f>
        <v>3524</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7" customFormat="1" x14ac:dyDescent="0.3">
      <c r="A201" s="47"/>
      <c r="B201" s="59" t="s">
        <v>256</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8">
        <v>3336</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7" customFormat="1" x14ac:dyDescent="0.3">
      <c r="A202" s="47"/>
      <c r="B202" s="59" t="s">
        <v>231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f>-AB101</f>
        <v>3000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AB200-AB201+AB202</f>
        <v>3188</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9" customFormat="1" ht="16.2" thickBot="1" x14ac:dyDescent="0.35">
      <c r="A204" s="138"/>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126"/>
      <c r="AC204" s="10"/>
      <c r="AD204" s="5"/>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row>
    <row r="205" spans="1:262" x14ac:dyDescent="0.3">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134"/>
      <c r="AC205" s="4"/>
      <c r="AD205" s="5"/>
    </row>
    <row r="206" spans="1:262" s="136" customFormat="1" x14ac:dyDescent="0.3">
      <c r="A206" s="7"/>
      <c r="B206" s="125" t="s">
        <v>237</v>
      </c>
      <c r="C206" s="99"/>
      <c r="D206" s="99"/>
      <c r="E206" s="99"/>
      <c r="F206" s="99"/>
      <c r="G206" s="99"/>
      <c r="H206" s="99"/>
      <c r="I206" s="99"/>
      <c r="J206" s="99"/>
      <c r="K206" s="99"/>
      <c r="L206" s="99"/>
      <c r="M206" s="99"/>
      <c r="N206" s="99"/>
      <c r="O206" s="99"/>
      <c r="P206" s="99"/>
      <c r="Q206" s="99"/>
      <c r="R206" s="99"/>
      <c r="S206" s="99"/>
      <c r="T206" s="99"/>
      <c r="U206" s="99"/>
      <c r="V206" s="99"/>
      <c r="W206" s="99"/>
      <c r="X206" s="99"/>
      <c r="Y206" s="233" t="s">
        <v>243</v>
      </c>
      <c r="Z206" s="233" t="s">
        <v>244</v>
      </c>
      <c r="AA206" s="12"/>
      <c r="AB206" s="234" t="s">
        <v>80</v>
      </c>
      <c r="AC206" s="10"/>
      <c r="AD206" s="5"/>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row>
    <row r="207" spans="1:262" s="137" customFormat="1" x14ac:dyDescent="0.3">
      <c r="A207" s="47"/>
      <c r="B207" s="40" t="s">
        <v>238</v>
      </c>
      <c r="C207" s="40"/>
      <c r="D207" s="40"/>
      <c r="E207" s="40"/>
      <c r="F207" s="40"/>
      <c r="G207" s="40"/>
      <c r="H207" s="40"/>
      <c r="I207" s="40"/>
      <c r="J207" s="40"/>
      <c r="K207" s="40"/>
      <c r="L207" s="40"/>
      <c r="M207" s="40"/>
      <c r="N207" s="40"/>
      <c r="O207" s="40"/>
      <c r="P207" s="40"/>
      <c r="Q207" s="40"/>
      <c r="R207" s="40"/>
      <c r="S207" s="40"/>
      <c r="T207" s="40"/>
      <c r="U207" s="40"/>
      <c r="V207" s="40"/>
      <c r="W207" s="40"/>
      <c r="X207" s="40"/>
      <c r="Y207" s="98">
        <f>SUM(F29:R29)*0.16</f>
        <v>124206.40000000001</v>
      </c>
      <c r="Z207" s="70"/>
      <c r="AA207" s="40"/>
      <c r="AB207" s="98"/>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7" customFormat="1" x14ac:dyDescent="0.3">
      <c r="A208" s="47"/>
      <c r="B208" s="40" t="s">
        <v>239</v>
      </c>
      <c r="C208" s="40"/>
      <c r="D208" s="40"/>
      <c r="E208" s="40"/>
      <c r="F208" s="40"/>
      <c r="G208" s="40"/>
      <c r="H208" s="40"/>
      <c r="I208" s="40"/>
      <c r="J208" s="40"/>
      <c r="K208" s="40"/>
      <c r="L208" s="40"/>
      <c r="M208" s="40"/>
      <c r="N208" s="40"/>
      <c r="O208" s="40"/>
      <c r="P208" s="40"/>
      <c r="Q208" s="40"/>
      <c r="R208" s="40"/>
      <c r="S208" s="40"/>
      <c r="T208" s="40"/>
      <c r="U208" s="40"/>
      <c r="V208" s="40"/>
      <c r="W208" s="40"/>
      <c r="X208" s="40"/>
      <c r="Y208" s="98">
        <f>+'September 2023'!Y210</f>
        <v>0</v>
      </c>
      <c r="Z208" s="98">
        <f>+'September 2023'!Z210</f>
        <v>382</v>
      </c>
      <c r="AA208" s="40"/>
      <c r="AB208" s="98">
        <f>Y208+Z208</f>
        <v>382</v>
      </c>
      <c r="AC208" s="43"/>
      <c r="AD208" s="22"/>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row>
    <row r="209" spans="1:262" s="137" customFormat="1" x14ac:dyDescent="0.3">
      <c r="A209" s="47"/>
      <c r="B209" s="40" t="s">
        <v>240</v>
      </c>
      <c r="C209" s="40"/>
      <c r="D209" s="40"/>
      <c r="E209" s="40"/>
      <c r="F209" s="40"/>
      <c r="G209" s="40"/>
      <c r="H209" s="40"/>
      <c r="I209" s="40"/>
      <c r="J209" s="40"/>
      <c r="K209" s="40"/>
      <c r="L209" s="40"/>
      <c r="M209" s="40"/>
      <c r="N209" s="40"/>
      <c r="O209" s="40"/>
      <c r="P209" s="40"/>
      <c r="Q209" s="40"/>
      <c r="R209" s="40"/>
      <c r="S209" s="40"/>
      <c r="T209" s="40"/>
      <c r="U209" s="40"/>
      <c r="V209" s="40"/>
      <c r="W209" s="40"/>
      <c r="X209" s="40"/>
      <c r="Y209" s="97">
        <v>0</v>
      </c>
      <c r="Z209" s="97">
        <v>0</v>
      </c>
      <c r="AA209" s="40"/>
      <c r="AB209" s="98">
        <f>Y209+Z209</f>
        <v>0</v>
      </c>
      <c r="AC209" s="43"/>
      <c r="AD209" s="22"/>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row>
    <row r="210" spans="1:262" s="137" customFormat="1" x14ac:dyDescent="0.3">
      <c r="A210" s="47"/>
      <c r="B210" s="40" t="s">
        <v>241</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Y208+Y209</f>
        <v>0</v>
      </c>
      <c r="Z210" s="98">
        <f>Z209+Z208</f>
        <v>382</v>
      </c>
      <c r="AA210" s="40"/>
      <c r="AB210" s="98">
        <f>Y210+Z210</f>
        <v>382</v>
      </c>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242</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Y207-Y210-Z210</f>
        <v>123824.40000000001</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9" customFormat="1" ht="16.2" thickBot="1" x14ac:dyDescent="0.35">
      <c r="A212" s="138"/>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126"/>
      <c r="AC212" s="10"/>
      <c r="AD212" s="5"/>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row>
    <row r="213" spans="1:262" x14ac:dyDescent="0.3">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134"/>
      <c r="AC213" s="4"/>
      <c r="AD213" s="5"/>
    </row>
    <row r="214" spans="1:262" s="136" customFormat="1" x14ac:dyDescent="0.3">
      <c r="A214" s="7"/>
      <c r="B214" s="125" t="s">
        <v>267</v>
      </c>
      <c r="C214" s="99"/>
      <c r="D214" s="99"/>
      <c r="E214" s="99"/>
      <c r="F214" s="99"/>
      <c r="G214" s="99"/>
      <c r="H214" s="99"/>
      <c r="I214" s="99"/>
      <c r="J214" s="99"/>
      <c r="K214" s="99"/>
      <c r="L214" s="99"/>
      <c r="M214" s="99"/>
      <c r="N214" s="99"/>
      <c r="O214" s="99"/>
      <c r="P214" s="99"/>
      <c r="Q214" s="99"/>
      <c r="R214" s="99"/>
      <c r="S214" s="99"/>
      <c r="T214" s="99"/>
      <c r="U214" s="99"/>
      <c r="V214" s="99"/>
      <c r="W214" s="99"/>
      <c r="X214" s="99"/>
      <c r="Y214" s="233"/>
      <c r="Z214" s="233"/>
      <c r="AA214" s="12"/>
      <c r="AB214" s="234" t="s">
        <v>80</v>
      </c>
      <c r="AC214" s="10"/>
      <c r="AD214" s="5"/>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row>
    <row r="215" spans="1:262" s="137" customFormat="1" x14ac:dyDescent="0.3">
      <c r="A215" s="47"/>
      <c r="B215" s="40" t="s">
        <v>265</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c r="Z215" s="70"/>
      <c r="AA215" s="40"/>
      <c r="AB215" s="237">
        <v>597500</v>
      </c>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7" customFormat="1" x14ac:dyDescent="0.3">
      <c r="A216" s="47"/>
      <c r="B216" s="40" t="s">
        <v>325</v>
      </c>
      <c r="C216" s="40"/>
      <c r="D216" s="40"/>
      <c r="E216" s="40"/>
      <c r="F216" s="40"/>
      <c r="G216" s="40"/>
      <c r="H216" s="40"/>
      <c r="I216" s="40"/>
      <c r="J216" s="40"/>
      <c r="K216" s="40"/>
      <c r="L216" s="40"/>
      <c r="M216" s="40"/>
      <c r="N216" s="40"/>
      <c r="O216" s="40"/>
      <c r="P216" s="40"/>
      <c r="Q216" s="40"/>
      <c r="R216" s="40"/>
      <c r="S216" s="40"/>
      <c r="T216" s="40"/>
      <c r="U216" s="40"/>
      <c r="V216" s="40"/>
      <c r="W216" s="40"/>
      <c r="X216" s="40"/>
      <c r="Y216" s="98"/>
      <c r="Z216" s="98"/>
      <c r="AA216" s="40"/>
      <c r="AB216" s="237">
        <v>602435</v>
      </c>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7" customFormat="1" x14ac:dyDescent="0.3">
      <c r="A217" s="47"/>
      <c r="B217" s="40" t="s">
        <v>266</v>
      </c>
      <c r="C217" s="40"/>
      <c r="D217" s="40"/>
      <c r="E217" s="40"/>
      <c r="F217" s="40"/>
      <c r="G217" s="40"/>
      <c r="H217" s="40"/>
      <c r="I217" s="40"/>
      <c r="J217" s="40"/>
      <c r="K217" s="40"/>
      <c r="L217" s="40"/>
      <c r="M217" s="40"/>
      <c r="N217" s="40"/>
      <c r="O217" s="40"/>
      <c r="P217" s="40"/>
      <c r="Q217" s="40"/>
      <c r="R217" s="40"/>
      <c r="S217" s="40"/>
      <c r="T217" s="40"/>
      <c r="U217" s="40"/>
      <c r="V217" s="40"/>
      <c r="W217" s="40"/>
      <c r="X217" s="40"/>
      <c r="Y217" s="98"/>
      <c r="Z217" s="98"/>
      <c r="AA217" s="40"/>
      <c r="AB217" s="98">
        <f>AB215-AB216</f>
        <v>-4935</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7" customFormat="1" x14ac:dyDescent="0.3">
      <c r="A218" s="47"/>
      <c r="B218" s="40" t="s">
        <v>279</v>
      </c>
      <c r="C218" s="40"/>
      <c r="D218" s="40"/>
      <c r="E218" s="40"/>
      <c r="F218" s="40"/>
      <c r="G218" s="40"/>
      <c r="H218" s="40"/>
      <c r="I218" s="40"/>
      <c r="J218" s="40"/>
      <c r="K218" s="40"/>
      <c r="L218" s="40"/>
      <c r="M218" s="40"/>
      <c r="N218" s="40"/>
      <c r="O218" s="40"/>
      <c r="P218" s="40"/>
      <c r="Q218" s="40"/>
      <c r="R218" s="40"/>
      <c r="S218" s="40"/>
      <c r="T218" s="40"/>
      <c r="U218" s="40"/>
      <c r="V218" s="40"/>
      <c r="W218" s="40"/>
      <c r="X218" s="40"/>
      <c r="Y218" s="97"/>
      <c r="Z218" s="97"/>
      <c r="AA218" s="40"/>
      <c r="AB218" s="240">
        <v>6.0670041841004198E-3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9" customFormat="1" ht="16.2" thickBot="1" x14ac:dyDescent="0.35">
      <c r="A219" s="138"/>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126"/>
      <c r="AC219" s="10"/>
      <c r="AD219" s="5"/>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row>
    <row r="220" spans="1:262" x14ac:dyDescent="0.3">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134"/>
      <c r="AC220" s="4"/>
      <c r="AD220" s="5"/>
    </row>
    <row r="221" spans="1:262" x14ac:dyDescent="0.3">
      <c r="A221" s="7"/>
      <c r="B221" s="125" t="s">
        <v>39</v>
      </c>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140"/>
      <c r="AC221" s="10"/>
      <c r="AD221" s="5"/>
    </row>
    <row r="222" spans="1:262" s="23" customFormat="1" x14ac:dyDescent="0.3">
      <c r="A222" s="47"/>
      <c r="B222" s="40" t="s">
        <v>40</v>
      </c>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142">
        <f>(AB86+AB88+AB89+AB90+AB91)/-AB92</f>
        <v>1.9848594087959626</v>
      </c>
      <c r="AC222" s="43" t="s">
        <v>81</v>
      </c>
      <c r="AD222" s="22"/>
    </row>
    <row r="223" spans="1:262" s="23" customFormat="1" x14ac:dyDescent="0.3">
      <c r="A223" s="47"/>
      <c r="B223" s="40" t="s">
        <v>41</v>
      </c>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142">
        <v>2.39</v>
      </c>
      <c r="AC223" s="43" t="s">
        <v>81</v>
      </c>
      <c r="AD223" s="22"/>
    </row>
    <row r="224" spans="1:262" s="23" customFormat="1" x14ac:dyDescent="0.3">
      <c r="A224" s="47"/>
      <c r="B224" s="40" t="s">
        <v>144</v>
      </c>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141">
        <f>(AB86+AB88+AB89+AB90+AB91+AB92)/-(AB93)</f>
        <v>11.691868758915835</v>
      </c>
      <c r="AC224" s="43" t="s">
        <v>81</v>
      </c>
      <c r="AD224" s="22"/>
    </row>
    <row r="225" spans="1:30" s="23" customFormat="1" x14ac:dyDescent="0.3">
      <c r="A225" s="47"/>
      <c r="B225" s="40" t="s">
        <v>145</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v>16.34</v>
      </c>
      <c r="AC225" s="43" t="s">
        <v>81</v>
      </c>
      <c r="AD225" s="22"/>
    </row>
    <row r="226" spans="1:30" s="23" customFormat="1" x14ac:dyDescent="0.3">
      <c r="A226" s="47"/>
      <c r="B226" s="40" t="s">
        <v>146</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1">
        <f>(AB86+AB88+AB89+AB90+AB91+AB92+AB93)/-(AB95)</f>
        <v>18.784461152882205</v>
      </c>
      <c r="AC226" s="43" t="s">
        <v>81</v>
      </c>
      <c r="AD226" s="22"/>
    </row>
    <row r="227" spans="1:30" s="23" customFormat="1" x14ac:dyDescent="0.3">
      <c r="A227" s="47"/>
      <c r="B227" s="40" t="s">
        <v>147</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25.71</v>
      </c>
      <c r="AC227" s="43" t="s">
        <v>81</v>
      </c>
      <c r="AD227" s="22"/>
    </row>
    <row r="228" spans="1:30" s="23" customFormat="1" x14ac:dyDescent="0.3">
      <c r="A228" s="47"/>
      <c r="B228" s="40" t="s">
        <v>177</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(AB86+AB88+AB89+AB90+AB91+AB92+AB93+AB95)/-(AB96)</f>
        <v>17.057692307692307</v>
      </c>
      <c r="AC228" s="43" t="s">
        <v>81</v>
      </c>
      <c r="AD228" s="22"/>
    </row>
    <row r="229" spans="1:30" s="23" customFormat="1" x14ac:dyDescent="0.3">
      <c r="A229" s="47"/>
      <c r="B229" s="40" t="s">
        <v>178</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22.74</v>
      </c>
      <c r="AC229" s="43" t="s">
        <v>81</v>
      </c>
      <c r="AD229" s="22"/>
    </row>
    <row r="230" spans="1:30" s="23" customFormat="1" x14ac:dyDescent="0.3">
      <c r="A230" s="47"/>
      <c r="B230" s="40" t="s">
        <v>164</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(AB86+AB88+AB89+AB90+AB91+AB92+AB93+AB95+AB96)/-(AB105)</f>
        <v>13.021442495126706</v>
      </c>
      <c r="AC230" s="43" t="s">
        <v>81</v>
      </c>
      <c r="AD230" s="22"/>
    </row>
    <row r="231" spans="1:30" s="23" customFormat="1" x14ac:dyDescent="0.3">
      <c r="A231" s="47"/>
      <c r="B231" s="40" t="s">
        <v>165</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15.86</v>
      </c>
      <c r="AC231" s="43" t="s">
        <v>81</v>
      </c>
      <c r="AD231" s="22"/>
    </row>
    <row r="232" spans="1:30" s="23" customFormat="1" x14ac:dyDescent="0.3">
      <c r="A232" s="18"/>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21"/>
      <c r="AD232" s="22"/>
    </row>
    <row r="233" spans="1:30" s="23" customFormat="1" x14ac:dyDescent="0.3">
      <c r="A233" s="18"/>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1"/>
      <c r="AD233" s="22"/>
    </row>
    <row r="234" spans="1:30" s="23" customFormat="1" ht="18.600000000000001" thickBot="1" x14ac:dyDescent="0.4">
      <c r="A234" s="83"/>
      <c r="B234" s="84" t="str">
        <f>B131</f>
        <v>PM27 INVESTOR REPORT QUARTER ENDING DECEMBER 2023</v>
      </c>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7"/>
      <c r="AD234" s="22"/>
    </row>
    <row r="235" spans="1:30" x14ac:dyDescent="0.3">
      <c r="A235" s="119"/>
      <c r="B235" s="120" t="s">
        <v>42</v>
      </c>
      <c r="C235" s="143"/>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v>45289</v>
      </c>
      <c r="AA235" s="121"/>
      <c r="AB235" s="121"/>
      <c r="AC235" s="123"/>
      <c r="AD235" s="5"/>
    </row>
    <row r="236" spans="1:30" x14ac:dyDescent="0.3">
      <c r="A236" s="145"/>
      <c r="B236" s="146"/>
      <c r="C236" s="147"/>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9"/>
      <c r="AB236" s="9"/>
      <c r="AC236" s="10"/>
      <c r="AD236" s="5"/>
    </row>
    <row r="237" spans="1:30" s="23" customFormat="1" x14ac:dyDescent="0.3">
      <c r="A237" s="47"/>
      <c r="B237" s="40" t="s">
        <v>43</v>
      </c>
      <c r="C237" s="149"/>
      <c r="D237" s="73"/>
      <c r="E237" s="73"/>
      <c r="F237" s="73"/>
      <c r="G237" s="73"/>
      <c r="H237" s="73"/>
      <c r="I237" s="73"/>
      <c r="J237" s="73"/>
      <c r="K237" s="73"/>
      <c r="L237" s="73"/>
      <c r="M237" s="73"/>
      <c r="N237" s="73"/>
      <c r="O237" s="73"/>
      <c r="P237" s="73"/>
      <c r="Q237" s="73"/>
      <c r="R237" s="73"/>
      <c r="S237" s="73"/>
      <c r="T237" s="73"/>
      <c r="U237" s="73"/>
      <c r="V237" s="73"/>
      <c r="W237" s="73"/>
      <c r="X237" s="73"/>
      <c r="Y237" s="73"/>
      <c r="Z237" s="67">
        <v>3.5749999999999997E-2</v>
      </c>
      <c r="AA237" s="40"/>
      <c r="AB237" s="40"/>
      <c r="AC237" s="43"/>
      <c r="AD237" s="22"/>
    </row>
    <row r="238" spans="1:30" s="23" customFormat="1" x14ac:dyDescent="0.3">
      <c r="A238" s="47"/>
      <c r="B238" s="40" t="s">
        <v>132</v>
      </c>
      <c r="C238" s="149"/>
      <c r="D238" s="73"/>
      <c r="E238" s="73"/>
      <c r="F238" s="73"/>
      <c r="G238" s="73"/>
      <c r="H238" s="73"/>
      <c r="I238" s="73"/>
      <c r="J238" s="73"/>
      <c r="K238" s="73"/>
      <c r="L238" s="73"/>
      <c r="M238" s="73"/>
      <c r="N238" s="73"/>
      <c r="O238" s="73"/>
      <c r="P238" s="73"/>
      <c r="Q238" s="73"/>
      <c r="R238" s="73"/>
      <c r="S238" s="73"/>
      <c r="T238" s="73"/>
      <c r="U238" s="73"/>
      <c r="V238" s="73"/>
      <c r="W238" s="73"/>
      <c r="X238" s="73"/>
      <c r="Y238" s="73"/>
      <c r="Z238" s="67">
        <v>1.3036129402559968E-2</v>
      </c>
      <c r="AA238" s="40"/>
      <c r="AB238" s="40"/>
      <c r="AC238" s="43"/>
      <c r="AD238" s="22"/>
    </row>
    <row r="239" spans="1:30" s="23" customFormat="1" x14ac:dyDescent="0.3">
      <c r="A239" s="47"/>
      <c r="B239" s="40" t="s">
        <v>44</v>
      </c>
      <c r="C239" s="149"/>
      <c r="D239" s="73"/>
      <c r="E239" s="73"/>
      <c r="F239" s="73"/>
      <c r="G239" s="73"/>
      <c r="H239" s="73"/>
      <c r="I239" s="73"/>
      <c r="J239" s="73"/>
      <c r="K239" s="73"/>
      <c r="L239" s="73"/>
      <c r="M239" s="73"/>
      <c r="N239" s="73"/>
      <c r="O239" s="73"/>
      <c r="P239" s="73"/>
      <c r="Q239" s="73"/>
      <c r="R239" s="73"/>
      <c r="S239" s="73"/>
      <c r="T239" s="73"/>
      <c r="U239" s="73"/>
      <c r="V239" s="73"/>
      <c r="W239" s="73"/>
      <c r="X239" s="73"/>
      <c r="Y239" s="73"/>
      <c r="Z239" s="67">
        <f>Z237-Z238</f>
        <v>2.2713870597440029E-2</v>
      </c>
      <c r="AA239" s="40"/>
      <c r="AB239" s="40"/>
      <c r="AC239" s="43"/>
      <c r="AD239" s="22"/>
    </row>
    <row r="240" spans="1:30" s="23" customFormat="1" x14ac:dyDescent="0.3">
      <c r="A240" s="47"/>
      <c r="B240" s="40" t="s">
        <v>45</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3.9648011364679048E-2</v>
      </c>
      <c r="AA240" s="40"/>
      <c r="AB240" s="40"/>
      <c r="AC240" s="43"/>
      <c r="AD240" s="22"/>
    </row>
    <row r="241" spans="1:30" s="23" customFormat="1" x14ac:dyDescent="0.3">
      <c r="A241" s="47"/>
      <c r="B241" s="40" t="s">
        <v>133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f>+AB35</f>
        <v>6.4839710723351915E-2</v>
      </c>
      <c r="AA241" s="40"/>
      <c r="AB241" s="40"/>
      <c r="AC241" s="43"/>
      <c r="AD241" s="22"/>
    </row>
    <row r="242" spans="1:30" s="23" customFormat="1" x14ac:dyDescent="0.3">
      <c r="A242" s="47"/>
      <c r="B242" s="40" t="s">
        <v>363</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v>0</v>
      </c>
      <c r="AA242" s="40"/>
      <c r="AB242" s="40"/>
      <c r="AC242" s="43"/>
      <c r="AD242" s="22"/>
    </row>
    <row r="243" spans="1:30" s="23" customFormat="1" x14ac:dyDescent="0.3">
      <c r="A243" s="47"/>
      <c r="B243" s="40" t="s">
        <v>119</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(+AB86+AB88+AB91)/R66</f>
        <v>2.6335516637149899E-2</v>
      </c>
      <c r="AA243" s="40"/>
      <c r="AB243" s="40"/>
      <c r="AC243" s="43"/>
      <c r="AD243" s="22"/>
    </row>
    <row r="244" spans="1:30" s="23" customFormat="1" x14ac:dyDescent="0.3">
      <c r="A244" s="47"/>
      <c r="B244" s="40" t="s">
        <v>112</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150">
        <v>53797</v>
      </c>
      <c r="AA244" s="40"/>
      <c r="AB244" s="40"/>
      <c r="AC244" s="43"/>
      <c r="AD244" s="22"/>
    </row>
    <row r="245" spans="1:30" s="23" customFormat="1" x14ac:dyDescent="0.3">
      <c r="A245" s="47"/>
      <c r="B245" s="40" t="s">
        <v>148</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150">
        <v>53797</v>
      </c>
      <c r="AA245" s="40"/>
      <c r="AB245" s="40"/>
      <c r="AC245" s="43"/>
      <c r="AD245" s="22"/>
    </row>
    <row r="246" spans="1:30" s="23" customFormat="1" x14ac:dyDescent="0.3">
      <c r="A246" s="47"/>
      <c r="B246" s="40" t="s">
        <v>149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150">
        <v>53797</v>
      </c>
      <c r="AA246" s="40"/>
      <c r="AB246" s="40"/>
      <c r="AC246" s="43"/>
      <c r="AD246" s="22"/>
    </row>
    <row r="247" spans="1:30" s="23" customFormat="1" x14ac:dyDescent="0.3">
      <c r="A247" s="47"/>
      <c r="B247" s="40" t="s">
        <v>179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53797</v>
      </c>
      <c r="AA247" s="40"/>
      <c r="AB247" s="40"/>
      <c r="AC247" s="43"/>
      <c r="AD247" s="22"/>
    </row>
    <row r="248" spans="1:30" s="23" customFormat="1" x14ac:dyDescent="0.3">
      <c r="A248" s="47"/>
      <c r="B248" s="40" t="s">
        <v>166</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53797</v>
      </c>
      <c r="AA248" s="40"/>
      <c r="AB248" s="40"/>
      <c r="AC248" s="43"/>
      <c r="AD248" s="22"/>
    </row>
    <row r="249" spans="1:30" s="23" customFormat="1" x14ac:dyDescent="0.3">
      <c r="A249" s="47"/>
      <c r="B249" s="40" t="s">
        <v>194</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53797</v>
      </c>
      <c r="AA249" s="40"/>
      <c r="AB249" s="40"/>
      <c r="AC249" s="43"/>
      <c r="AD249" s="22"/>
    </row>
    <row r="250" spans="1:30" s="23" customFormat="1" x14ac:dyDescent="0.3">
      <c r="A250" s="47"/>
      <c r="B250" s="40" t="s">
        <v>195</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53797</v>
      </c>
      <c r="AA250" s="40"/>
      <c r="AB250" s="40"/>
      <c r="AC250" s="43"/>
      <c r="AD250" s="22"/>
    </row>
    <row r="251" spans="1:30" s="23" customFormat="1" x14ac:dyDescent="0.3">
      <c r="A251" s="47"/>
      <c r="B251" s="40" t="s">
        <v>47</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71">
        <v>21.18</v>
      </c>
      <c r="AA251" s="40" t="s">
        <v>76</v>
      </c>
      <c r="AB251" s="40"/>
      <c r="AC251" s="43"/>
      <c r="AD251" s="22"/>
    </row>
    <row r="252" spans="1:30" s="23" customFormat="1" x14ac:dyDescent="0.3">
      <c r="A252" s="47"/>
      <c r="B252" s="40" t="s">
        <v>48</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71">
        <v>17.59</v>
      </c>
      <c r="AA252" s="40" t="s">
        <v>76</v>
      </c>
      <c r="AB252" s="40"/>
      <c r="AC252" s="43"/>
      <c r="AD252" s="22"/>
    </row>
    <row r="253" spans="1:30" s="23" customFormat="1" x14ac:dyDescent="0.3">
      <c r="A253" s="47"/>
      <c r="B253" s="40" t="s">
        <v>49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67">
        <f>(+T57+V57+Z57)/(R57+R63+R64)</f>
        <v>1.2929593917983989E-2</v>
      </c>
      <c r="AA253" s="40"/>
      <c r="AB253" s="40"/>
      <c r="AC253" s="43"/>
      <c r="AD253" s="22"/>
    </row>
    <row r="254" spans="1:30" s="23" customFormat="1" x14ac:dyDescent="0.3">
      <c r="A254" s="47"/>
      <c r="B254" s="40" t="s">
        <v>50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67">
        <v>4.8500000000000001E-2</v>
      </c>
      <c r="AA254" s="40"/>
      <c r="AB254" s="40"/>
      <c r="AC254" s="43"/>
      <c r="AD254" s="22"/>
    </row>
    <row r="255" spans="1:30" x14ac:dyDescent="0.3">
      <c r="A255" s="145"/>
      <c r="B255" s="151"/>
      <c r="C255" s="151"/>
      <c r="D255" s="99"/>
      <c r="E255" s="99"/>
      <c r="F255" s="99"/>
      <c r="G255" s="99"/>
      <c r="H255" s="99"/>
      <c r="I255" s="99"/>
      <c r="J255" s="99"/>
      <c r="K255" s="99"/>
      <c r="L255" s="99"/>
      <c r="M255" s="99"/>
      <c r="N255" s="99"/>
      <c r="O255" s="99"/>
      <c r="P255" s="99"/>
      <c r="Q255" s="99"/>
      <c r="R255" s="99"/>
      <c r="S255" s="99"/>
      <c r="T255" s="99"/>
      <c r="U255" s="99"/>
      <c r="V255" s="99"/>
      <c r="W255" s="99"/>
      <c r="X255" s="99"/>
      <c r="Y255" s="99"/>
      <c r="Z255" s="126"/>
      <c r="AA255" s="99"/>
      <c r="AB255" s="152"/>
      <c r="AC255" s="10"/>
      <c r="AD255" s="5"/>
    </row>
    <row r="256" spans="1:30" x14ac:dyDescent="0.3">
      <c r="A256" s="153"/>
      <c r="B256" s="102" t="s">
        <v>51</v>
      </c>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t="s">
        <v>69</v>
      </c>
      <c r="Z256" s="154" t="s">
        <v>74</v>
      </c>
      <c r="AA256" s="34"/>
      <c r="AB256" s="34"/>
      <c r="AC256" s="36"/>
      <c r="AD256" s="5"/>
    </row>
    <row r="257" spans="1:30" s="23" customFormat="1" x14ac:dyDescent="0.3">
      <c r="A257" s="155"/>
      <c r="B257" s="37" t="s">
        <v>52</v>
      </c>
      <c r="C257" s="10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v>0</v>
      </c>
      <c r="Z257" s="157">
        <v>0</v>
      </c>
      <c r="AA257" s="37"/>
      <c r="AB257" s="158"/>
      <c r="AC257" s="159"/>
      <c r="AD257" s="22"/>
    </row>
    <row r="258" spans="1:30" s="23" customFormat="1" x14ac:dyDescent="0.3">
      <c r="A258" s="160"/>
      <c r="B258" s="40" t="s">
        <v>97</v>
      </c>
      <c r="C258" s="97"/>
      <c r="D258" s="48"/>
      <c r="E258" s="48"/>
      <c r="F258" s="48"/>
      <c r="G258" s="48"/>
      <c r="H258" s="48"/>
      <c r="I258" s="48"/>
      <c r="J258" s="48"/>
      <c r="K258" s="48"/>
      <c r="L258" s="48"/>
      <c r="M258" s="48"/>
      <c r="N258" s="48"/>
      <c r="O258" s="48"/>
      <c r="P258" s="48"/>
      <c r="Q258" s="48"/>
      <c r="R258" s="48"/>
      <c r="S258" s="48"/>
      <c r="T258" s="48"/>
      <c r="U258" s="48"/>
      <c r="V258" s="48"/>
      <c r="W258" s="48"/>
      <c r="X258" s="48"/>
      <c r="Y258" s="161">
        <f>+X310</f>
        <v>2</v>
      </c>
      <c r="Z258" s="162">
        <f>+Z310</f>
        <v>217</v>
      </c>
      <c r="AA258" s="40"/>
      <c r="AB258" s="163"/>
      <c r="AC258" s="164"/>
      <c r="AD258" s="22"/>
    </row>
    <row r="259" spans="1:30" s="23" customFormat="1" x14ac:dyDescent="0.3">
      <c r="A259" s="160"/>
      <c r="B259" s="40" t="s">
        <v>53</v>
      </c>
      <c r="C259" s="97"/>
      <c r="D259" s="48"/>
      <c r="E259" s="48"/>
      <c r="F259" s="48"/>
      <c r="G259" s="48"/>
      <c r="H259" s="48"/>
      <c r="I259" s="48"/>
      <c r="J259" s="48"/>
      <c r="K259" s="48"/>
      <c r="L259" s="48"/>
      <c r="M259" s="48"/>
      <c r="N259" s="48"/>
      <c r="O259" s="48"/>
      <c r="P259" s="48"/>
      <c r="Q259" s="48"/>
      <c r="R259" s="48"/>
      <c r="S259" s="48"/>
      <c r="T259" s="48"/>
      <c r="U259" s="48"/>
      <c r="V259" s="48"/>
      <c r="W259" s="48"/>
      <c r="X259" s="48"/>
      <c r="Y259" s="161">
        <f>+X332</f>
        <v>0</v>
      </c>
      <c r="Z259" s="162">
        <f>+Z332</f>
        <v>0</v>
      </c>
      <c r="AA259" s="40"/>
      <c r="AB259" s="163"/>
      <c r="AC259" s="164"/>
      <c r="AD259" s="22"/>
    </row>
    <row r="260" spans="1:30" x14ac:dyDescent="0.3">
      <c r="A260" s="165"/>
      <c r="B260" s="166" t="s">
        <v>167</v>
      </c>
      <c r="C260" s="167"/>
      <c r="D260" s="59"/>
      <c r="E260" s="59"/>
      <c r="F260" s="59"/>
      <c r="G260" s="59"/>
      <c r="H260" s="59"/>
      <c r="I260" s="59"/>
      <c r="J260" s="59"/>
      <c r="K260" s="59"/>
      <c r="L260" s="59"/>
      <c r="M260" s="59"/>
      <c r="N260" s="59"/>
      <c r="O260" s="59"/>
      <c r="P260" s="59"/>
      <c r="Q260" s="59"/>
      <c r="R260" s="59"/>
      <c r="S260" s="59"/>
      <c r="T260" s="59"/>
      <c r="U260" s="59"/>
      <c r="V260" s="59"/>
      <c r="W260" s="59"/>
      <c r="X260" s="59"/>
      <c r="Y260" s="112"/>
      <c r="Z260" s="162">
        <f>Z57</f>
        <v>0</v>
      </c>
      <c r="AA260" s="59"/>
      <c r="AB260" s="168"/>
      <c r="AC260" s="169"/>
      <c r="AD260" s="5"/>
    </row>
    <row r="261" spans="1:30" x14ac:dyDescent="0.3">
      <c r="A261" s="165"/>
      <c r="B261" s="166" t="s">
        <v>261</v>
      </c>
      <c r="C261" s="167"/>
      <c r="D261" s="59"/>
      <c r="E261" s="59"/>
      <c r="F261" s="59"/>
      <c r="G261" s="59"/>
      <c r="H261" s="59"/>
      <c r="I261" s="59"/>
      <c r="J261" s="59"/>
      <c r="K261" s="59"/>
      <c r="L261" s="59"/>
      <c r="M261" s="59"/>
      <c r="N261" s="59"/>
      <c r="O261" s="59"/>
      <c r="P261" s="59"/>
      <c r="Q261" s="59"/>
      <c r="R261" s="59"/>
      <c r="S261" s="59"/>
      <c r="T261" s="59"/>
      <c r="U261" s="59"/>
      <c r="V261" s="59"/>
      <c r="W261" s="59"/>
      <c r="X261" s="59"/>
      <c r="Y261" s="112"/>
      <c r="Z261" s="162">
        <f>-T63</f>
        <v>0</v>
      </c>
      <c r="AA261" s="59"/>
      <c r="AB261" s="168"/>
      <c r="AC261" s="169"/>
      <c r="AD261" s="5"/>
    </row>
    <row r="262" spans="1:30" x14ac:dyDescent="0.3">
      <c r="A262" s="170"/>
      <c r="B262" s="166" t="s">
        <v>54</v>
      </c>
      <c r="C262" s="171"/>
      <c r="D262" s="59"/>
      <c r="E262" s="59"/>
      <c r="F262" s="59"/>
      <c r="G262" s="59"/>
      <c r="H262" s="59"/>
      <c r="I262" s="59"/>
      <c r="J262" s="59"/>
      <c r="K262" s="59"/>
      <c r="L262" s="59"/>
      <c r="M262" s="59"/>
      <c r="N262" s="59"/>
      <c r="O262" s="59"/>
      <c r="P262" s="59"/>
      <c r="Q262" s="59"/>
      <c r="R262" s="59"/>
      <c r="S262" s="59"/>
      <c r="T262" s="59"/>
      <c r="U262" s="59"/>
      <c r="V262" s="59"/>
      <c r="W262" s="59"/>
      <c r="X262" s="59"/>
      <c r="Y262" s="112"/>
      <c r="Z262" s="172"/>
      <c r="AA262" s="59"/>
      <c r="AB262" s="168"/>
      <c r="AC262" s="173"/>
      <c r="AD262" s="5"/>
    </row>
    <row r="263" spans="1:30" s="23" customFormat="1" x14ac:dyDescent="0.3">
      <c r="A263" s="174"/>
      <c r="B263" s="40" t="s">
        <v>55</v>
      </c>
      <c r="C263" s="40"/>
      <c r="D263" s="40"/>
      <c r="E263" s="40"/>
      <c r="F263" s="40"/>
      <c r="G263" s="40"/>
      <c r="H263" s="40"/>
      <c r="I263" s="40"/>
      <c r="J263" s="40"/>
      <c r="K263" s="40"/>
      <c r="L263" s="40"/>
      <c r="M263" s="40"/>
      <c r="N263" s="40"/>
      <c r="O263" s="40"/>
      <c r="P263" s="40"/>
      <c r="Q263" s="40"/>
      <c r="R263" s="40"/>
      <c r="S263" s="40"/>
      <c r="T263" s="40"/>
      <c r="U263" s="40"/>
      <c r="V263" s="40"/>
      <c r="W263" s="40"/>
      <c r="X263" s="40"/>
      <c r="Y263" s="48"/>
      <c r="Z263" s="162">
        <f>AB166</f>
        <v>-1</v>
      </c>
      <c r="AA263" s="40"/>
      <c r="AB263" s="163"/>
      <c r="AC263" s="175"/>
      <c r="AD263" s="22"/>
    </row>
    <row r="264" spans="1:30" s="23" customFormat="1" x14ac:dyDescent="0.3">
      <c r="A264" s="160"/>
      <c r="B264" s="40" t="s">
        <v>56</v>
      </c>
      <c r="C264" s="97"/>
      <c r="D264" s="40"/>
      <c r="E264" s="40"/>
      <c r="F264" s="40"/>
      <c r="G264" s="40"/>
      <c r="H264" s="40"/>
      <c r="I264" s="40"/>
      <c r="J264" s="40"/>
      <c r="K264" s="40"/>
      <c r="L264" s="40"/>
      <c r="M264" s="40"/>
      <c r="N264" s="40"/>
      <c r="O264" s="40"/>
      <c r="P264" s="40"/>
      <c r="Q264" s="40"/>
      <c r="R264" s="40"/>
      <c r="S264" s="40"/>
      <c r="T264" s="40"/>
      <c r="U264" s="40"/>
      <c r="V264" s="40"/>
      <c r="W264" s="40"/>
      <c r="X264" s="40"/>
      <c r="Y264" s="48"/>
      <c r="Z264" s="162">
        <f>Z263+'September 2023'!Z264</f>
        <v>3</v>
      </c>
      <c r="AA264" s="40"/>
      <c r="AB264" s="163"/>
      <c r="AC264" s="175"/>
      <c r="AD264" s="22"/>
    </row>
    <row r="265" spans="1:30" x14ac:dyDescent="0.3">
      <c r="A265" s="170"/>
      <c r="B265" s="166" t="s">
        <v>125</v>
      </c>
      <c r="C265" s="171"/>
      <c r="D265" s="59"/>
      <c r="E265" s="59"/>
      <c r="F265" s="59"/>
      <c r="G265" s="59"/>
      <c r="H265" s="59"/>
      <c r="I265" s="59"/>
      <c r="J265" s="59"/>
      <c r="K265" s="59"/>
      <c r="L265" s="59"/>
      <c r="M265" s="59"/>
      <c r="N265" s="59"/>
      <c r="O265" s="59"/>
      <c r="P265" s="59"/>
      <c r="Q265" s="59"/>
      <c r="R265" s="59"/>
      <c r="S265" s="59"/>
      <c r="T265" s="59"/>
      <c r="U265" s="59"/>
      <c r="V265" s="59"/>
      <c r="W265" s="59"/>
      <c r="X265" s="59"/>
      <c r="Y265" s="176"/>
      <c r="Z265" s="172"/>
      <c r="AA265" s="59"/>
      <c r="AB265" s="168"/>
      <c r="AC265" s="173"/>
      <c r="AD265" s="5"/>
    </row>
    <row r="266" spans="1:30" s="23" customFormat="1" x14ac:dyDescent="0.3">
      <c r="A266" s="174"/>
      <c r="B266" s="40" t="s">
        <v>134</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v>0</v>
      </c>
      <c r="Z266" s="162">
        <v>0</v>
      </c>
      <c r="AA266" s="40"/>
      <c r="AB266" s="163"/>
      <c r="AC266" s="175"/>
      <c r="AD266" s="22"/>
    </row>
    <row r="267" spans="1:30" s="23" customFormat="1" x14ac:dyDescent="0.3">
      <c r="A267" s="160"/>
      <c r="B267" s="40" t="s">
        <v>57</v>
      </c>
      <c r="C267" s="70"/>
      <c r="D267" s="40"/>
      <c r="E267" s="40"/>
      <c r="F267" s="40"/>
      <c r="G267" s="40"/>
      <c r="H267" s="40"/>
      <c r="I267" s="40"/>
      <c r="J267" s="40"/>
      <c r="K267" s="40"/>
      <c r="L267" s="40"/>
      <c r="M267" s="40"/>
      <c r="N267" s="40"/>
      <c r="O267" s="40"/>
      <c r="P267" s="40"/>
      <c r="Q267" s="40"/>
      <c r="R267" s="40"/>
      <c r="S267" s="40"/>
      <c r="T267" s="40"/>
      <c r="U267" s="40"/>
      <c r="V267" s="40"/>
      <c r="W267" s="40"/>
      <c r="X267" s="40"/>
      <c r="Y267" s="40"/>
      <c r="Z267" s="177">
        <v>0</v>
      </c>
      <c r="AA267" s="40"/>
      <c r="AB267" s="163"/>
      <c r="AC267" s="175"/>
      <c r="AD267" s="22"/>
    </row>
    <row r="268" spans="1:30" s="23" customFormat="1" x14ac:dyDescent="0.3">
      <c r="A268" s="160"/>
      <c r="B268" s="40" t="s">
        <v>58</v>
      </c>
      <c r="C268" s="70"/>
      <c r="D268" s="40"/>
      <c r="E268" s="40"/>
      <c r="F268" s="40"/>
      <c r="G268" s="40"/>
      <c r="H268" s="40"/>
      <c r="I268" s="40"/>
      <c r="J268" s="40"/>
      <c r="K268" s="40"/>
      <c r="L268" s="40"/>
      <c r="M268" s="40"/>
      <c r="N268" s="40"/>
      <c r="O268" s="40"/>
      <c r="P268" s="40"/>
      <c r="Q268" s="40"/>
      <c r="R268" s="40"/>
      <c r="S268" s="40"/>
      <c r="T268" s="40"/>
      <c r="U268" s="40"/>
      <c r="V268" s="40"/>
      <c r="W268" s="40"/>
      <c r="X268" s="40"/>
      <c r="Y268" s="40"/>
      <c r="Z268" s="177">
        <v>0</v>
      </c>
      <c r="AA268" s="40"/>
      <c r="AB268" s="163"/>
      <c r="AC268" s="175"/>
      <c r="AD268" s="22"/>
    </row>
    <row r="269" spans="1:30" x14ac:dyDescent="0.3">
      <c r="A269" s="165"/>
      <c r="B269" s="166" t="s">
        <v>116</v>
      </c>
      <c r="C269" s="178"/>
      <c r="D269" s="59"/>
      <c r="E269" s="59"/>
      <c r="F269" s="59"/>
      <c r="G269" s="59"/>
      <c r="H269" s="59"/>
      <c r="I269" s="59"/>
      <c r="J269" s="59"/>
      <c r="K269" s="59"/>
      <c r="L269" s="59"/>
      <c r="M269" s="59"/>
      <c r="N269" s="59"/>
      <c r="O269" s="59"/>
      <c r="P269" s="59"/>
      <c r="Q269" s="59"/>
      <c r="R269" s="59"/>
      <c r="S269" s="59"/>
      <c r="T269" s="59"/>
      <c r="U269" s="59"/>
      <c r="V269" s="59"/>
      <c r="W269" s="59"/>
      <c r="X269" s="59"/>
      <c r="Y269" s="112"/>
      <c r="Z269" s="179"/>
      <c r="AA269" s="59"/>
      <c r="AB269" s="168"/>
      <c r="AC269" s="173"/>
      <c r="AD269" s="5"/>
    </row>
    <row r="270" spans="1:30" s="23" customFormat="1" x14ac:dyDescent="0.3">
      <c r="A270" s="160"/>
      <c r="B270" s="40" t="s">
        <v>134</v>
      </c>
      <c r="C270" s="7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0" s="23" customFormat="1" x14ac:dyDescent="0.3">
      <c r="A271" s="160"/>
      <c r="B271" s="40" t="s">
        <v>117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71"/>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x14ac:dyDescent="0.3">
      <c r="A273" s="165"/>
      <c r="B273" s="171"/>
      <c r="C273" s="178"/>
      <c r="D273" s="59"/>
      <c r="E273" s="59"/>
      <c r="F273" s="59"/>
      <c r="G273" s="59"/>
      <c r="H273" s="59"/>
      <c r="I273" s="59"/>
      <c r="J273" s="59"/>
      <c r="K273" s="59"/>
      <c r="L273" s="59"/>
      <c r="M273" s="59"/>
      <c r="N273" s="59"/>
      <c r="O273" s="59"/>
      <c r="P273" s="59"/>
      <c r="Q273" s="59"/>
      <c r="R273" s="59"/>
      <c r="S273" s="59"/>
      <c r="T273" s="59"/>
      <c r="U273" s="59"/>
      <c r="V273" s="59"/>
      <c r="W273" s="59"/>
      <c r="X273" s="59"/>
      <c r="Y273" s="59"/>
      <c r="Z273" s="180"/>
      <c r="AA273" s="59"/>
      <c r="AB273" s="168"/>
      <c r="AC273" s="173"/>
      <c r="AD273" s="5"/>
    </row>
    <row r="274" spans="1:30" ht="18" x14ac:dyDescent="0.35">
      <c r="A274" s="165"/>
      <c r="B274" s="181" t="s">
        <v>109</v>
      </c>
      <c r="C274" s="178"/>
      <c r="D274" s="59"/>
      <c r="E274" s="59"/>
      <c r="F274" s="59"/>
      <c r="G274" s="59"/>
      <c r="H274" s="59"/>
      <c r="I274" s="59"/>
      <c r="J274" s="59"/>
      <c r="K274" s="59"/>
      <c r="L274" s="182"/>
      <c r="M274" s="182"/>
      <c r="N274" s="182"/>
      <c r="O274" s="182"/>
      <c r="P274" s="261" t="s">
        <v>168</v>
      </c>
      <c r="Q274" s="182"/>
      <c r="R274" s="182"/>
      <c r="S274" s="182"/>
      <c r="T274" s="182"/>
      <c r="U274" s="182"/>
      <c r="V274" s="182"/>
      <c r="W274" s="59"/>
      <c r="X274" s="183"/>
      <c r="Y274" s="182"/>
      <c r="Z274" s="180"/>
      <c r="AA274" s="59"/>
      <c r="AB274" s="168"/>
      <c r="AC274" s="173"/>
      <c r="AD274" s="5"/>
    </row>
    <row r="275" spans="1:30" ht="18" x14ac:dyDescent="0.35">
      <c r="A275" s="184"/>
      <c r="B275" s="185"/>
      <c r="C275" s="186"/>
      <c r="D275" s="99"/>
      <c r="E275" s="99"/>
      <c r="F275" s="99"/>
      <c r="G275" s="99"/>
      <c r="H275" s="99"/>
      <c r="I275" s="99"/>
      <c r="J275" s="99"/>
      <c r="K275" s="99"/>
      <c r="L275" s="187"/>
      <c r="M275" s="187"/>
      <c r="N275" s="187"/>
      <c r="O275" s="187"/>
      <c r="P275" s="187"/>
      <c r="Q275" s="187"/>
      <c r="R275" s="187"/>
      <c r="S275" s="187"/>
      <c r="T275" s="187"/>
      <c r="U275" s="187"/>
      <c r="V275" s="187"/>
      <c r="W275" s="99"/>
      <c r="X275" s="99"/>
      <c r="Y275" s="99"/>
      <c r="Z275" s="188"/>
      <c r="AA275" s="99"/>
      <c r="AB275" s="152"/>
      <c r="AC275" s="189"/>
      <c r="AD275" s="5"/>
    </row>
    <row r="276" spans="1:30" x14ac:dyDescent="0.3">
      <c r="A276" s="33"/>
      <c r="B276" s="102" t="s">
        <v>126</v>
      </c>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54" t="s">
        <v>69</v>
      </c>
      <c r="Y276" s="103" t="s">
        <v>70</v>
      </c>
      <c r="Z276" s="154" t="s">
        <v>75</v>
      </c>
      <c r="AA276" s="103" t="s">
        <v>70</v>
      </c>
      <c r="AB276" s="34"/>
      <c r="AC276" s="190"/>
      <c r="AD276" s="5"/>
    </row>
    <row r="277" spans="1:30" s="23" customFormat="1" x14ac:dyDescent="0.3">
      <c r="A277" s="18"/>
      <c r="B277" s="106" t="s">
        <v>59</v>
      </c>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06">
        <f t="shared" ref="X277:X284" si="0">+X289+X301+X323</f>
        <v>3340</v>
      </c>
      <c r="Y277" s="192">
        <f>X277/$X$286</f>
        <v>0.99761051373954601</v>
      </c>
      <c r="Z277" s="107">
        <f t="shared" ref="Z277:Z284" si="1">+Z289+Z301+Z323</f>
        <v>630268</v>
      </c>
      <c r="AA277" s="192">
        <f>Z277/$Z$286</f>
        <v>0.99720900207584429</v>
      </c>
      <c r="AB277" s="158"/>
      <c r="AC277" s="193"/>
      <c r="AD277" s="22"/>
    </row>
    <row r="278" spans="1:30" s="23" customFormat="1" x14ac:dyDescent="0.3">
      <c r="A278" s="47"/>
      <c r="B278" s="97" t="s">
        <v>60</v>
      </c>
      <c r="C278" s="194"/>
      <c r="D278" s="194"/>
      <c r="E278" s="194"/>
      <c r="F278" s="194"/>
      <c r="G278" s="194"/>
      <c r="H278" s="194"/>
      <c r="I278" s="194"/>
      <c r="J278" s="194"/>
      <c r="K278" s="194"/>
      <c r="L278" s="194"/>
      <c r="M278" s="194"/>
      <c r="N278" s="194"/>
      <c r="O278" s="194"/>
      <c r="P278" s="194"/>
      <c r="Q278" s="194"/>
      <c r="R278" s="194"/>
      <c r="S278" s="194"/>
      <c r="T278" s="194"/>
      <c r="U278" s="194"/>
      <c r="V278" s="194"/>
      <c r="W278" s="194"/>
      <c r="X278" s="195">
        <f t="shared" si="0"/>
        <v>5</v>
      </c>
      <c r="Y278" s="196">
        <f t="shared" ref="Y278:Y284" si="2">X278/$X$286</f>
        <v>1.4934289127837516E-3</v>
      </c>
      <c r="Z278" s="197">
        <f t="shared" si="1"/>
        <v>963</v>
      </c>
      <c r="AA278" s="198">
        <f>Z278/$Z$286</f>
        <v>1.5236570300237963E-3</v>
      </c>
      <c r="AB278" s="163"/>
      <c r="AC278" s="175"/>
      <c r="AD278" s="22"/>
    </row>
    <row r="279" spans="1:30" s="23" customFormat="1" x14ac:dyDescent="0.3">
      <c r="A279" s="47"/>
      <c r="B279" s="97" t="s">
        <v>61</v>
      </c>
      <c r="C279" s="194"/>
      <c r="D279" s="194"/>
      <c r="E279" s="194"/>
      <c r="F279" s="194"/>
      <c r="G279" s="194"/>
      <c r="H279" s="194"/>
      <c r="I279" s="194"/>
      <c r="J279" s="194"/>
      <c r="K279" s="194"/>
      <c r="L279" s="194"/>
      <c r="M279" s="194"/>
      <c r="N279" s="194"/>
      <c r="O279" s="194"/>
      <c r="P279" s="194"/>
      <c r="Q279" s="194"/>
      <c r="R279" s="194"/>
      <c r="S279" s="194"/>
      <c r="T279" s="194"/>
      <c r="U279" s="194"/>
      <c r="V279" s="194"/>
      <c r="W279" s="194"/>
      <c r="X279" s="199">
        <f t="shared" si="0"/>
        <v>1</v>
      </c>
      <c r="Y279" s="200">
        <f t="shared" si="2"/>
        <v>2.9868578255675028E-4</v>
      </c>
      <c r="Z279" s="131">
        <f t="shared" si="1"/>
        <v>584</v>
      </c>
      <c r="AA279" s="198">
        <f t="shared" ref="AA279:AA284" si="3">Z279/$Z$286</f>
        <v>9.2400384790643512E-4</v>
      </c>
      <c r="AB279" s="163"/>
      <c r="AC279" s="175"/>
      <c r="AD279" s="22"/>
    </row>
    <row r="280" spans="1:30" s="23" customFormat="1" x14ac:dyDescent="0.3">
      <c r="A280" s="47"/>
      <c r="B280" s="97" t="s">
        <v>100</v>
      </c>
      <c r="C280" s="194"/>
      <c r="D280" s="194"/>
      <c r="E280" s="194"/>
      <c r="F280" s="194"/>
      <c r="G280" s="194"/>
      <c r="H280" s="194"/>
      <c r="I280" s="194"/>
      <c r="J280" s="194"/>
      <c r="K280" s="194"/>
      <c r="L280" s="194"/>
      <c r="M280" s="194"/>
      <c r="N280" s="194"/>
      <c r="O280" s="194"/>
      <c r="P280" s="194"/>
      <c r="Q280" s="194"/>
      <c r="R280" s="194"/>
      <c r="S280" s="194"/>
      <c r="T280" s="194"/>
      <c r="U280" s="194"/>
      <c r="V280" s="194"/>
      <c r="W280" s="194"/>
      <c r="X280" s="199">
        <f t="shared" si="0"/>
        <v>0</v>
      </c>
      <c r="Y280" s="200">
        <f t="shared" si="2"/>
        <v>0</v>
      </c>
      <c r="Z280" s="131">
        <f t="shared" si="1"/>
        <v>0</v>
      </c>
      <c r="AA280" s="198">
        <f t="shared" si="3"/>
        <v>0</v>
      </c>
      <c r="AB280" s="163"/>
      <c r="AC280" s="175"/>
      <c r="AD280" s="22"/>
    </row>
    <row r="281" spans="1:30" s="23" customFormat="1" x14ac:dyDescent="0.3">
      <c r="A281" s="47"/>
      <c r="B281" s="97" t="s">
        <v>101</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9">
        <f t="shared" si="0"/>
        <v>1</v>
      </c>
      <c r="Y281" s="200">
        <f t="shared" si="2"/>
        <v>2.9868578255675028E-4</v>
      </c>
      <c r="Z281" s="131">
        <f t="shared" si="1"/>
        <v>154</v>
      </c>
      <c r="AA281" s="198">
        <f t="shared" si="3"/>
        <v>2.4365854893423119E-4</v>
      </c>
      <c r="AB281" s="163"/>
      <c r="AC281" s="175"/>
      <c r="AD281" s="22"/>
    </row>
    <row r="282" spans="1:30" s="23" customFormat="1" x14ac:dyDescent="0.3">
      <c r="A282" s="47"/>
      <c r="B282" s="97" t="s">
        <v>102</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0"/>
        <v>0</v>
      </c>
      <c r="Y282" s="200">
        <f t="shared" si="2"/>
        <v>0</v>
      </c>
      <c r="Z282" s="131">
        <f t="shared" si="1"/>
        <v>0</v>
      </c>
      <c r="AA282" s="198">
        <f t="shared" si="3"/>
        <v>0</v>
      </c>
      <c r="AB282" s="163"/>
      <c r="AC282" s="175"/>
      <c r="AD282" s="22"/>
    </row>
    <row r="283" spans="1:30" s="23" customFormat="1" x14ac:dyDescent="0.3">
      <c r="A283" s="47"/>
      <c r="B283" s="97" t="s">
        <v>103</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201">
        <f t="shared" si="0"/>
        <v>0</v>
      </c>
      <c r="Y283" s="202">
        <f t="shared" si="2"/>
        <v>0</v>
      </c>
      <c r="Z283" s="203">
        <f t="shared" si="1"/>
        <v>0</v>
      </c>
      <c r="AA283" s="198">
        <f t="shared" si="3"/>
        <v>0</v>
      </c>
      <c r="AB283" s="163"/>
      <c r="AC283" s="175"/>
      <c r="AD283" s="22"/>
    </row>
    <row r="284" spans="1:30" s="23" customFormat="1" x14ac:dyDescent="0.3">
      <c r="A284" s="47"/>
      <c r="B284" s="97" t="s">
        <v>104</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06">
        <f t="shared" si="0"/>
        <v>1</v>
      </c>
      <c r="Y284" s="198">
        <f t="shared" si="2"/>
        <v>2.9868578255675028E-4</v>
      </c>
      <c r="Z284" s="107">
        <f t="shared" si="1"/>
        <v>63</v>
      </c>
      <c r="AA284" s="198">
        <f t="shared" si="3"/>
        <v>9.9678497291276385E-5</v>
      </c>
      <c r="AB284" s="163"/>
      <c r="AC284" s="175"/>
      <c r="AD284" s="22"/>
    </row>
    <row r="285" spans="1:30" s="23" customFormat="1" x14ac:dyDescent="0.3">
      <c r="A285" s="47"/>
      <c r="B285" s="97"/>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97"/>
      <c r="Y285" s="198"/>
      <c r="Z285" s="98"/>
      <c r="AA285" s="198"/>
      <c r="AB285" s="163"/>
      <c r="AC285" s="175"/>
      <c r="AD285" s="22"/>
    </row>
    <row r="286" spans="1:30" s="23" customFormat="1" x14ac:dyDescent="0.3">
      <c r="A286" s="47"/>
      <c r="B286" s="40" t="s">
        <v>80</v>
      </c>
      <c r="C286" s="40"/>
      <c r="D286" s="204"/>
      <c r="E286" s="204"/>
      <c r="F286" s="204"/>
      <c r="G286" s="204"/>
      <c r="H286" s="204"/>
      <c r="I286" s="204"/>
      <c r="J286" s="204"/>
      <c r="K286" s="204"/>
      <c r="L286" s="204"/>
      <c r="M286" s="204"/>
      <c r="N286" s="204"/>
      <c r="O286" s="204"/>
      <c r="P286" s="204"/>
      <c r="Q286" s="204"/>
      <c r="R286" s="204"/>
      <c r="S286" s="204"/>
      <c r="T286" s="204"/>
      <c r="U286" s="204"/>
      <c r="V286" s="204"/>
      <c r="W286" s="204"/>
      <c r="X286" s="97">
        <f>SUM(X277:X285)</f>
        <v>3348</v>
      </c>
      <c r="Y286" s="198">
        <f>SUM(Y277:Y285)</f>
        <v>1</v>
      </c>
      <c r="Z286" s="98">
        <f>SUM(Z277:Z285)</f>
        <v>632032</v>
      </c>
      <c r="AA286" s="198">
        <f>SUM(AA277:AA285)</f>
        <v>1</v>
      </c>
      <c r="AB286" s="40"/>
      <c r="AC286" s="43"/>
      <c r="AD286" s="22"/>
    </row>
    <row r="287" spans="1:30" x14ac:dyDescent="0.3">
      <c r="A287" s="7"/>
      <c r="B287" s="151"/>
      <c r="C287" s="186"/>
      <c r="D287" s="99"/>
      <c r="E287" s="99"/>
      <c r="F287" s="99"/>
      <c r="G287" s="99"/>
      <c r="H287" s="99"/>
      <c r="I287" s="99"/>
      <c r="J287" s="99"/>
      <c r="K287" s="99"/>
      <c r="L287" s="99"/>
      <c r="M287" s="99"/>
      <c r="N287" s="99"/>
      <c r="O287" s="99"/>
      <c r="P287" s="99"/>
      <c r="Q287" s="99"/>
      <c r="R287" s="99"/>
      <c r="S287" s="99"/>
      <c r="T287" s="99"/>
      <c r="U287" s="99"/>
      <c r="V287" s="99"/>
      <c r="W287" s="99"/>
      <c r="X287" s="99"/>
      <c r="Y287" s="99"/>
      <c r="Z287" s="188"/>
      <c r="AA287" s="99"/>
      <c r="AB287" s="99"/>
      <c r="AC287" s="10"/>
      <c r="AD287" s="5"/>
    </row>
    <row r="288" spans="1:30" x14ac:dyDescent="0.3">
      <c r="A288" s="33"/>
      <c r="B288" s="102" t="s">
        <v>105</v>
      </c>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54" t="s">
        <v>69</v>
      </c>
      <c r="Y288" s="103" t="s">
        <v>70</v>
      </c>
      <c r="Z288" s="154" t="s">
        <v>75</v>
      </c>
      <c r="AA288" s="103" t="s">
        <v>70</v>
      </c>
      <c r="AB288" s="34"/>
      <c r="AC288" s="190"/>
      <c r="AD288" s="5"/>
    </row>
    <row r="289" spans="1:31" s="23" customFormat="1" x14ac:dyDescent="0.3">
      <c r="A289" s="18"/>
      <c r="B289" s="106" t="s">
        <v>59</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06">
        <v>3340</v>
      </c>
      <c r="Y289" s="192">
        <f>X289/$X$298</f>
        <v>0.99820681410639567</v>
      </c>
      <c r="Z289" s="107">
        <v>630268</v>
      </c>
      <c r="AA289" s="192">
        <f>Z289/$Z$298</f>
        <v>0.99755149846078361</v>
      </c>
      <c r="AB289" s="158"/>
      <c r="AC289" s="193"/>
      <c r="AD289" s="22"/>
    </row>
    <row r="290" spans="1:31" s="23" customFormat="1" x14ac:dyDescent="0.3">
      <c r="A290" s="47"/>
      <c r="B290" s="97" t="s">
        <v>60</v>
      </c>
      <c r="C290" s="194"/>
      <c r="D290" s="194"/>
      <c r="E290" s="194"/>
      <c r="F290" s="194"/>
      <c r="G290" s="194"/>
      <c r="H290" s="194"/>
      <c r="I290" s="194"/>
      <c r="J290" s="194"/>
      <c r="K290" s="194"/>
      <c r="L290" s="194"/>
      <c r="M290" s="194"/>
      <c r="N290" s="194"/>
      <c r="O290" s="194"/>
      <c r="P290" s="194"/>
      <c r="Q290" s="194"/>
      <c r="R290" s="194"/>
      <c r="S290" s="194"/>
      <c r="T290" s="194"/>
      <c r="U290" s="194"/>
      <c r="V290" s="194"/>
      <c r="W290" s="194"/>
      <c r="X290" s="97">
        <v>5</v>
      </c>
      <c r="Y290" s="198">
        <f t="shared" ref="Y290:Y296" si="4">X290/$X$298</f>
        <v>1.4943215780035865E-3</v>
      </c>
      <c r="Z290" s="98">
        <v>963</v>
      </c>
      <c r="AA290" s="198">
        <f t="shared" ref="AA290:AA296" si="5">Z290/$Z$298</f>
        <v>1.5241803375988224E-3</v>
      </c>
      <c r="AB290" s="163"/>
      <c r="AC290" s="175"/>
      <c r="AD290" s="22"/>
      <c r="AE290" s="115"/>
    </row>
    <row r="291" spans="1:31" s="23" customFormat="1" x14ac:dyDescent="0.3">
      <c r="A291" s="47"/>
      <c r="B291" s="97" t="s">
        <v>61</v>
      </c>
      <c r="C291" s="194"/>
      <c r="D291" s="194"/>
      <c r="E291" s="194"/>
      <c r="F291" s="194"/>
      <c r="G291" s="194"/>
      <c r="H291" s="194"/>
      <c r="I291" s="194"/>
      <c r="J291" s="194"/>
      <c r="K291" s="194"/>
      <c r="L291" s="194"/>
      <c r="M291" s="194"/>
      <c r="N291" s="194"/>
      <c r="O291" s="194"/>
      <c r="P291" s="194"/>
      <c r="Q291" s="194"/>
      <c r="R291" s="194"/>
      <c r="S291" s="194"/>
      <c r="T291" s="194"/>
      <c r="U291" s="194"/>
      <c r="V291" s="194"/>
      <c r="W291" s="194"/>
      <c r="X291" s="97">
        <v>1</v>
      </c>
      <c r="Y291" s="198">
        <f t="shared" si="4"/>
        <v>2.9886431560071725E-4</v>
      </c>
      <c r="Z291" s="98">
        <v>584</v>
      </c>
      <c r="AA291" s="198">
        <f t="shared" si="5"/>
        <v>9.2432120161756214E-4</v>
      </c>
      <c r="AB291" s="163"/>
      <c r="AC291" s="175"/>
      <c r="AD291" s="22"/>
    </row>
    <row r="292" spans="1:31" s="23" customFormat="1" x14ac:dyDescent="0.3">
      <c r="A292" s="47"/>
      <c r="B292" s="97" t="s">
        <v>100</v>
      </c>
      <c r="C292" s="194"/>
      <c r="D292" s="194"/>
      <c r="E292" s="194"/>
      <c r="F292" s="194"/>
      <c r="G292" s="194"/>
      <c r="H292" s="194"/>
      <c r="I292" s="194"/>
      <c r="J292" s="194"/>
      <c r="K292" s="194"/>
      <c r="L292" s="194"/>
      <c r="M292" s="194"/>
      <c r="N292" s="194"/>
      <c r="O292" s="194"/>
      <c r="P292" s="194"/>
      <c r="Q292" s="194"/>
      <c r="R292" s="194"/>
      <c r="S292" s="194"/>
      <c r="T292" s="194"/>
      <c r="U292" s="194"/>
      <c r="V292" s="194"/>
      <c r="W292" s="194"/>
      <c r="X292" s="97">
        <v>0</v>
      </c>
      <c r="Y292" s="198">
        <f t="shared" si="4"/>
        <v>0</v>
      </c>
      <c r="Z292" s="98">
        <v>0</v>
      </c>
      <c r="AA292" s="198">
        <f t="shared" si="5"/>
        <v>0</v>
      </c>
      <c r="AB292" s="163"/>
      <c r="AC292" s="175"/>
      <c r="AD292" s="22"/>
      <c r="AE292" s="115"/>
    </row>
    <row r="293" spans="1:31" s="23" customFormat="1" x14ac:dyDescent="0.3">
      <c r="A293" s="47"/>
      <c r="B293" s="97" t="s">
        <v>101</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0</v>
      </c>
      <c r="Y293" s="198">
        <f t="shared" si="4"/>
        <v>0</v>
      </c>
      <c r="Z293" s="98">
        <v>0</v>
      </c>
      <c r="AA293" s="198">
        <f t="shared" si="5"/>
        <v>0</v>
      </c>
      <c r="AB293" s="163"/>
      <c r="AC293" s="175"/>
      <c r="AD293" s="22"/>
    </row>
    <row r="294" spans="1:31" s="23" customFormat="1" x14ac:dyDescent="0.3">
      <c r="A294" s="47"/>
      <c r="B294" s="97" t="s">
        <v>102</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4"/>
        <v>0</v>
      </c>
      <c r="Z294" s="98">
        <v>0</v>
      </c>
      <c r="AA294" s="198">
        <f t="shared" si="5"/>
        <v>0</v>
      </c>
      <c r="AB294" s="163"/>
      <c r="AC294" s="175"/>
      <c r="AD294" s="22"/>
      <c r="AE294" s="115"/>
    </row>
    <row r="295" spans="1:31" s="23" customFormat="1" x14ac:dyDescent="0.3">
      <c r="A295" s="47"/>
      <c r="B295" s="97" t="s">
        <v>103</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0</v>
      </c>
      <c r="Y295" s="198">
        <f>X295/$X$298</f>
        <v>0</v>
      </c>
      <c r="Z295" s="98">
        <v>0</v>
      </c>
      <c r="AA295" s="198">
        <f t="shared" si="5"/>
        <v>0</v>
      </c>
      <c r="AB295" s="163"/>
      <c r="AC295" s="175"/>
      <c r="AD295" s="22"/>
    </row>
    <row r="296" spans="1:31" s="23" customFormat="1" x14ac:dyDescent="0.3">
      <c r="A296" s="47"/>
      <c r="B296" s="97" t="s">
        <v>104</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4"/>
        <v>0</v>
      </c>
      <c r="Z296" s="98">
        <v>0</v>
      </c>
      <c r="AA296" s="198">
        <f t="shared" si="5"/>
        <v>0</v>
      </c>
      <c r="AB296" s="163"/>
      <c r="AC296" s="175"/>
      <c r="AD296" s="22"/>
      <c r="AE296" s="115"/>
    </row>
    <row r="297" spans="1:31" s="23" customFormat="1" x14ac:dyDescent="0.3">
      <c r="A297" s="47"/>
      <c r="B297" s="97"/>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c r="Y297" s="198"/>
      <c r="Z297" s="98"/>
      <c r="AA297" s="198"/>
      <c r="AB297" s="163"/>
      <c r="AC297" s="175"/>
      <c r="AD297" s="22"/>
    </row>
    <row r="298" spans="1:31" s="23" customFormat="1" x14ac:dyDescent="0.3">
      <c r="A298" s="47"/>
      <c r="B298" s="40" t="s">
        <v>80</v>
      </c>
      <c r="C298" s="40"/>
      <c r="D298" s="204"/>
      <c r="E298" s="204"/>
      <c r="F298" s="204"/>
      <c r="G298" s="204"/>
      <c r="H298" s="204"/>
      <c r="I298" s="204"/>
      <c r="J298" s="204"/>
      <c r="K298" s="204"/>
      <c r="L298" s="204"/>
      <c r="M298" s="204"/>
      <c r="N298" s="204"/>
      <c r="O298" s="204"/>
      <c r="P298" s="204"/>
      <c r="Q298" s="204"/>
      <c r="R298" s="204"/>
      <c r="S298" s="204"/>
      <c r="T298" s="204"/>
      <c r="U298" s="204"/>
      <c r="V298" s="204"/>
      <c r="W298" s="204"/>
      <c r="X298" s="97">
        <f>SUM(X289:X297)</f>
        <v>3346</v>
      </c>
      <c r="Y298" s="198">
        <f>SUM(Y289:Y297)</f>
        <v>0.99999999999999989</v>
      </c>
      <c r="Z298" s="98">
        <f>SUM(Z289:Z297)</f>
        <v>631815</v>
      </c>
      <c r="AA298" s="198">
        <f>SUM(AA289:AA297)</f>
        <v>1</v>
      </c>
      <c r="AB298" s="40"/>
      <c r="AC298" s="43"/>
      <c r="AD298" s="22"/>
    </row>
    <row r="299" spans="1:31" x14ac:dyDescent="0.3">
      <c r="A299" s="7"/>
      <c r="B299" s="99"/>
      <c r="C299" s="99"/>
      <c r="D299" s="205"/>
      <c r="E299" s="205"/>
      <c r="F299" s="205"/>
      <c r="G299" s="205"/>
      <c r="H299" s="205"/>
      <c r="I299" s="205"/>
      <c r="J299" s="205"/>
      <c r="K299" s="205"/>
      <c r="L299" s="205"/>
      <c r="M299" s="205"/>
      <c r="N299" s="205"/>
      <c r="O299" s="205"/>
      <c r="P299" s="205"/>
      <c r="Q299" s="205"/>
      <c r="R299" s="205"/>
      <c r="S299" s="205"/>
      <c r="T299" s="205"/>
      <c r="U299" s="205"/>
      <c r="V299" s="205"/>
      <c r="W299" s="205"/>
      <c r="X299" s="100"/>
      <c r="Y299" s="206"/>
      <c r="Z299" s="207"/>
      <c r="AA299" s="206"/>
      <c r="AB299" s="99"/>
      <c r="AC299" s="10"/>
      <c r="AD299" s="5"/>
    </row>
    <row r="300" spans="1:31" x14ac:dyDescent="0.3">
      <c r="A300" s="33"/>
      <c r="B300" s="102" t="s">
        <v>121</v>
      </c>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54" t="s">
        <v>69</v>
      </c>
      <c r="Y300" s="103" t="s">
        <v>70</v>
      </c>
      <c r="Z300" s="154" t="s">
        <v>75</v>
      </c>
      <c r="AA300" s="103" t="s">
        <v>70</v>
      </c>
      <c r="AB300" s="34"/>
      <c r="AC300" s="36"/>
      <c r="AD300" s="5"/>
    </row>
    <row r="301" spans="1:31" s="23" customFormat="1" x14ac:dyDescent="0.3">
      <c r="A301" s="18"/>
      <c r="B301" s="106" t="s">
        <v>59</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06">
        <v>0</v>
      </c>
      <c r="Y301" s="192">
        <v>0</v>
      </c>
      <c r="Z301" s="107">
        <v>0</v>
      </c>
      <c r="AA301" s="192">
        <v>0</v>
      </c>
      <c r="AB301" s="37"/>
      <c r="AC301" s="21"/>
      <c r="AD301" s="22"/>
    </row>
    <row r="302" spans="1:31" s="23" customFormat="1" x14ac:dyDescent="0.3">
      <c r="A302" s="47"/>
      <c r="B302" s="97" t="s">
        <v>60</v>
      </c>
      <c r="C302" s="194"/>
      <c r="D302" s="194"/>
      <c r="E302" s="194"/>
      <c r="F302" s="194"/>
      <c r="G302" s="194"/>
      <c r="H302" s="194"/>
      <c r="I302" s="194"/>
      <c r="J302" s="194"/>
      <c r="K302" s="194"/>
      <c r="L302" s="194"/>
      <c r="M302" s="194"/>
      <c r="N302" s="194"/>
      <c r="O302" s="194"/>
      <c r="P302" s="194"/>
      <c r="Q302" s="194"/>
      <c r="R302" s="194"/>
      <c r="S302" s="194"/>
      <c r="T302" s="194"/>
      <c r="U302" s="194"/>
      <c r="V302" s="194"/>
      <c r="W302" s="194"/>
      <c r="X302" s="97">
        <v>0</v>
      </c>
      <c r="Y302" s="198">
        <f>X302/X310</f>
        <v>0</v>
      </c>
      <c r="Z302" s="98">
        <v>0</v>
      </c>
      <c r="AA302" s="198">
        <f>Z302/Z310</f>
        <v>0</v>
      </c>
      <c r="AB302" s="40"/>
      <c r="AC302" s="43"/>
      <c r="AD302" s="22"/>
    </row>
    <row r="303" spans="1:31" s="23" customFormat="1" x14ac:dyDescent="0.3">
      <c r="A303" s="47"/>
      <c r="B303" s="97" t="s">
        <v>61</v>
      </c>
      <c r="C303" s="194"/>
      <c r="D303" s="194"/>
      <c r="E303" s="194"/>
      <c r="F303" s="194"/>
      <c r="G303" s="194"/>
      <c r="H303" s="194"/>
      <c r="I303" s="194"/>
      <c r="J303" s="194"/>
      <c r="K303" s="194"/>
      <c r="L303" s="194"/>
      <c r="M303" s="194"/>
      <c r="N303" s="194"/>
      <c r="O303" s="194"/>
      <c r="P303" s="194"/>
      <c r="Q303" s="194"/>
      <c r="R303" s="194"/>
      <c r="S303" s="194"/>
      <c r="T303" s="194"/>
      <c r="U303" s="194"/>
      <c r="V303" s="194"/>
      <c r="W303" s="194"/>
      <c r="X303" s="97">
        <v>0</v>
      </c>
      <c r="Y303" s="198">
        <f>X303/X310</f>
        <v>0</v>
      </c>
      <c r="Z303" s="98">
        <v>0</v>
      </c>
      <c r="AA303" s="198">
        <f>Z303/Z310</f>
        <v>0</v>
      </c>
      <c r="AB303" s="40"/>
      <c r="AC303" s="43"/>
      <c r="AD303" s="22"/>
    </row>
    <row r="304" spans="1:31" s="23" customFormat="1" x14ac:dyDescent="0.3">
      <c r="A304" s="47"/>
      <c r="B304" s="97" t="s">
        <v>100</v>
      </c>
      <c r="C304" s="194"/>
      <c r="D304" s="194"/>
      <c r="E304" s="194"/>
      <c r="F304" s="194"/>
      <c r="G304" s="194"/>
      <c r="H304" s="194"/>
      <c r="I304" s="194"/>
      <c r="J304" s="194"/>
      <c r="K304" s="194"/>
      <c r="L304" s="194"/>
      <c r="M304" s="194"/>
      <c r="N304" s="194"/>
      <c r="O304" s="194"/>
      <c r="P304" s="194"/>
      <c r="Q304" s="194"/>
      <c r="R304" s="194"/>
      <c r="S304" s="194"/>
      <c r="T304" s="194"/>
      <c r="U304" s="194"/>
      <c r="V304" s="194"/>
      <c r="W304" s="194"/>
      <c r="X304" s="97">
        <v>0</v>
      </c>
      <c r="Y304" s="198">
        <f>X304/X310</f>
        <v>0</v>
      </c>
      <c r="Z304" s="98">
        <v>0</v>
      </c>
      <c r="AA304" s="198">
        <f>Z304/Z310</f>
        <v>0</v>
      </c>
      <c r="AB304" s="40"/>
      <c r="AC304" s="43"/>
      <c r="AD304" s="22"/>
    </row>
    <row r="305" spans="1:30" s="23" customFormat="1" x14ac:dyDescent="0.3">
      <c r="A305" s="47"/>
      <c r="B305" s="97" t="s">
        <v>101</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1</v>
      </c>
      <c r="Y305" s="198">
        <v>0</v>
      </c>
      <c r="Z305" s="98">
        <v>154</v>
      </c>
      <c r="AA305" s="198">
        <v>0</v>
      </c>
      <c r="AB305" s="40"/>
      <c r="AC305" s="43"/>
      <c r="AD305" s="22"/>
    </row>
    <row r="306" spans="1:30" s="23" customFormat="1" x14ac:dyDescent="0.3">
      <c r="A306" s="47"/>
      <c r="B306" s="97" t="s">
        <v>102</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103</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f>X307/X310</f>
        <v>0</v>
      </c>
      <c r="Z307" s="98">
        <v>0</v>
      </c>
      <c r="AA307" s="198">
        <f>Z307/Z310</f>
        <v>0</v>
      </c>
      <c r="AB307" s="40"/>
      <c r="AC307" s="43"/>
      <c r="AD307" s="22"/>
    </row>
    <row r="308" spans="1:30" s="23" customFormat="1" x14ac:dyDescent="0.3">
      <c r="A308" s="47"/>
      <c r="B308" s="97" t="s">
        <v>104</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1</v>
      </c>
      <c r="Y308" s="198">
        <v>0</v>
      </c>
      <c r="Z308" s="98">
        <v>63</v>
      </c>
      <c r="AA308" s="198">
        <v>0</v>
      </c>
      <c r="AB308" s="40"/>
      <c r="AC308" s="43"/>
      <c r="AD308" s="22"/>
    </row>
    <row r="309" spans="1:30" s="23" customFormat="1" x14ac:dyDescent="0.3">
      <c r="A309" s="47"/>
      <c r="B309" s="97"/>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c r="Y309" s="198"/>
      <c r="Z309" s="98"/>
      <c r="AA309" s="198"/>
      <c r="AB309" s="40"/>
      <c r="AC309" s="43"/>
      <c r="AD309" s="22"/>
    </row>
    <row r="310" spans="1:30" s="23" customFormat="1" x14ac:dyDescent="0.3">
      <c r="A310" s="47"/>
      <c r="B310" s="40" t="s">
        <v>80</v>
      </c>
      <c r="C310" s="40"/>
      <c r="D310" s="204"/>
      <c r="E310" s="204"/>
      <c r="F310" s="204"/>
      <c r="G310" s="204"/>
      <c r="H310" s="204"/>
      <c r="I310" s="204"/>
      <c r="J310" s="204"/>
      <c r="K310" s="204"/>
      <c r="L310" s="204"/>
      <c r="M310" s="204"/>
      <c r="N310" s="204"/>
      <c r="O310" s="204"/>
      <c r="P310" s="204"/>
      <c r="Q310" s="204"/>
      <c r="R310" s="204"/>
      <c r="S310" s="204"/>
      <c r="T310" s="204"/>
      <c r="U310" s="204"/>
      <c r="V310" s="204"/>
      <c r="W310" s="204"/>
      <c r="X310" s="97">
        <f>SUM(X301:X309)</f>
        <v>2</v>
      </c>
      <c r="Y310" s="198">
        <f>SUM(Y301:Y309)</f>
        <v>0</v>
      </c>
      <c r="Z310" s="98">
        <f>SUM(Z301:Z309)</f>
        <v>217</v>
      </c>
      <c r="AA310" s="198">
        <f>SUM(AA301:AA309)</f>
        <v>0</v>
      </c>
      <c r="AB310" s="40"/>
      <c r="AC310" s="43"/>
      <c r="AD310" s="22"/>
    </row>
    <row r="311" spans="1:30" s="23" customFormat="1" x14ac:dyDescent="0.3">
      <c r="A311" s="47"/>
      <c r="B311" s="40"/>
      <c r="C311" s="40"/>
      <c r="D311" s="204"/>
      <c r="E311" s="204"/>
      <c r="F311" s="204"/>
      <c r="G311" s="204"/>
      <c r="H311" s="204"/>
      <c r="I311" s="204"/>
      <c r="J311" s="204"/>
      <c r="K311" s="204"/>
      <c r="L311" s="204"/>
      <c r="M311" s="204"/>
      <c r="N311" s="204"/>
      <c r="O311" s="204"/>
      <c r="P311" s="204"/>
      <c r="Q311" s="204"/>
      <c r="R311" s="204"/>
      <c r="S311" s="204"/>
      <c r="T311" s="204"/>
      <c r="U311" s="204"/>
      <c r="V311" s="204"/>
      <c r="W311" s="204"/>
      <c r="X311" s="97"/>
      <c r="Y311" s="198"/>
      <c r="Z311" s="98"/>
      <c r="AA311" s="198"/>
      <c r="AB311" s="40"/>
      <c r="AC311" s="43"/>
      <c r="AD311" s="22"/>
    </row>
    <row r="312" spans="1:30" s="23" customFormat="1" x14ac:dyDescent="0.3">
      <c r="A312" s="242"/>
      <c r="B312" s="243" t="s">
        <v>299</v>
      </c>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62" t="s">
        <v>69</v>
      </c>
      <c r="Y312" s="263" t="s">
        <v>70</v>
      </c>
      <c r="Z312" s="262" t="s">
        <v>75</v>
      </c>
      <c r="AA312" s="263" t="s">
        <v>70</v>
      </c>
      <c r="AB312" s="243"/>
      <c r="AC312" s="243"/>
      <c r="AD312" s="22"/>
    </row>
    <row r="313" spans="1:30" s="23" customFormat="1" x14ac:dyDescent="0.3">
      <c r="A313" s="272"/>
      <c r="B313" s="273" t="s">
        <v>295</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275">
        <v>0</v>
      </c>
      <c r="Y313" s="276">
        <f>X313/X320</f>
        <v>0</v>
      </c>
      <c r="Z313" s="277">
        <v>0</v>
      </c>
      <c r="AA313" s="276">
        <f>Z313/Z320</f>
        <v>0</v>
      </c>
      <c r="AB313" s="40"/>
      <c r="AC313" s="43"/>
      <c r="AD313" s="22"/>
    </row>
    <row r="314" spans="1:30" s="23" customFormat="1" x14ac:dyDescent="0.3">
      <c r="A314" s="272"/>
      <c r="B314" s="273" t="s">
        <v>296</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275">
        <v>0</v>
      </c>
      <c r="Y314" s="276">
        <v>0</v>
      </c>
      <c r="Z314" s="277">
        <v>0</v>
      </c>
      <c r="AA314" s="276">
        <v>0</v>
      </c>
      <c r="AB314" s="40"/>
      <c r="AC314" s="43"/>
      <c r="AD314" s="22"/>
    </row>
    <row r="315" spans="1:30" s="23" customFormat="1" x14ac:dyDescent="0.3">
      <c r="A315" s="272"/>
      <c r="B315" s="273" t="s">
        <v>297</v>
      </c>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275">
        <v>0</v>
      </c>
      <c r="Y315" s="276">
        <v>0</v>
      </c>
      <c r="Z315" s="277">
        <v>0</v>
      </c>
      <c r="AA315" s="276">
        <v>0</v>
      </c>
      <c r="AB315" s="40"/>
      <c r="AC315" s="43"/>
      <c r="AD315" s="22"/>
    </row>
    <row r="316" spans="1:30" s="23" customFormat="1" x14ac:dyDescent="0.3">
      <c r="A316" s="272"/>
      <c r="B316" s="273" t="s">
        <v>298</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5">
        <v>0</v>
      </c>
      <c r="Y316" s="276">
        <f>X316/X320</f>
        <v>0</v>
      </c>
      <c r="Z316" s="277">
        <v>0</v>
      </c>
      <c r="AA316" s="276">
        <f>Z316/Z320</f>
        <v>0</v>
      </c>
      <c r="AB316" s="40"/>
      <c r="AC316" s="43"/>
      <c r="AD316" s="22"/>
    </row>
    <row r="317" spans="1:30" s="23" customFormat="1" x14ac:dyDescent="0.3">
      <c r="A317" s="272"/>
      <c r="B317" s="273" t="s">
        <v>368</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5">
        <v>1</v>
      </c>
      <c r="Y317" s="276">
        <f>X317/X320</f>
        <v>0.5</v>
      </c>
      <c r="Z317" s="277">
        <v>63</v>
      </c>
      <c r="AA317" s="276">
        <f>Z317/Z320</f>
        <v>0.29032258064516131</v>
      </c>
      <c r="AB317" s="40"/>
      <c r="AC317" s="43"/>
      <c r="AD317" s="22"/>
    </row>
    <row r="318" spans="1:30" s="23" customFormat="1" x14ac:dyDescent="0.3">
      <c r="A318" s="272"/>
      <c r="B318" s="274" t="s">
        <v>300</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5">
        <v>1</v>
      </c>
      <c r="Y318" s="276">
        <f>X318/X320</f>
        <v>0.5</v>
      </c>
      <c r="Z318" s="277">
        <v>154</v>
      </c>
      <c r="AA318" s="276">
        <f>Z318/Z320</f>
        <v>0.70967741935483875</v>
      </c>
      <c r="AB318" s="40"/>
      <c r="AC318" s="43"/>
      <c r="AD318" s="22"/>
    </row>
    <row r="319" spans="1:30" s="23" customFormat="1" x14ac:dyDescent="0.3">
      <c r="A319" s="272"/>
      <c r="B319" s="273"/>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5"/>
      <c r="Y319" s="276"/>
      <c r="Z319" s="277"/>
      <c r="AA319" s="276"/>
      <c r="AB319" s="40"/>
      <c r="AC319" s="43"/>
      <c r="AD319" s="22"/>
    </row>
    <row r="320" spans="1:30" s="23" customFormat="1" x14ac:dyDescent="0.3">
      <c r="A320" s="272"/>
      <c r="B320" s="273" t="s">
        <v>80</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5">
        <f>SUM(X313:X319)</f>
        <v>2</v>
      </c>
      <c r="Y320" s="276">
        <f>SUM(Y313:Y318)</f>
        <v>1</v>
      </c>
      <c r="Z320" s="277">
        <f>SUM(Z313:Z318)</f>
        <v>217</v>
      </c>
      <c r="AA320" s="276">
        <f>SUM(AA313:AA319)</f>
        <v>1</v>
      </c>
      <c r="AB320" s="40"/>
      <c r="AC320" s="43"/>
      <c r="AD320" s="22"/>
    </row>
    <row r="321" spans="1:30" x14ac:dyDescent="0.3">
      <c r="A321" s="7"/>
      <c r="B321" s="99"/>
      <c r="C321" s="99"/>
      <c r="D321" s="205"/>
      <c r="E321" s="205"/>
      <c r="F321" s="205"/>
      <c r="G321" s="205"/>
      <c r="H321" s="205"/>
      <c r="I321" s="205"/>
      <c r="J321" s="205"/>
      <c r="K321" s="205"/>
      <c r="L321" s="205"/>
      <c r="M321" s="205"/>
      <c r="N321" s="205"/>
      <c r="O321" s="205"/>
      <c r="P321" s="205"/>
      <c r="Q321" s="205"/>
      <c r="R321" s="205"/>
      <c r="S321" s="205"/>
      <c r="T321" s="205"/>
      <c r="U321" s="205"/>
      <c r="V321" s="205"/>
      <c r="W321" s="205"/>
      <c r="X321" s="100"/>
      <c r="Y321" s="206"/>
      <c r="Z321" s="207"/>
      <c r="AA321" s="206"/>
      <c r="AB321" s="99"/>
      <c r="AC321" s="10"/>
      <c r="AD321" s="5"/>
    </row>
    <row r="322" spans="1:30" x14ac:dyDescent="0.3">
      <c r="A322" s="33"/>
      <c r="B322" s="102" t="s">
        <v>106</v>
      </c>
      <c r="C322" s="34"/>
      <c r="D322" s="208"/>
      <c r="E322" s="208"/>
      <c r="F322" s="208"/>
      <c r="G322" s="208"/>
      <c r="H322" s="208"/>
      <c r="I322" s="208"/>
      <c r="J322" s="208"/>
      <c r="K322" s="208"/>
      <c r="L322" s="208"/>
      <c r="M322" s="208"/>
      <c r="N322" s="208"/>
      <c r="O322" s="208"/>
      <c r="P322" s="208"/>
      <c r="Q322" s="208"/>
      <c r="R322" s="208"/>
      <c r="S322" s="208"/>
      <c r="T322" s="208"/>
      <c r="U322" s="208"/>
      <c r="V322" s="208"/>
      <c r="W322" s="208"/>
      <c r="X322" s="154" t="s">
        <v>69</v>
      </c>
      <c r="Y322" s="103" t="s">
        <v>70</v>
      </c>
      <c r="Z322" s="154" t="s">
        <v>75</v>
      </c>
      <c r="AA322" s="103" t="s">
        <v>70</v>
      </c>
      <c r="AB322" s="34"/>
      <c r="AC322" s="36"/>
      <c r="AD322" s="5"/>
    </row>
    <row r="323" spans="1:30" s="23" customFormat="1" x14ac:dyDescent="0.3">
      <c r="A323" s="18"/>
      <c r="B323" s="106" t="s">
        <v>59</v>
      </c>
      <c r="C323" s="37"/>
      <c r="D323" s="209"/>
      <c r="E323" s="209"/>
      <c r="F323" s="209"/>
      <c r="G323" s="209"/>
      <c r="H323" s="209"/>
      <c r="I323" s="209"/>
      <c r="J323" s="209"/>
      <c r="K323" s="209"/>
      <c r="L323" s="209"/>
      <c r="M323" s="209"/>
      <c r="N323" s="209"/>
      <c r="O323" s="209"/>
      <c r="P323" s="209"/>
      <c r="Q323" s="209"/>
      <c r="R323" s="209"/>
      <c r="S323" s="209"/>
      <c r="T323" s="209"/>
      <c r="U323" s="209"/>
      <c r="V323" s="209"/>
      <c r="W323" s="209"/>
      <c r="X323" s="106">
        <v>0</v>
      </c>
      <c r="Y323" s="192">
        <v>0</v>
      </c>
      <c r="Z323" s="107">
        <v>0</v>
      </c>
      <c r="AA323" s="192">
        <v>0</v>
      </c>
      <c r="AB323" s="37"/>
      <c r="AC323" s="21"/>
      <c r="AD323" s="22"/>
    </row>
    <row r="324" spans="1:30" s="23" customFormat="1" x14ac:dyDescent="0.3">
      <c r="A324" s="47"/>
      <c r="B324" s="97" t="s">
        <v>60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97">
        <v>0</v>
      </c>
      <c r="Y324" s="198">
        <v>0</v>
      </c>
      <c r="Z324" s="98">
        <v>0</v>
      </c>
      <c r="AA324" s="198">
        <v>0</v>
      </c>
      <c r="AB324" s="40"/>
      <c r="AC324" s="43"/>
      <c r="AD324" s="22"/>
    </row>
    <row r="325" spans="1:30" s="23" customFormat="1" x14ac:dyDescent="0.3">
      <c r="A325" s="47"/>
      <c r="B325" s="97" t="s">
        <v>61</v>
      </c>
      <c r="C325" s="40"/>
      <c r="D325" s="204"/>
      <c r="E325" s="204"/>
      <c r="F325" s="204"/>
      <c r="G325" s="204"/>
      <c r="H325" s="204"/>
      <c r="I325" s="204"/>
      <c r="J325" s="204"/>
      <c r="K325" s="204"/>
      <c r="L325" s="204"/>
      <c r="M325" s="204"/>
      <c r="N325" s="204"/>
      <c r="O325" s="204"/>
      <c r="P325" s="204"/>
      <c r="Q325" s="204"/>
      <c r="R325" s="204"/>
      <c r="S325" s="204"/>
      <c r="T325" s="204"/>
      <c r="U325" s="204"/>
      <c r="V325" s="204"/>
      <c r="W325" s="204"/>
      <c r="X325" s="97">
        <v>0</v>
      </c>
      <c r="Y325" s="198">
        <v>0</v>
      </c>
      <c r="Z325" s="98">
        <v>0</v>
      </c>
      <c r="AA325" s="198">
        <v>0</v>
      </c>
      <c r="AB325" s="40"/>
      <c r="AC325" s="43"/>
      <c r="AD325" s="22"/>
    </row>
    <row r="326" spans="1:30" s="23" customFormat="1" x14ac:dyDescent="0.3">
      <c r="A326" s="47"/>
      <c r="B326" s="97" t="s">
        <v>100</v>
      </c>
      <c r="C326" s="40"/>
      <c r="D326" s="204"/>
      <c r="E326" s="204"/>
      <c r="F326" s="204"/>
      <c r="G326" s="204"/>
      <c r="H326" s="204"/>
      <c r="I326" s="204"/>
      <c r="J326" s="204"/>
      <c r="K326" s="204"/>
      <c r="L326" s="204"/>
      <c r="M326" s="204"/>
      <c r="N326" s="204"/>
      <c r="O326" s="204"/>
      <c r="P326" s="204"/>
      <c r="Q326" s="204"/>
      <c r="R326" s="204"/>
      <c r="S326" s="204"/>
      <c r="T326" s="204"/>
      <c r="U326" s="204"/>
      <c r="V326" s="204"/>
      <c r="W326" s="204"/>
      <c r="X326" s="97">
        <v>0</v>
      </c>
      <c r="Y326" s="198">
        <v>0</v>
      </c>
      <c r="Z326" s="98">
        <v>0</v>
      </c>
      <c r="AA326" s="198">
        <v>0</v>
      </c>
      <c r="AB326" s="40"/>
      <c r="AC326" s="43"/>
      <c r="AD326" s="22"/>
    </row>
    <row r="327" spans="1:30" s="23" customFormat="1" x14ac:dyDescent="0.3">
      <c r="A327" s="47"/>
      <c r="B327" s="97" t="s">
        <v>101</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102</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103</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104</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c r="Y331" s="198"/>
      <c r="Z331" s="98"/>
      <c r="AA331" s="198"/>
      <c r="AB331" s="40"/>
      <c r="AC331" s="43"/>
      <c r="AD331" s="22"/>
    </row>
    <row r="332" spans="1:30" s="23" customFormat="1" x14ac:dyDescent="0.3">
      <c r="A332" s="47"/>
      <c r="B332" s="40" t="s">
        <v>80</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f>SUM(X323:X330)</f>
        <v>0</v>
      </c>
      <c r="Y332" s="198">
        <f>SUM(Y323:Y330)</f>
        <v>0</v>
      </c>
      <c r="Z332" s="98">
        <f>SUM(Z323:Z330)</f>
        <v>0</v>
      </c>
      <c r="AA332" s="198">
        <f>SUM(AA323:AA330)</f>
        <v>0</v>
      </c>
      <c r="AB332" s="40"/>
      <c r="AC332" s="43"/>
      <c r="AD332" s="22"/>
    </row>
    <row r="333" spans="1:30" s="23" customFormat="1" x14ac:dyDescent="0.3">
      <c r="A333" s="47"/>
      <c r="B333" s="40"/>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c r="Y333" s="198"/>
      <c r="Z333" s="98"/>
      <c r="AA333" s="198"/>
      <c r="AB333" s="40"/>
      <c r="AC333" s="43"/>
      <c r="AD333" s="22"/>
    </row>
    <row r="334" spans="1:30" s="23" customFormat="1" x14ac:dyDescent="0.3">
      <c r="A334" s="47"/>
      <c r="B334" s="44" t="s">
        <v>139</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210">
        <f>X332+X310+X298</f>
        <v>3348</v>
      </c>
      <c r="Y334" s="198"/>
      <c r="Z334" s="211">
        <f>+Z332+Z310+Z298</f>
        <v>632032</v>
      </c>
      <c r="AA334" s="198"/>
      <c r="AB334" s="40"/>
      <c r="AC334" s="43"/>
      <c r="AD334" s="22"/>
    </row>
    <row r="335" spans="1:30" s="23" customFormat="1" x14ac:dyDescent="0.3">
      <c r="A335" s="47"/>
      <c r="B335" s="44" t="s">
        <v>280</v>
      </c>
      <c r="C335" s="44"/>
      <c r="D335" s="212"/>
      <c r="E335" s="212"/>
      <c r="F335" s="212"/>
      <c r="G335" s="212"/>
      <c r="H335" s="212"/>
      <c r="I335" s="212"/>
      <c r="J335" s="212"/>
      <c r="K335" s="212"/>
      <c r="L335" s="212"/>
      <c r="M335" s="212"/>
      <c r="N335" s="212"/>
      <c r="O335" s="212"/>
      <c r="P335" s="212"/>
      <c r="Q335" s="212"/>
      <c r="R335" s="212"/>
      <c r="S335" s="212"/>
      <c r="T335" s="212"/>
      <c r="U335" s="212"/>
      <c r="V335" s="212"/>
      <c r="W335" s="212"/>
      <c r="X335" s="210"/>
      <c r="Y335" s="213"/>
      <c r="Z335" s="211">
        <f>+AB64+AB63</f>
        <v>3</v>
      </c>
      <c r="AA335" s="198"/>
      <c r="AB335" s="40"/>
      <c r="AC335" s="43"/>
      <c r="AD335" s="22"/>
    </row>
    <row r="336" spans="1:30" s="23" customFormat="1" x14ac:dyDescent="0.3">
      <c r="A336" s="47"/>
      <c r="B336" s="44" t="s">
        <v>107</v>
      </c>
      <c r="C336" s="44"/>
      <c r="D336" s="212"/>
      <c r="E336" s="212"/>
      <c r="F336" s="212"/>
      <c r="G336" s="212"/>
      <c r="H336" s="212"/>
      <c r="I336" s="212"/>
      <c r="J336" s="212"/>
      <c r="K336" s="212"/>
      <c r="L336" s="212"/>
      <c r="M336" s="212"/>
      <c r="N336" s="212"/>
      <c r="O336" s="212"/>
      <c r="P336" s="212"/>
      <c r="Q336" s="212"/>
      <c r="R336" s="212"/>
      <c r="S336" s="212"/>
      <c r="T336" s="212"/>
      <c r="U336" s="212"/>
      <c r="V336" s="212"/>
      <c r="W336" s="212"/>
      <c r="X336" s="210"/>
      <c r="Y336" s="213"/>
      <c r="Z336" s="211">
        <f>+Z334+Z335</f>
        <v>632035</v>
      </c>
      <c r="AA336" s="198"/>
      <c r="AB336" s="40"/>
      <c r="AC336" s="43"/>
      <c r="AD336" s="22"/>
    </row>
    <row r="337" spans="1:30" s="23" customFormat="1" x14ac:dyDescent="0.3">
      <c r="A337" s="47"/>
      <c r="B337" s="44" t="s">
        <v>245</v>
      </c>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210"/>
      <c r="Y337" s="198"/>
      <c r="Z337" s="211">
        <f>+AB66</f>
        <v>632035</v>
      </c>
      <c r="AA337" s="198"/>
      <c r="AB337" s="40"/>
      <c r="AC337" s="43"/>
      <c r="AD337" s="22"/>
    </row>
    <row r="338" spans="1:30" s="23" customFormat="1" x14ac:dyDescent="0.3">
      <c r="A338" s="47"/>
      <c r="B338" s="44"/>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c r="Y338" s="198"/>
      <c r="Z338" s="211"/>
      <c r="AA338" s="198"/>
      <c r="AB338" s="40"/>
      <c r="AC338" s="43"/>
      <c r="AD338" s="22"/>
    </row>
    <row r="339" spans="1:30" s="23" customFormat="1" x14ac:dyDescent="0.3">
      <c r="A339" s="47"/>
      <c r="B339" s="44" t="s">
        <v>327</v>
      </c>
      <c r="C339" s="40"/>
      <c r="D339" s="204"/>
      <c r="E339" s="204"/>
      <c r="F339" s="204"/>
      <c r="G339" s="204"/>
      <c r="H339" s="204"/>
      <c r="I339" s="204"/>
      <c r="J339" s="204"/>
      <c r="K339" s="204"/>
      <c r="L339" s="204"/>
      <c r="M339" s="204"/>
      <c r="N339" s="204"/>
      <c r="O339" s="204"/>
      <c r="P339" s="204"/>
      <c r="Q339" s="204"/>
      <c r="R339" s="204"/>
      <c r="S339" s="204"/>
      <c r="T339" s="204"/>
      <c r="U339" s="204"/>
      <c r="V339" s="204"/>
      <c r="W339" s="204"/>
      <c r="X339" s="210"/>
      <c r="Y339" s="198"/>
      <c r="Z339" s="236">
        <f>(F31+H31+J31+L31+N31)/AB31</f>
        <v>1</v>
      </c>
      <c r="AA339" s="198"/>
      <c r="AB339" s="40"/>
      <c r="AC339" s="43"/>
      <c r="AD339" s="22"/>
    </row>
    <row r="340" spans="1:30" s="23" customFormat="1" x14ac:dyDescent="0.3">
      <c r="A340" s="18"/>
      <c r="B340" s="20"/>
      <c r="C340" s="20"/>
      <c r="D340" s="214"/>
      <c r="E340" s="214"/>
      <c r="F340" s="214"/>
      <c r="G340" s="214"/>
      <c r="H340" s="214"/>
      <c r="I340" s="214"/>
      <c r="J340" s="214"/>
      <c r="K340" s="214"/>
      <c r="L340" s="214"/>
      <c r="M340" s="214"/>
      <c r="N340" s="214"/>
      <c r="O340" s="214"/>
      <c r="P340" s="214"/>
      <c r="Q340" s="214"/>
      <c r="R340" s="214"/>
      <c r="S340" s="214"/>
      <c r="T340" s="214"/>
      <c r="U340" s="214"/>
      <c r="V340" s="214"/>
      <c r="W340" s="214"/>
      <c r="X340" s="214"/>
      <c r="Y340" s="214"/>
      <c r="Z340" s="215"/>
      <c r="AA340" s="214"/>
      <c r="AB340" s="20"/>
      <c r="AC340" s="21"/>
      <c r="AD340" s="22"/>
    </row>
    <row r="341" spans="1:30" s="23" customFormat="1" x14ac:dyDescent="0.3">
      <c r="A341" s="18"/>
      <c r="B341" s="19" t="s">
        <v>62</v>
      </c>
      <c r="C341" s="20"/>
      <c r="D341" s="216" t="s">
        <v>66</v>
      </c>
      <c r="E341" s="19"/>
      <c r="F341" s="19" t="s">
        <v>67</v>
      </c>
      <c r="G341" s="20"/>
      <c r="H341" s="19"/>
      <c r="I341" s="20"/>
      <c r="J341" s="20"/>
      <c r="K341" s="20"/>
      <c r="L341" s="20"/>
      <c r="M341" s="20"/>
      <c r="N341" s="20"/>
      <c r="O341" s="20"/>
      <c r="P341" s="20"/>
      <c r="Q341" s="20"/>
      <c r="R341" s="20"/>
      <c r="S341" s="20"/>
      <c r="T341" s="20"/>
      <c r="U341" s="20"/>
      <c r="V341" s="20"/>
      <c r="W341" s="20"/>
      <c r="X341" s="20"/>
      <c r="Y341" s="20"/>
      <c r="Z341" s="20"/>
      <c r="AA341" s="20"/>
      <c r="AB341" s="20"/>
      <c r="AC341" s="21"/>
      <c r="AD341" s="22"/>
    </row>
    <row r="342" spans="1:30" s="23" customFormat="1" x14ac:dyDescent="0.3">
      <c r="A342" s="18"/>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1"/>
      <c r="AD342" s="22"/>
    </row>
    <row r="343" spans="1:30" s="23" customFormat="1" x14ac:dyDescent="0.3">
      <c r="A343" s="18"/>
      <c r="B343" s="19" t="s">
        <v>152</v>
      </c>
      <c r="C343" s="19"/>
      <c r="D343" s="217" t="s">
        <v>122</v>
      </c>
      <c r="E343" s="19"/>
      <c r="F343" s="19" t="s">
        <v>169</v>
      </c>
      <c r="G343" s="19"/>
      <c r="H343" s="19"/>
      <c r="I343" s="20"/>
      <c r="J343" s="20"/>
      <c r="K343" s="20"/>
      <c r="L343" s="20"/>
      <c r="M343" s="20"/>
      <c r="N343" s="20"/>
      <c r="O343" s="20"/>
      <c r="P343" s="20"/>
      <c r="Q343" s="20"/>
      <c r="R343" s="20"/>
      <c r="S343" s="20"/>
      <c r="T343" s="20"/>
      <c r="U343" s="20"/>
      <c r="V343" s="20"/>
      <c r="W343" s="20"/>
      <c r="X343" s="20"/>
      <c r="Y343" s="20"/>
      <c r="Z343" s="20"/>
      <c r="AA343" s="20"/>
      <c r="AB343" s="20"/>
      <c r="AC343" s="21"/>
      <c r="AD343" s="22"/>
    </row>
    <row r="344" spans="1:30" s="23" customFormat="1" x14ac:dyDescent="0.3">
      <c r="A344" s="18"/>
      <c r="B344" s="19" t="s">
        <v>153</v>
      </c>
      <c r="C344" s="19"/>
      <c r="D344" s="217" t="s">
        <v>98</v>
      </c>
      <c r="E344" s="19"/>
      <c r="F344" s="19" t="s">
        <v>170</v>
      </c>
      <c r="G344" s="19"/>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s="23" customFormat="1" x14ac:dyDescent="0.3">
      <c r="A345" s="18"/>
      <c r="B345" s="19"/>
      <c r="C345" s="19"/>
      <c r="D345" s="217"/>
      <c r="E345" s="19"/>
      <c r="F345" s="19"/>
      <c r="G345" s="19"/>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ht="18" x14ac:dyDescent="0.35">
      <c r="A346" s="218"/>
      <c r="B346" s="259" t="s">
        <v>109</v>
      </c>
      <c r="C346" s="219"/>
      <c r="D346" s="220"/>
      <c r="E346" s="220"/>
      <c r="F346" s="220"/>
      <c r="G346" s="220"/>
      <c r="H346" s="220"/>
      <c r="I346" s="220"/>
      <c r="J346" s="220"/>
      <c r="K346" s="220"/>
      <c r="L346" s="220"/>
      <c r="M346" s="220"/>
      <c r="N346" s="220"/>
      <c r="O346" s="220"/>
      <c r="P346" s="260" t="s">
        <v>168</v>
      </c>
      <c r="Q346" s="220"/>
      <c r="R346" s="220"/>
      <c r="S346" s="220"/>
      <c r="T346" s="220"/>
      <c r="U346" s="220"/>
      <c r="V346" s="220"/>
      <c r="W346" s="220"/>
      <c r="X346" s="220"/>
      <c r="Y346" s="220"/>
      <c r="Z346" s="220"/>
      <c r="AA346" s="220"/>
      <c r="AB346" s="220"/>
      <c r="AC346" s="221"/>
      <c r="AD346" s="5"/>
    </row>
    <row r="347" spans="1:30" ht="18" x14ac:dyDescent="0.35">
      <c r="A347" s="218"/>
      <c r="B347" s="259"/>
      <c r="C347" s="219"/>
      <c r="D347" s="220"/>
      <c r="E347" s="220"/>
      <c r="F347" s="220"/>
      <c r="G347" s="220"/>
      <c r="H347" s="220"/>
      <c r="I347" s="220"/>
      <c r="J347" s="220"/>
      <c r="K347" s="220"/>
      <c r="L347" s="220"/>
      <c r="M347" s="220"/>
      <c r="N347" s="220"/>
      <c r="O347" s="220"/>
      <c r="P347" s="260"/>
      <c r="Q347" s="220"/>
      <c r="R347" s="220"/>
      <c r="S347" s="220"/>
      <c r="T347" s="220"/>
      <c r="U347" s="220"/>
      <c r="V347" s="220"/>
      <c r="W347" s="220"/>
      <c r="X347" s="220"/>
      <c r="Y347" s="220"/>
      <c r="Z347" s="220"/>
      <c r="AA347" s="220"/>
      <c r="AB347" s="220"/>
      <c r="AC347" s="221"/>
      <c r="AD347" s="5"/>
    </row>
    <row r="348" spans="1:30" ht="18.600000000000001" thickBot="1" x14ac:dyDescent="0.4">
      <c r="A348" s="218"/>
      <c r="B348" s="222" t="str">
        <f>B234</f>
        <v>PM27 INVESTOR REPORT QUARTER ENDING DECEMBER 2023</v>
      </c>
      <c r="C348" s="219"/>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c r="AA348" s="220"/>
      <c r="AB348" s="220"/>
      <c r="AC348" s="223"/>
      <c r="AD348" s="5"/>
    </row>
    <row r="349" spans="1:30" x14ac:dyDescent="0.3">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c r="Y349" s="224"/>
      <c r="Z349" s="224"/>
      <c r="AA349" s="224"/>
      <c r="AB349" s="224"/>
      <c r="AC349" s="224"/>
    </row>
    <row r="350" spans="1:30" x14ac:dyDescent="0.3">
      <c r="B350" s="278" t="s">
        <v>351</v>
      </c>
    </row>
    <row r="351" spans="1:30" x14ac:dyDescent="0.3">
      <c r="B351" s="270" t="s">
        <v>352</v>
      </c>
    </row>
    <row r="352" spans="1:30" x14ac:dyDescent="0.3">
      <c r="B352" s="298" t="s">
        <v>353</v>
      </c>
    </row>
    <row r="354" spans="2:2" x14ac:dyDescent="0.3">
      <c r="B354" s="270" t="s">
        <v>365</v>
      </c>
    </row>
    <row r="355" spans="2:2" x14ac:dyDescent="0.3">
      <c r="B355" s="270" t="s">
        <v>364</v>
      </c>
    </row>
  </sheetData>
  <hyperlinks>
    <hyperlink ref="K9" r:id="rId1" display="http://www.paragon-group.co.uk" xr:uid="{5F00F9CF-505F-4F1C-B4D4-FA27C7F0CE48}"/>
    <hyperlink ref="P346" r:id="rId2" xr:uid="{9AEBBFD6-897C-4B86-91E9-FF3052103054}"/>
    <hyperlink ref="P274" r:id="rId3" xr:uid="{BE7BA1C2-0F30-46C9-ABE9-B5CAAB3491AD}"/>
    <hyperlink ref="B352" r:id="rId4" display="https://investorreporting.paragonbankinggroup.co.uk/bondinvestor_viewer/resources/bondinvestor/pdf/investornews/2021/libor-mortgages-transition-july-19" xr:uid="{31417AD4-479F-4B4E-9D07-131577D92E29}"/>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1" max="18" man="1"/>
    <brk id="234" max="18" man="1"/>
  </rowBreaks>
  <colBreaks count="1" manualBreakCount="1">
    <brk id="29" max="299" man="1"/>
  </colBreaks>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B085B-E2CA-4E39-8200-CDD6D6C92842}">
  <sheetPr>
    <tabColor rgb="FF2D2926"/>
  </sheetPr>
  <dimension ref="A1:JB357"/>
  <sheetViews>
    <sheetView showGridLines="0" tabSelected="1" showOutlineSymbols="0" zoomScale="70" zoomScaleNormal="70" workbookViewId="0"/>
  </sheetViews>
  <sheetFormatPr defaultColWidth="9.81640625" defaultRowHeight="15.6" x14ac:dyDescent="0.3"/>
  <cols>
    <col min="1" max="1" width="4" style="6" customWidth="1"/>
    <col min="2" max="2" width="71.08984375" style="6" customWidth="1"/>
    <col min="3" max="3" width="2.08984375" style="6" customWidth="1"/>
    <col min="4" max="4" width="16.08984375" style="6" customWidth="1"/>
    <col min="5" max="5" width="2.81640625" style="6" customWidth="1"/>
    <col min="6" max="6" width="16.08984375" style="6" customWidth="1"/>
    <col min="7" max="7" width="2.08984375" style="6" customWidth="1"/>
    <col min="8" max="8" width="17.81640625" style="6" customWidth="1"/>
    <col min="9" max="9" width="2.08984375" style="6" customWidth="1"/>
    <col min="10" max="10" width="14.8164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302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168</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301</v>
      </c>
      <c r="AC14" s="21"/>
      <c r="AD14" s="22"/>
    </row>
    <row r="15" spans="1:30" s="23" customFormat="1" x14ac:dyDescent="0.3">
      <c r="A15" s="18"/>
      <c r="B15" s="19" t="s">
        <v>278</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323</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3.6400000000000002E-2</v>
      </c>
      <c r="Z16" s="29" t="s">
        <v>264</v>
      </c>
      <c r="AA16" s="29">
        <v>0.96360000000000001</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2.9550237684493108E-2</v>
      </c>
      <c r="Z17" s="29" t="s">
        <v>264</v>
      </c>
      <c r="AA17" s="29">
        <v>0.97044976231550684</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6">
        <v>43951</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45401</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304</v>
      </c>
      <c r="G23" s="35"/>
      <c r="H23" s="35" t="s">
        <v>140</v>
      </c>
      <c r="I23" s="35"/>
      <c r="J23" s="35" t="s">
        <v>141</v>
      </c>
      <c r="K23" s="35"/>
      <c r="L23" s="35" t="s">
        <v>171</v>
      </c>
      <c r="M23" s="35"/>
      <c r="N23" s="35" t="s">
        <v>161</v>
      </c>
      <c r="O23" s="35"/>
      <c r="P23" s="35" t="s">
        <v>181</v>
      </c>
      <c r="Q23" s="35"/>
      <c r="R23" s="35" t="s">
        <v>182</v>
      </c>
      <c r="S23" s="35"/>
      <c r="T23" s="35" t="s">
        <v>183</v>
      </c>
      <c r="U23" s="35"/>
      <c r="V23" s="35" t="s">
        <v>184</v>
      </c>
      <c r="W23" s="35"/>
      <c r="X23" s="35" t="s">
        <v>185</v>
      </c>
      <c r="Y23" s="35" t="s">
        <v>186</v>
      </c>
      <c r="Z23" s="35"/>
      <c r="AA23" s="34"/>
      <c r="AB23" s="34"/>
      <c r="AC23" s="36"/>
      <c r="AD23" s="5"/>
    </row>
    <row r="24" spans="1:33" s="23" customFormat="1" x14ac:dyDescent="0.3">
      <c r="A24" s="18"/>
      <c r="B24" s="37" t="s">
        <v>158</v>
      </c>
      <c r="C24" s="38"/>
      <c r="D24" s="228"/>
      <c r="E24" s="228"/>
      <c r="F24" s="228" t="s">
        <v>220</v>
      </c>
      <c r="G24" s="228"/>
      <c r="H24" s="228" t="s">
        <v>221</v>
      </c>
      <c r="I24" s="228"/>
      <c r="J24" s="228" t="s">
        <v>269</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c r="E25" s="227"/>
      <c r="F25" s="227" t="s">
        <v>222</v>
      </c>
      <c r="G25" s="227"/>
      <c r="H25" s="227" t="s">
        <v>223</v>
      </c>
      <c r="I25" s="227"/>
      <c r="J25" s="227" t="s">
        <v>270</v>
      </c>
      <c r="K25" s="227"/>
      <c r="L25" s="227" t="s">
        <v>324</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159</v>
      </c>
      <c r="C26" s="41"/>
      <c r="D26" s="229"/>
      <c r="E26" s="229"/>
      <c r="F26" s="229" t="s">
        <v>220</v>
      </c>
      <c r="G26" s="229"/>
      <c r="H26" s="229" t="s">
        <v>220</v>
      </c>
      <c r="I26" s="229"/>
      <c r="J26" s="229" t="s">
        <v>355</v>
      </c>
      <c r="K26" s="229"/>
      <c r="L26" s="229" t="s">
        <v>356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c r="E27" s="229"/>
      <c r="F27" s="229" t="s">
        <v>222</v>
      </c>
      <c r="G27" s="229"/>
      <c r="H27" s="229" t="s">
        <v>223</v>
      </c>
      <c r="I27" s="229"/>
      <c r="J27" s="229" t="s">
        <v>270</v>
      </c>
      <c r="K27" s="229"/>
      <c r="L27" s="229" t="s">
        <v>324</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c r="E28" s="227"/>
      <c r="F28" s="227" t="s">
        <v>313</v>
      </c>
      <c r="G28" s="227"/>
      <c r="H28" s="227" t="s">
        <v>314</v>
      </c>
      <c r="I28" s="227"/>
      <c r="J28" s="227" t="s">
        <v>315</v>
      </c>
      <c r="K28" s="227"/>
      <c r="L28" s="227" t="s">
        <v>316</v>
      </c>
      <c r="M28" s="227"/>
      <c r="N28" s="227" t="s">
        <v>317</v>
      </c>
      <c r="O28" s="227"/>
      <c r="P28" s="227" t="s">
        <v>318</v>
      </c>
      <c r="Q28" s="227"/>
      <c r="R28" s="227" t="s">
        <v>83</v>
      </c>
      <c r="S28" s="227"/>
      <c r="T28" s="227" t="s">
        <v>319</v>
      </c>
      <c r="U28" s="227"/>
      <c r="V28" s="227" t="s">
        <v>320</v>
      </c>
      <c r="W28" s="227"/>
      <c r="X28" s="227" t="s">
        <v>321</v>
      </c>
      <c r="Y28" s="227" t="s">
        <v>322</v>
      </c>
      <c r="Z28" s="227"/>
      <c r="AA28" s="49"/>
      <c r="AB28" s="50"/>
      <c r="AC28" s="51"/>
      <c r="AD28" s="22"/>
      <c r="AE28" s="45"/>
      <c r="AG28" s="46"/>
    </row>
    <row r="29" spans="1:33" s="23" customFormat="1" x14ac:dyDescent="0.3">
      <c r="A29" s="39"/>
      <c r="B29" s="40" t="s">
        <v>91</v>
      </c>
      <c r="C29" s="52"/>
      <c r="D29" s="54"/>
      <c r="E29" s="53"/>
      <c r="F29" s="54">
        <v>648307</v>
      </c>
      <c r="G29" s="55"/>
      <c r="H29" s="54">
        <v>41826</v>
      </c>
      <c r="I29" s="55"/>
      <c r="J29" s="54">
        <v>22814</v>
      </c>
      <c r="K29" s="55"/>
      <c r="L29" s="54">
        <v>22814</v>
      </c>
      <c r="M29" s="50"/>
      <c r="N29" s="54">
        <v>24717</v>
      </c>
      <c r="O29" s="54"/>
      <c r="P29" s="231">
        <v>11637</v>
      </c>
      <c r="Q29" s="231"/>
      <c r="R29" s="231">
        <v>4175</v>
      </c>
      <c r="S29" s="54"/>
      <c r="T29" s="54" t="s">
        <v>83</v>
      </c>
      <c r="U29" s="54"/>
      <c r="V29" s="54" t="s">
        <v>83</v>
      </c>
      <c r="W29" s="54"/>
      <c r="X29" s="54" t="s">
        <v>83</v>
      </c>
      <c r="Y29" s="54" t="s">
        <v>83</v>
      </c>
      <c r="Z29" s="54"/>
      <c r="AA29" s="52"/>
      <c r="AB29" s="50">
        <f>SUM(F29:N29)</f>
        <v>760478</v>
      </c>
      <c r="AC29" s="51"/>
      <c r="AD29" s="22"/>
    </row>
    <row r="30" spans="1:33" s="23" customFormat="1" x14ac:dyDescent="0.3">
      <c r="A30" s="47"/>
      <c r="B30" s="40" t="s">
        <v>90</v>
      </c>
      <c r="C30" s="49"/>
      <c r="D30" s="54"/>
      <c r="E30" s="54"/>
      <c r="F30" s="54">
        <f>F29*F33</f>
        <v>519864.41716000001</v>
      </c>
      <c r="G30" s="54"/>
      <c r="H30" s="54">
        <f>H29</f>
        <v>41826</v>
      </c>
      <c r="I30" s="54"/>
      <c r="J30" s="54">
        <f>J29</f>
        <v>22814</v>
      </c>
      <c r="K30" s="54"/>
      <c r="L30" s="54">
        <f>L29</f>
        <v>22814</v>
      </c>
      <c r="M30" s="54"/>
      <c r="N30" s="54">
        <f>N29</f>
        <v>24717</v>
      </c>
      <c r="O30" s="54"/>
      <c r="P30" s="54">
        <f>P29*P33</f>
        <v>9233.4940200000001</v>
      </c>
      <c r="Q30" s="54"/>
      <c r="R30" s="54">
        <f>'December 2020'!R31</f>
        <v>0</v>
      </c>
      <c r="S30" s="54"/>
      <c r="T30" s="54" t="s">
        <v>83</v>
      </c>
      <c r="U30" s="54"/>
      <c r="V30" s="54" t="s">
        <v>83</v>
      </c>
      <c r="W30" s="54"/>
      <c r="X30" s="54" t="s">
        <v>83</v>
      </c>
      <c r="Y30" s="54" t="s">
        <v>83</v>
      </c>
      <c r="Z30" s="54"/>
      <c r="AA30" s="49"/>
      <c r="AB30" s="50">
        <f>SUM(F30:N30)</f>
        <v>632035.41715999995</v>
      </c>
      <c r="AC30" s="51"/>
      <c r="AD30" s="22"/>
    </row>
    <row r="31" spans="1:33" s="23" customFormat="1" x14ac:dyDescent="0.3">
      <c r="A31" s="47"/>
      <c r="B31" s="44" t="s">
        <v>92</v>
      </c>
      <c r="C31" s="49"/>
      <c r="D31" s="57"/>
      <c r="E31" s="57"/>
      <c r="F31" s="57">
        <f>F29*F32</f>
        <v>512590.41262000002</v>
      </c>
      <c r="G31" s="57"/>
      <c r="H31" s="57">
        <f>H29</f>
        <v>41826</v>
      </c>
      <c r="I31" s="57"/>
      <c r="J31" s="57">
        <f>J29</f>
        <v>22814</v>
      </c>
      <c r="K31" s="57"/>
      <c r="L31" s="57">
        <f>L29</f>
        <v>22814</v>
      </c>
      <c r="M31" s="57"/>
      <c r="N31" s="57">
        <f>N29</f>
        <v>24717</v>
      </c>
      <c r="O31" s="57"/>
      <c r="P31" s="57">
        <f>P29*P32</f>
        <v>9109.327229999999</v>
      </c>
      <c r="Q31" s="57"/>
      <c r="R31" s="57">
        <v>0</v>
      </c>
      <c r="S31" s="57"/>
      <c r="T31" s="57" t="s">
        <v>83</v>
      </c>
      <c r="U31" s="57"/>
      <c r="V31" s="57" t="s">
        <v>83</v>
      </c>
      <c r="W31" s="57"/>
      <c r="X31" s="57" t="s">
        <v>83</v>
      </c>
      <c r="Y31" s="57" t="s">
        <v>83</v>
      </c>
      <c r="Z31" s="57"/>
      <c r="AA31" s="49"/>
      <c r="AB31" s="56">
        <f>SUM(F31:N31)</f>
        <v>624761.41262000008</v>
      </c>
      <c r="AC31" s="51"/>
      <c r="AD31" s="22"/>
      <c r="AE31" s="235"/>
    </row>
    <row r="32" spans="1:33" s="65" customFormat="1" x14ac:dyDescent="0.3">
      <c r="A32" s="58"/>
      <c r="B32" s="166" t="s">
        <v>88</v>
      </c>
      <c r="C32" s="61"/>
      <c r="D32" s="60"/>
      <c r="E32" s="60"/>
      <c r="F32" s="60">
        <v>0.79066000000000003</v>
      </c>
      <c r="G32" s="60"/>
      <c r="H32" s="60">
        <v>1</v>
      </c>
      <c r="I32" s="60"/>
      <c r="J32" s="60">
        <v>1</v>
      </c>
      <c r="K32" s="60"/>
      <c r="L32" s="60">
        <v>1</v>
      </c>
      <c r="M32" s="60"/>
      <c r="N32" s="60">
        <v>1</v>
      </c>
      <c r="O32" s="60"/>
      <c r="P32" s="60">
        <v>0.78278999999999999</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c r="E33" s="225"/>
      <c r="F33" s="60">
        <v>0.80188000000000004</v>
      </c>
      <c r="G33" s="60"/>
      <c r="H33" s="60">
        <v>1</v>
      </c>
      <c r="I33" s="60"/>
      <c r="J33" s="60">
        <v>1</v>
      </c>
      <c r="K33" s="60"/>
      <c r="L33" s="60">
        <v>1</v>
      </c>
      <c r="M33" s="60"/>
      <c r="N33" s="60">
        <v>1</v>
      </c>
      <c r="O33" s="60"/>
      <c r="P33" s="60">
        <v>0.79346000000000005</v>
      </c>
      <c r="Q33" s="225"/>
      <c r="R33" s="60">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c r="E34" s="48"/>
      <c r="F34" s="48" t="s">
        <v>305</v>
      </c>
      <c r="G34" s="48"/>
      <c r="H34" s="48" t="s">
        <v>306</v>
      </c>
      <c r="I34" s="48"/>
      <c r="J34" s="48" t="s">
        <v>273</v>
      </c>
      <c r="K34" s="48"/>
      <c r="L34" s="48" t="s">
        <v>307</v>
      </c>
      <c r="M34" s="48"/>
      <c r="N34" s="48" t="s">
        <v>308</v>
      </c>
      <c r="O34" s="48"/>
      <c r="P34" s="48" t="s">
        <v>254</v>
      </c>
      <c r="Q34" s="48"/>
      <c r="R34" s="48" t="s">
        <v>254</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c r="E35" s="241"/>
      <c r="F35" s="241">
        <v>6.3218700000000003E-2</v>
      </c>
      <c r="G35" s="241"/>
      <c r="H35" s="241">
        <v>6.7218700000000006E-2</v>
      </c>
      <c r="I35" s="241"/>
      <c r="J35" s="241">
        <v>7.0218699999999995E-2</v>
      </c>
      <c r="K35" s="241"/>
      <c r="L35" s="241">
        <v>7.3218699999999998E-2</v>
      </c>
      <c r="M35" s="241"/>
      <c r="N35" s="241">
        <v>8.3218700000000007E-2</v>
      </c>
      <c r="O35" s="241"/>
      <c r="P35" s="241">
        <v>9.2218700000000001E-2</v>
      </c>
      <c r="Q35" s="241"/>
      <c r="R35" s="241">
        <v>9.2218700000000001E-2</v>
      </c>
      <c r="S35" s="68"/>
      <c r="T35" s="68" t="s">
        <v>83</v>
      </c>
      <c r="U35" s="68"/>
      <c r="V35" s="68" t="s">
        <v>83</v>
      </c>
      <c r="W35" s="68"/>
      <c r="X35" s="68" t="s">
        <v>83</v>
      </c>
      <c r="Y35" s="68" t="s">
        <v>83</v>
      </c>
      <c r="Z35" s="68"/>
      <c r="AA35" s="40"/>
      <c r="AB35" s="67">
        <f>SUMPRODUCT(D35:N35,D30:N30)/AB30</f>
        <v>6.4879179731841263E-2</v>
      </c>
      <c r="AC35" s="43"/>
      <c r="AD35" s="22"/>
    </row>
    <row r="36" spans="1:30" s="23" customFormat="1" x14ac:dyDescent="0.3">
      <c r="A36" s="47"/>
      <c r="B36" s="40" t="s">
        <v>10</v>
      </c>
      <c r="C36" s="69"/>
      <c r="D36" s="241"/>
      <c r="E36" s="241"/>
      <c r="F36" s="241">
        <v>6.3200699999999999E-2</v>
      </c>
      <c r="G36" s="241"/>
      <c r="H36" s="241">
        <v>6.7200700000000002E-2</v>
      </c>
      <c r="I36" s="241"/>
      <c r="J36" s="241">
        <v>7.0200700000000005E-2</v>
      </c>
      <c r="K36" s="241"/>
      <c r="L36" s="241">
        <v>7.3200699999999994E-2</v>
      </c>
      <c r="M36" s="241"/>
      <c r="N36" s="241">
        <v>8.3200700000000002E-2</v>
      </c>
      <c r="O36" s="241"/>
      <c r="P36" s="241">
        <v>9.2200699999999997E-2</v>
      </c>
      <c r="Q36" s="241"/>
      <c r="R36" s="241">
        <v>9.2200699999999997E-2</v>
      </c>
      <c r="S36" s="68"/>
      <c r="T36" s="68" t="s">
        <v>83</v>
      </c>
      <c r="U36" s="68"/>
      <c r="V36" s="68" t="s">
        <v>83</v>
      </c>
      <c r="W36" s="68"/>
      <c r="X36" s="68" t="s">
        <v>83</v>
      </c>
      <c r="Y36" s="68" t="s">
        <v>83</v>
      </c>
      <c r="Z36" s="68"/>
      <c r="AA36" s="40"/>
      <c r="AB36" s="40"/>
      <c r="AC36" s="43"/>
      <c r="AD36" s="22"/>
    </row>
    <row r="37" spans="1:30" s="23" customFormat="1" x14ac:dyDescent="0.3">
      <c r="A37" s="47"/>
      <c r="B37" s="40" t="s">
        <v>160</v>
      </c>
      <c r="C37" s="40"/>
      <c r="D37" s="69"/>
      <c r="E37" s="69"/>
      <c r="F37" s="69">
        <v>45945</v>
      </c>
      <c r="G37" s="69"/>
      <c r="H37" s="69">
        <v>45945</v>
      </c>
      <c r="I37" s="69"/>
      <c r="J37" s="69">
        <v>45945</v>
      </c>
      <c r="K37" s="69"/>
      <c r="L37" s="69">
        <v>45945</v>
      </c>
      <c r="M37" s="69"/>
      <c r="N37" s="69">
        <v>45945</v>
      </c>
      <c r="O37" s="69"/>
      <c r="P37" s="69">
        <v>45945</v>
      </c>
      <c r="Q37" s="69"/>
      <c r="R37" s="69">
        <v>45945</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c r="E38" s="69"/>
      <c r="F38" s="69">
        <v>45945</v>
      </c>
      <c r="G38" s="48"/>
      <c r="H38" s="69">
        <v>45945</v>
      </c>
      <c r="I38" s="48"/>
      <c r="J38" s="69">
        <v>45945</v>
      </c>
      <c r="K38" s="48"/>
      <c r="L38" s="69">
        <v>45945</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c r="E39" s="48"/>
      <c r="F39" s="48" t="s">
        <v>309</v>
      </c>
      <c r="G39" s="48"/>
      <c r="H39" s="48" t="s">
        <v>272</v>
      </c>
      <c r="I39" s="48"/>
      <c r="J39" s="48" t="s">
        <v>310</v>
      </c>
      <c r="K39" s="48"/>
      <c r="L39" s="48" t="s">
        <v>308</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7" t="s">
        <v>110</v>
      </c>
      <c r="AC40" s="43"/>
      <c r="AD40" s="22"/>
    </row>
    <row r="41" spans="1:30" s="23" customFormat="1" x14ac:dyDescent="0.3">
      <c r="A41" s="47"/>
      <c r="B41" s="40" t="s">
        <v>253</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32">
        <f>SUM(G29:N29)/F29</f>
        <v>0.17302142349226524</v>
      </c>
      <c r="AC41" s="43"/>
      <c r="AD41" s="22"/>
    </row>
    <row r="42" spans="1:30" s="23" customFormat="1" x14ac:dyDescent="0.3">
      <c r="A42" s="47"/>
      <c r="B42" s="40" t="s">
        <v>252</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32">
        <f>SUM(G31:N31)/F31</f>
        <v>0.21883163874771105</v>
      </c>
      <c r="AC42" s="43"/>
      <c r="AD42" s="22"/>
    </row>
    <row r="43" spans="1:30" s="23" customFormat="1" x14ac:dyDescent="0.3">
      <c r="A43" s="47"/>
      <c r="B43" s="40" t="s">
        <v>197</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1"/>
      <c r="AC44" s="43"/>
      <c r="AD44" s="22"/>
    </row>
    <row r="45" spans="1:30" s="23" customFormat="1" x14ac:dyDescent="0.3">
      <c r="A45" s="47"/>
      <c r="B45" s="40" t="s">
        <v>196</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2"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3"/>
      <c r="AA46" s="73"/>
      <c r="AB46" s="74">
        <v>45397</v>
      </c>
      <c r="AC46" s="43"/>
      <c r="AD46" s="22"/>
    </row>
    <row r="47" spans="1:30" s="23" customFormat="1" x14ac:dyDescent="0.3">
      <c r="A47" s="47"/>
      <c r="B47" s="40" t="s">
        <v>85</v>
      </c>
      <c r="C47" s="40"/>
      <c r="D47" s="75"/>
      <c r="E47" s="75"/>
      <c r="F47" s="75"/>
      <c r="G47" s="75"/>
      <c r="H47" s="75"/>
      <c r="I47" s="75"/>
      <c r="J47" s="75"/>
      <c r="K47" s="75"/>
      <c r="L47" s="75"/>
      <c r="M47" s="75"/>
      <c r="N47" s="75"/>
      <c r="O47" s="75"/>
      <c r="P47" s="75"/>
      <c r="Q47" s="75"/>
      <c r="R47" s="75"/>
      <c r="S47" s="75"/>
      <c r="T47" s="75"/>
      <c r="U47" s="75"/>
      <c r="V47" s="75"/>
      <c r="W47" s="75"/>
      <c r="X47" s="280">
        <f>+AB47-Z47+1</f>
        <v>91</v>
      </c>
      <c r="Y47" s="40"/>
      <c r="Z47" s="76">
        <v>45215</v>
      </c>
      <c r="AA47" s="77"/>
      <c r="AB47" s="76">
        <v>45305</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80">
        <f>+AB48-Z48+1</f>
        <v>91</v>
      </c>
      <c r="Y48" s="40"/>
      <c r="Z48" s="76">
        <v>45306</v>
      </c>
      <c r="AA48" s="77"/>
      <c r="AB48" s="76">
        <v>45396</v>
      </c>
      <c r="AC48" s="43"/>
      <c r="AD48" s="22"/>
    </row>
    <row r="49" spans="1:31" s="23" customFormat="1" x14ac:dyDescent="0.3">
      <c r="A49" s="47"/>
      <c r="B49" s="40" t="s">
        <v>187</v>
      </c>
      <c r="C49" s="40"/>
      <c r="D49" s="40"/>
      <c r="E49" s="40"/>
      <c r="F49" s="40"/>
      <c r="G49" s="40"/>
      <c r="H49" s="40"/>
      <c r="I49" s="40"/>
      <c r="J49" s="40"/>
      <c r="K49" s="40"/>
      <c r="L49" s="40"/>
      <c r="M49" s="40"/>
      <c r="N49" s="40"/>
      <c r="O49" s="40"/>
      <c r="P49" s="40"/>
      <c r="Q49" s="40"/>
      <c r="R49" s="40"/>
      <c r="S49" s="40"/>
      <c r="T49" s="40"/>
      <c r="U49" s="40"/>
      <c r="V49" s="40"/>
      <c r="W49" s="40"/>
      <c r="X49" s="40"/>
      <c r="Y49" s="40"/>
      <c r="Z49" s="76"/>
      <c r="AA49" s="77"/>
      <c r="AB49" s="76" t="s">
        <v>99</v>
      </c>
      <c r="AC49" s="43"/>
      <c r="AD49" s="22"/>
      <c r="AE49" s="78"/>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v>45394</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9"/>
      <c r="AA51" s="80"/>
      <c r="AB51" s="79"/>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1"/>
      <c r="AA52" s="82"/>
      <c r="AB52" s="81"/>
      <c r="AC52" s="21"/>
      <c r="AD52" s="22"/>
    </row>
    <row r="53" spans="1:31" s="23" customFormat="1" ht="18.600000000000001" thickBot="1" x14ac:dyDescent="0.4">
      <c r="A53" s="83"/>
      <c r="B53" s="84" t="s">
        <v>370</v>
      </c>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6"/>
      <c r="AC53" s="87"/>
      <c r="AD53" s="22"/>
    </row>
    <row r="54" spans="1:31" x14ac:dyDescent="0.3">
      <c r="A54" s="33"/>
      <c r="B54" s="88" t="s">
        <v>13</v>
      </c>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90"/>
      <c r="AC54" s="89"/>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1"/>
      <c r="AC55" s="10"/>
      <c r="AD55" s="5"/>
    </row>
    <row r="56" spans="1:31" s="65" customFormat="1" ht="46.8" x14ac:dyDescent="0.3">
      <c r="A56" s="92"/>
      <c r="B56" s="93" t="s">
        <v>14</v>
      </c>
      <c r="C56" s="94"/>
      <c r="D56" s="94"/>
      <c r="E56" s="94"/>
      <c r="F56" s="94"/>
      <c r="G56" s="94"/>
      <c r="H56" s="94"/>
      <c r="I56" s="94"/>
      <c r="J56" s="94"/>
      <c r="K56" s="94"/>
      <c r="L56" s="94"/>
      <c r="M56" s="94"/>
      <c r="N56" s="94"/>
      <c r="O56" s="94"/>
      <c r="P56" s="94" t="s">
        <v>63</v>
      </c>
      <c r="Q56" s="94"/>
      <c r="R56" s="94" t="s">
        <v>65</v>
      </c>
      <c r="S56" s="94"/>
      <c r="T56" s="94" t="s">
        <v>135</v>
      </c>
      <c r="U56" s="94"/>
      <c r="V56" s="94" t="s">
        <v>136</v>
      </c>
      <c r="W56" s="94"/>
      <c r="X56" s="94" t="s">
        <v>68</v>
      </c>
      <c r="Y56" s="94"/>
      <c r="Z56" s="94" t="s">
        <v>72</v>
      </c>
      <c r="AA56" s="94"/>
      <c r="AB56" s="95" t="s">
        <v>78</v>
      </c>
      <c r="AC56" s="96"/>
      <c r="AD56" s="64"/>
    </row>
    <row r="57" spans="1:31" s="23" customFormat="1" x14ac:dyDescent="0.3">
      <c r="A57" s="47"/>
      <c r="B57" s="40" t="s">
        <v>15</v>
      </c>
      <c r="C57" s="97"/>
      <c r="D57" s="97"/>
      <c r="E57" s="97"/>
      <c r="F57" s="97"/>
      <c r="G57" s="97"/>
      <c r="H57" s="98"/>
      <c r="I57" s="97"/>
      <c r="J57" s="98"/>
      <c r="K57" s="97"/>
      <c r="L57" s="97"/>
      <c r="M57" s="97"/>
      <c r="N57" s="97"/>
      <c r="O57" s="97"/>
      <c r="P57" s="238">
        <v>759666</v>
      </c>
      <c r="Q57" s="238"/>
      <c r="R57" s="237">
        <v>632032</v>
      </c>
      <c r="S57" s="238"/>
      <c r="T57" s="237">
        <f>343+19</f>
        <v>362</v>
      </c>
      <c r="U57" s="238"/>
      <c r="V57" s="238">
        <v>6915</v>
      </c>
      <c r="W57" s="238"/>
      <c r="X57" s="238">
        <v>0</v>
      </c>
      <c r="Y57" s="238"/>
      <c r="Z57" s="238">
        <v>0</v>
      </c>
      <c r="AA57" s="238"/>
      <c r="AB57" s="237">
        <f>R57-T57-V57+X57-Z57</f>
        <v>624755</v>
      </c>
      <c r="AC57" s="43"/>
      <c r="AD57" s="22"/>
      <c r="AE57" s="271"/>
    </row>
    <row r="58" spans="1:31" s="23" customFormat="1" x14ac:dyDescent="0.3">
      <c r="A58" s="47"/>
      <c r="B58" s="40" t="s">
        <v>16</v>
      </c>
      <c r="C58" s="97"/>
      <c r="D58" s="97"/>
      <c r="E58" s="97"/>
      <c r="F58" s="97"/>
      <c r="G58" s="97"/>
      <c r="H58" s="98"/>
      <c r="I58" s="97"/>
      <c r="J58" s="98"/>
      <c r="K58" s="97"/>
      <c r="L58" s="97"/>
      <c r="M58" s="97"/>
      <c r="N58" s="97"/>
      <c r="O58" s="97"/>
      <c r="P58" s="238">
        <v>0</v>
      </c>
      <c r="Q58" s="238"/>
      <c r="R58" s="237">
        <v>0</v>
      </c>
      <c r="S58" s="238"/>
      <c r="T58" s="237">
        <v>0</v>
      </c>
      <c r="U58" s="238"/>
      <c r="V58" s="238">
        <v>0</v>
      </c>
      <c r="W58" s="238"/>
      <c r="X58" s="238">
        <v>0</v>
      </c>
      <c r="Y58" s="238"/>
      <c r="Z58" s="238">
        <v>0</v>
      </c>
      <c r="AA58" s="238"/>
      <c r="AB58" s="237">
        <f>F58-J58-L58</f>
        <v>0</v>
      </c>
      <c r="AC58" s="43"/>
      <c r="AD58" s="22"/>
    </row>
    <row r="59" spans="1:31" s="23" customFormat="1" x14ac:dyDescent="0.3">
      <c r="A59" s="47"/>
      <c r="B59" s="40"/>
      <c r="C59" s="97"/>
      <c r="D59" s="97"/>
      <c r="E59" s="97"/>
      <c r="F59" s="97"/>
      <c r="G59" s="97"/>
      <c r="H59" s="98"/>
      <c r="I59" s="97"/>
      <c r="J59" s="98"/>
      <c r="K59" s="97"/>
      <c r="L59" s="97"/>
      <c r="M59" s="97"/>
      <c r="N59" s="97"/>
      <c r="O59" s="97"/>
      <c r="P59" s="238"/>
      <c r="Q59" s="238"/>
      <c r="R59" s="237"/>
      <c r="S59" s="238"/>
      <c r="T59" s="237"/>
      <c r="U59" s="238"/>
      <c r="V59" s="238"/>
      <c r="W59" s="238"/>
      <c r="X59" s="238"/>
      <c r="Y59" s="238"/>
      <c r="Z59" s="238"/>
      <c r="AA59" s="238"/>
      <c r="AB59" s="237"/>
      <c r="AC59" s="43"/>
      <c r="AD59" s="22"/>
    </row>
    <row r="60" spans="1:31" s="23" customFormat="1" x14ac:dyDescent="0.3">
      <c r="A60" s="47"/>
      <c r="B60" s="40" t="s">
        <v>17</v>
      </c>
      <c r="C60" s="97"/>
      <c r="D60" s="97"/>
      <c r="E60" s="97"/>
      <c r="F60" s="97"/>
      <c r="G60" s="97"/>
      <c r="H60" s="97"/>
      <c r="I60" s="97"/>
      <c r="J60" s="97"/>
      <c r="K60" s="97"/>
      <c r="L60" s="97"/>
      <c r="M60" s="97"/>
      <c r="N60" s="97"/>
      <c r="O60" s="97"/>
      <c r="P60" s="238">
        <f>SUM(P57:P59)</f>
        <v>759666</v>
      </c>
      <c r="Q60" s="238"/>
      <c r="R60" s="238">
        <f>R57+R58</f>
        <v>632032</v>
      </c>
      <c r="S60" s="238"/>
      <c r="T60" s="238">
        <f>T57+T58</f>
        <v>362</v>
      </c>
      <c r="U60" s="238"/>
      <c r="V60" s="238">
        <f>SUM(V57:V59)</f>
        <v>6915</v>
      </c>
      <c r="W60" s="238"/>
      <c r="X60" s="238">
        <f>SUM(X57:X59)</f>
        <v>0</v>
      </c>
      <c r="Y60" s="238"/>
      <c r="Z60" s="238">
        <f>SUM(Z57:Z59)</f>
        <v>0</v>
      </c>
      <c r="AA60" s="238"/>
      <c r="AB60" s="238">
        <f>SUM(AB57:AB59)</f>
        <v>624755</v>
      </c>
      <c r="AC60" s="43"/>
      <c r="AD60" s="22"/>
    </row>
    <row r="61" spans="1:31" s="23" customFormat="1" ht="32.1" customHeight="1" x14ac:dyDescent="0.3">
      <c r="A61" s="47"/>
      <c r="B61" s="40"/>
      <c r="C61" s="97"/>
      <c r="D61" s="97"/>
      <c r="E61" s="97"/>
      <c r="F61" s="97"/>
      <c r="G61" s="97"/>
      <c r="H61" s="97"/>
      <c r="I61" s="97"/>
      <c r="J61" s="97"/>
      <c r="K61" s="97"/>
      <c r="L61" s="97"/>
      <c r="M61" s="97"/>
      <c r="N61" s="97"/>
      <c r="O61" s="97"/>
      <c r="P61" s="238"/>
      <c r="Q61" s="238"/>
      <c r="R61" s="238"/>
      <c r="S61" s="238"/>
      <c r="T61" s="238"/>
      <c r="U61" s="238"/>
      <c r="V61" s="238"/>
      <c r="W61" s="238"/>
      <c r="X61" s="238"/>
      <c r="Y61" s="238"/>
      <c r="Z61" s="238"/>
      <c r="AA61" s="238"/>
      <c r="AB61" s="238"/>
      <c r="AC61" s="43"/>
      <c r="AD61" s="22"/>
    </row>
    <row r="62" spans="1:31" s="23" customFormat="1" x14ac:dyDescent="0.3">
      <c r="A62" s="47"/>
      <c r="B62" s="40" t="s">
        <v>18</v>
      </c>
      <c r="C62" s="97"/>
      <c r="D62" s="97"/>
      <c r="E62" s="97"/>
      <c r="F62" s="97"/>
      <c r="G62" s="97"/>
      <c r="H62" s="97"/>
      <c r="I62" s="97"/>
      <c r="J62" s="97"/>
      <c r="K62" s="97"/>
      <c r="L62" s="97"/>
      <c r="M62" s="97"/>
      <c r="N62" s="97"/>
      <c r="O62" s="97"/>
      <c r="P62" s="238">
        <v>0</v>
      </c>
      <c r="Q62" s="238"/>
      <c r="R62" s="238">
        <v>0</v>
      </c>
      <c r="S62" s="238"/>
      <c r="T62" s="238"/>
      <c r="U62" s="238"/>
      <c r="V62" s="238"/>
      <c r="W62" s="238"/>
      <c r="X62" s="238"/>
      <c r="Y62" s="238"/>
      <c r="Z62" s="238"/>
      <c r="AA62" s="238"/>
      <c r="AB62" s="237">
        <v>0</v>
      </c>
      <c r="AC62" s="43"/>
      <c r="AD62" s="22"/>
    </row>
    <row r="63" spans="1:31" s="23" customFormat="1" x14ac:dyDescent="0.3">
      <c r="A63" s="47"/>
      <c r="B63" s="40" t="s">
        <v>274</v>
      </c>
      <c r="C63" s="97"/>
      <c r="D63" s="97"/>
      <c r="E63" s="97"/>
      <c r="F63" s="97"/>
      <c r="G63" s="97"/>
      <c r="H63" s="97"/>
      <c r="I63" s="97"/>
      <c r="J63" s="97"/>
      <c r="K63" s="97"/>
      <c r="L63" s="97"/>
      <c r="M63" s="97"/>
      <c r="N63" s="97"/>
      <c r="O63" s="97"/>
      <c r="P63" s="238">
        <v>0</v>
      </c>
      <c r="Q63" s="238"/>
      <c r="R63" s="238">
        <v>3</v>
      </c>
      <c r="S63" s="238"/>
      <c r="T63" s="238">
        <v>0</v>
      </c>
      <c r="U63" s="238"/>
      <c r="V63" s="238">
        <v>3</v>
      </c>
      <c r="W63" s="238"/>
      <c r="X63" s="238"/>
      <c r="Y63" s="238"/>
      <c r="Z63" s="238"/>
      <c r="AA63" s="238"/>
      <c r="AB63" s="238">
        <f>R63+V63</f>
        <v>6</v>
      </c>
      <c r="AC63" s="43"/>
      <c r="AD63" s="22"/>
    </row>
    <row r="64" spans="1:31" s="23" customFormat="1" x14ac:dyDescent="0.3">
      <c r="A64" s="47"/>
      <c r="B64" s="40" t="s">
        <v>172</v>
      </c>
      <c r="C64" s="97"/>
      <c r="D64" s="97"/>
      <c r="E64" s="97"/>
      <c r="F64" s="97"/>
      <c r="G64" s="97"/>
      <c r="H64" s="97"/>
      <c r="I64" s="97"/>
      <c r="J64" s="97"/>
      <c r="K64" s="97"/>
      <c r="L64" s="97"/>
      <c r="M64" s="97"/>
      <c r="N64" s="97"/>
      <c r="O64" s="97"/>
      <c r="P64" s="238">
        <v>812</v>
      </c>
      <c r="Q64" s="238"/>
      <c r="R64" s="238">
        <v>0</v>
      </c>
      <c r="S64" s="238"/>
      <c r="T64" s="238"/>
      <c r="U64" s="238"/>
      <c r="V64" s="238"/>
      <c r="W64" s="238"/>
      <c r="X64" s="238">
        <v>0</v>
      </c>
      <c r="Y64" s="238"/>
      <c r="Z64" s="238"/>
      <c r="AA64" s="238"/>
      <c r="AB64" s="238">
        <f>+R64+X64</f>
        <v>0</v>
      </c>
      <c r="AC64" s="43"/>
      <c r="AD64" s="22"/>
    </row>
    <row r="65" spans="1:30" s="23" customFormat="1" x14ac:dyDescent="0.3">
      <c r="A65" s="47"/>
      <c r="B65" s="40" t="s">
        <v>19</v>
      </c>
      <c r="C65" s="97"/>
      <c r="D65" s="97"/>
      <c r="E65" s="97"/>
      <c r="F65" s="97"/>
      <c r="G65" s="97"/>
      <c r="H65" s="97"/>
      <c r="I65" s="97"/>
      <c r="J65" s="97"/>
      <c r="K65" s="97"/>
      <c r="L65" s="97"/>
      <c r="M65" s="97"/>
      <c r="N65" s="97"/>
      <c r="O65" s="97"/>
      <c r="P65" s="238">
        <v>0</v>
      </c>
      <c r="Q65" s="238"/>
      <c r="R65" s="238">
        <v>0</v>
      </c>
      <c r="S65" s="238"/>
      <c r="T65" s="238"/>
      <c r="U65" s="238"/>
      <c r="V65" s="238"/>
      <c r="W65" s="238"/>
      <c r="X65" s="238"/>
      <c r="Y65" s="238"/>
      <c r="Z65" s="238"/>
      <c r="AA65" s="238"/>
      <c r="AB65" s="238">
        <v>0</v>
      </c>
      <c r="AC65" s="43"/>
      <c r="AD65" s="22"/>
    </row>
    <row r="66" spans="1:30" s="23" customFormat="1" x14ac:dyDescent="0.3">
      <c r="A66" s="47"/>
      <c r="B66" s="40" t="s">
        <v>20</v>
      </c>
      <c r="C66" s="97"/>
      <c r="D66" s="97"/>
      <c r="E66" s="97"/>
      <c r="F66" s="97"/>
      <c r="G66" s="97"/>
      <c r="H66" s="97"/>
      <c r="I66" s="97"/>
      <c r="J66" s="97"/>
      <c r="K66" s="97"/>
      <c r="L66" s="97"/>
      <c r="M66" s="97"/>
      <c r="N66" s="97"/>
      <c r="O66" s="97"/>
      <c r="P66" s="238">
        <f>SUM(P60:P65)</f>
        <v>760478</v>
      </c>
      <c r="Q66" s="238"/>
      <c r="R66" s="238">
        <f>SUM(R60:R65)</f>
        <v>632035</v>
      </c>
      <c r="S66" s="238"/>
      <c r="T66" s="238"/>
      <c r="U66" s="238"/>
      <c r="V66" s="238"/>
      <c r="W66" s="238"/>
      <c r="X66" s="238"/>
      <c r="Y66" s="238"/>
      <c r="Z66" s="238"/>
      <c r="AA66" s="238"/>
      <c r="AB66" s="238">
        <f>SUM(AB60:AB65)</f>
        <v>624761</v>
      </c>
      <c r="AC66" s="43"/>
      <c r="AD66" s="22"/>
    </row>
    <row r="67" spans="1:30" x14ac:dyDescent="0.3">
      <c r="A67" s="7"/>
      <c r="B67" s="99"/>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1"/>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2" t="s">
        <v>21</v>
      </c>
      <c r="C69" s="102"/>
      <c r="D69" s="103"/>
      <c r="E69" s="103"/>
      <c r="F69" s="103"/>
      <c r="G69" s="103"/>
      <c r="H69" s="104"/>
      <c r="I69" s="103"/>
      <c r="J69" s="105"/>
      <c r="K69" s="103"/>
      <c r="L69" s="103"/>
      <c r="M69" s="103"/>
      <c r="N69" s="103"/>
      <c r="O69" s="103"/>
      <c r="P69" s="103"/>
      <c r="Q69" s="103"/>
      <c r="R69" s="104" t="s">
        <v>64</v>
      </c>
      <c r="S69" s="103"/>
      <c r="T69" s="105">
        <f>+Z235</f>
        <v>45379</v>
      </c>
      <c r="U69" s="103"/>
      <c r="V69" s="103"/>
      <c r="W69" s="103"/>
      <c r="X69" s="103"/>
      <c r="Y69" s="103"/>
      <c r="Z69" s="103" t="s">
        <v>73</v>
      </c>
      <c r="AA69" s="103"/>
      <c r="AB69" s="103"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100">
        <f>+R63</f>
        <v>3</v>
      </c>
      <c r="AA70" s="37"/>
      <c r="AB70" s="107">
        <v>0</v>
      </c>
      <c r="AC70" s="21"/>
      <c r="AD70" s="22"/>
    </row>
    <row r="71" spans="1:30" s="23" customFormat="1" x14ac:dyDescent="0.3">
      <c r="A71" s="47"/>
      <c r="B71" s="40" t="s">
        <v>218</v>
      </c>
      <c r="C71" s="40"/>
      <c r="D71" s="70"/>
      <c r="E71" s="70"/>
      <c r="F71" s="70"/>
      <c r="G71" s="108"/>
      <c r="H71" s="70"/>
      <c r="I71" s="40"/>
      <c r="J71" s="109"/>
      <c r="K71" s="40"/>
      <c r="L71" s="40"/>
      <c r="M71" s="40"/>
      <c r="N71" s="40"/>
      <c r="O71" s="40"/>
      <c r="P71" s="40"/>
      <c r="Q71" s="40"/>
      <c r="R71" s="40"/>
      <c r="S71" s="40"/>
      <c r="T71" s="40"/>
      <c r="U71" s="40"/>
      <c r="V71" s="40"/>
      <c r="W71" s="40"/>
      <c r="X71" s="40"/>
      <c r="Y71" s="40"/>
      <c r="Z71" s="238">
        <f>-X64</f>
        <v>0</v>
      </c>
      <c r="AA71" s="40"/>
      <c r="AB71" s="98"/>
      <c r="AC71" s="43"/>
      <c r="AD71" s="22"/>
    </row>
    <row r="72" spans="1:30" s="23" customFormat="1" x14ac:dyDescent="0.3">
      <c r="A72" s="47"/>
      <c r="B72" s="40" t="s">
        <v>217</v>
      </c>
      <c r="C72" s="40"/>
      <c r="D72" s="70"/>
      <c r="E72" s="70"/>
      <c r="F72" s="70"/>
      <c r="G72" s="108"/>
      <c r="H72" s="70"/>
      <c r="I72" s="40"/>
      <c r="J72" s="109"/>
      <c r="K72" s="40"/>
      <c r="L72" s="40"/>
      <c r="M72" s="40"/>
      <c r="N72" s="40"/>
      <c r="O72" s="40"/>
      <c r="P72" s="40"/>
      <c r="Q72" s="40"/>
      <c r="R72" s="40"/>
      <c r="S72" s="40"/>
      <c r="T72" s="40"/>
      <c r="U72" s="40"/>
      <c r="V72" s="40"/>
      <c r="W72" s="40"/>
      <c r="X72" s="40"/>
      <c r="Y72" s="40"/>
      <c r="Z72" s="238">
        <f>-Z209</f>
        <v>0</v>
      </c>
      <c r="AA72" s="40"/>
      <c r="AB72" s="98"/>
      <c r="AC72" s="43"/>
      <c r="AD72" s="22"/>
    </row>
    <row r="73" spans="1:30" s="23" customFormat="1" x14ac:dyDescent="0.3">
      <c r="A73" s="47"/>
      <c r="B73" s="40" t="s">
        <v>23</v>
      </c>
      <c r="C73" s="40"/>
      <c r="D73" s="70"/>
      <c r="E73" s="70"/>
      <c r="F73" s="70"/>
      <c r="G73" s="108"/>
      <c r="H73" s="70"/>
      <c r="I73" s="40"/>
      <c r="J73" s="109"/>
      <c r="K73" s="40"/>
      <c r="L73" s="40"/>
      <c r="M73" s="40"/>
      <c r="N73" s="40"/>
      <c r="O73" s="40"/>
      <c r="P73" s="40"/>
      <c r="Q73" s="40"/>
      <c r="R73" s="40"/>
      <c r="S73" s="40"/>
      <c r="T73" s="40"/>
      <c r="U73" s="40"/>
      <c r="V73" s="40"/>
      <c r="W73" s="40"/>
      <c r="X73" s="40"/>
      <c r="Y73" s="40"/>
      <c r="Z73" s="238">
        <f>+T57+V57+Z57-1</f>
        <v>7276</v>
      </c>
      <c r="AA73" s="40"/>
      <c r="AB73" s="98"/>
      <c r="AC73" s="43"/>
      <c r="AD73" s="22"/>
    </row>
    <row r="74" spans="1:30" s="23" customFormat="1" x14ac:dyDescent="0.3">
      <c r="A74" s="47"/>
      <c r="B74" s="40" t="s">
        <v>115</v>
      </c>
      <c r="C74" s="40"/>
      <c r="D74" s="70"/>
      <c r="E74" s="70"/>
      <c r="F74" s="70"/>
      <c r="G74" s="108"/>
      <c r="H74" s="70"/>
      <c r="I74" s="40"/>
      <c r="J74" s="109"/>
      <c r="K74" s="40"/>
      <c r="L74" s="40"/>
      <c r="M74" s="40"/>
      <c r="N74" s="40"/>
      <c r="O74" s="40"/>
      <c r="P74" s="40"/>
      <c r="Q74" s="40"/>
      <c r="R74" s="40"/>
      <c r="S74" s="40"/>
      <c r="T74" s="40"/>
      <c r="U74" s="40"/>
      <c r="V74" s="40"/>
      <c r="W74" s="40"/>
      <c r="X74" s="40"/>
      <c r="Y74" s="40"/>
      <c r="Z74" s="238"/>
      <c r="AA74" s="40"/>
      <c r="AB74" s="98">
        <f>6820+352-338-117</f>
        <v>6717</v>
      </c>
      <c r="AC74" s="43"/>
      <c r="AD74" s="22"/>
    </row>
    <row r="75" spans="1:30" s="23" customFormat="1" x14ac:dyDescent="0.3">
      <c r="A75" s="47"/>
      <c r="B75" s="40" t="s">
        <v>113</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94+3</f>
        <v>97</v>
      </c>
      <c r="AC75" s="43"/>
      <c r="AD75" s="22"/>
    </row>
    <row r="76" spans="1:30" s="23" customFormat="1" x14ac:dyDescent="0.3">
      <c r="A76" s="47"/>
      <c r="B76" s="40" t="s">
        <v>114</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v>346</v>
      </c>
      <c r="AC76" s="43"/>
      <c r="AD76" s="22"/>
    </row>
    <row r="77" spans="1:30" s="23" customFormat="1" x14ac:dyDescent="0.3">
      <c r="A77" s="47"/>
      <c r="B77" s="40" t="s">
        <v>120</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59" t="s">
        <v>224</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124</v>
      </c>
      <c r="AC78" s="43"/>
      <c r="AD78" s="22"/>
    </row>
    <row r="79" spans="1:30" s="23" customFormat="1" x14ac:dyDescent="0.3">
      <c r="A79" s="47"/>
      <c r="B79" s="59" t="s">
        <v>225</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0</v>
      </c>
      <c r="AC79" s="43"/>
      <c r="AD79" s="22"/>
    </row>
    <row r="80" spans="1:30" s="23" customFormat="1" x14ac:dyDescent="0.3">
      <c r="A80" s="47"/>
      <c r="B80" s="40" t="s">
        <v>232</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f>+AB167</f>
        <v>0</v>
      </c>
      <c r="AC80" s="43"/>
      <c r="AD80" s="22"/>
    </row>
    <row r="81" spans="1:30" s="23" customFormat="1" x14ac:dyDescent="0.3">
      <c r="A81" s="47"/>
      <c r="B81" s="40" t="s">
        <v>246</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v>0</v>
      </c>
      <c r="AC81" s="43"/>
      <c r="AD81" s="22"/>
    </row>
    <row r="82" spans="1:30" s="23" customFormat="1" x14ac:dyDescent="0.3">
      <c r="A82" s="47"/>
      <c r="B82" s="59" t="s">
        <v>233</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2443</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8">
        <f>SUM(Z70:Z82)</f>
        <v>7279</v>
      </c>
      <c r="AA83" s="40"/>
      <c r="AB83" s="97">
        <f>SUM(AB70:AB82)</f>
        <v>9727</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8">
        <f>-AB84</f>
        <v>0</v>
      </c>
      <c r="AA84" s="40"/>
      <c r="AB84" s="98">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8"/>
      <c r="AA85" s="40"/>
      <c r="AB85" s="98">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8">
        <f>Z83+Z84</f>
        <v>7279</v>
      </c>
      <c r="AA86" s="40"/>
      <c r="AB86" s="97">
        <f>AB83+AB84+AB85</f>
        <v>9727</v>
      </c>
      <c r="AC86" s="43"/>
      <c r="AD86" s="22"/>
    </row>
    <row r="87" spans="1:30" x14ac:dyDescent="0.3">
      <c r="A87" s="110"/>
      <c r="B87" s="111" t="s">
        <v>27</v>
      </c>
      <c r="C87" s="59"/>
      <c r="D87" s="59"/>
      <c r="E87" s="59"/>
      <c r="F87" s="59"/>
      <c r="G87" s="59"/>
      <c r="H87" s="59"/>
      <c r="I87" s="59"/>
      <c r="J87" s="59"/>
      <c r="K87" s="59"/>
      <c r="L87" s="59"/>
      <c r="M87" s="59"/>
      <c r="N87" s="59"/>
      <c r="O87" s="59"/>
      <c r="P87" s="59"/>
      <c r="Q87" s="59"/>
      <c r="R87" s="59"/>
      <c r="S87" s="59"/>
      <c r="T87" s="59"/>
      <c r="U87" s="59"/>
      <c r="V87" s="59"/>
      <c r="W87" s="59"/>
      <c r="X87" s="59"/>
      <c r="Y87" s="59"/>
      <c r="Z87" s="238"/>
      <c r="AA87" s="112"/>
      <c r="AB87" s="113"/>
      <c r="AC87" s="114"/>
      <c r="AD87" s="5"/>
    </row>
    <row r="88" spans="1:30" x14ac:dyDescent="0.3">
      <c r="A88" s="110">
        <v>1</v>
      </c>
      <c r="B88" s="59" t="s">
        <v>138</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98">
        <v>0</v>
      </c>
      <c r="AC88" s="114"/>
      <c r="AD88" s="5"/>
    </row>
    <row r="89" spans="1:30" x14ac:dyDescent="0.3">
      <c r="A89" s="110">
        <v>2</v>
      </c>
      <c r="B89" s="59" t="s">
        <v>275</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-2</v>
      </c>
      <c r="AC89" s="114"/>
      <c r="AD89" s="5"/>
    </row>
    <row r="90" spans="1:30" x14ac:dyDescent="0.3">
      <c r="A90" s="110">
        <v>3</v>
      </c>
      <c r="B90" s="59" t="s">
        <v>247</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f>-316-22-10</f>
        <v>-348</v>
      </c>
      <c r="AC90" s="114"/>
      <c r="AD90" s="5"/>
    </row>
    <row r="91" spans="1:30" x14ac:dyDescent="0.3">
      <c r="A91" s="110">
        <v>4</v>
      </c>
      <c r="B91" s="59" t="s">
        <v>82</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v>6681</v>
      </c>
      <c r="AC91" s="114"/>
      <c r="AD91" s="5"/>
    </row>
    <row r="92" spans="1:30" x14ac:dyDescent="0.3">
      <c r="A92" s="110">
        <v>5</v>
      </c>
      <c r="B92" s="59" t="s">
        <v>129</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-8194</v>
      </c>
      <c r="AC92" s="114"/>
      <c r="AD92" s="5"/>
    </row>
    <row r="93" spans="1:30" x14ac:dyDescent="0.3">
      <c r="A93" s="110">
        <v>6</v>
      </c>
      <c r="B93" s="59" t="s">
        <v>150</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-701</v>
      </c>
      <c r="AC93" s="114"/>
      <c r="AD93" s="5"/>
    </row>
    <row r="94" spans="1:30" x14ac:dyDescent="0.3">
      <c r="A94" s="110">
        <v>7</v>
      </c>
      <c r="B94" s="59" t="s">
        <v>201</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0</v>
      </c>
      <c r="AC94" s="114"/>
      <c r="AD94" s="5"/>
    </row>
    <row r="95" spans="1:30" x14ac:dyDescent="0.3">
      <c r="A95" s="110">
        <v>8</v>
      </c>
      <c r="B95" s="59" t="s">
        <v>151</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-399</v>
      </c>
      <c r="AC95" s="114"/>
      <c r="AD95" s="5"/>
    </row>
    <row r="96" spans="1:30" x14ac:dyDescent="0.3">
      <c r="A96" s="110">
        <v>9</v>
      </c>
      <c r="B96" s="59" t="s">
        <v>180</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-416</v>
      </c>
      <c r="AC96" s="114"/>
      <c r="AD96" s="5"/>
    </row>
    <row r="97" spans="1:30" x14ac:dyDescent="0.3">
      <c r="A97" s="110">
        <v>10</v>
      </c>
      <c r="B97" s="59" t="s">
        <v>130</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0</v>
      </c>
      <c r="AC97" s="114"/>
      <c r="AD97" s="5"/>
    </row>
    <row r="98" spans="1:30" x14ac:dyDescent="0.3">
      <c r="A98" s="110">
        <v>11</v>
      </c>
      <c r="B98" s="59" t="s">
        <v>200</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0</v>
      </c>
      <c r="AC98" s="114"/>
      <c r="AD98" s="5"/>
    </row>
    <row r="99" spans="1:30" x14ac:dyDescent="0.3">
      <c r="A99" s="110">
        <v>12</v>
      </c>
      <c r="B99" s="59" t="s">
        <v>33</v>
      </c>
      <c r="C99" s="59"/>
      <c r="D99" s="59"/>
      <c r="E99" s="59"/>
      <c r="F99" s="59"/>
      <c r="G99" s="59"/>
      <c r="H99" s="59"/>
      <c r="I99" s="59"/>
      <c r="J99" s="59"/>
      <c r="K99" s="59"/>
      <c r="L99" s="59"/>
      <c r="M99" s="59"/>
      <c r="N99" s="59"/>
      <c r="O99" s="59"/>
      <c r="P99" s="59"/>
      <c r="Q99" s="59"/>
      <c r="R99" s="59"/>
      <c r="S99" s="59"/>
      <c r="T99" s="59"/>
      <c r="U99" s="59"/>
      <c r="V99" s="59"/>
      <c r="W99" s="59"/>
      <c r="X99" s="59"/>
      <c r="Y99" s="59"/>
      <c r="Z99" s="238">
        <f>-AB99</f>
        <v>1</v>
      </c>
      <c r="AA99" s="112"/>
      <c r="AB99" s="98">
        <v>-1</v>
      </c>
      <c r="AC99" s="114"/>
      <c r="AD99" s="5"/>
    </row>
    <row r="100" spans="1:30" x14ac:dyDescent="0.3">
      <c r="A100" s="110">
        <v>13</v>
      </c>
      <c r="B100" s="59" t="s">
        <v>276</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14</v>
      </c>
      <c r="B101" s="59" t="s">
        <v>277</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c r="AA101" s="112"/>
      <c r="AB101" s="98">
        <v>-3000</v>
      </c>
      <c r="AC101" s="114"/>
      <c r="AD101" s="5"/>
    </row>
    <row r="102" spans="1:30" x14ac:dyDescent="0.3">
      <c r="A102" s="110">
        <v>15</v>
      </c>
      <c r="B102" s="59" t="s">
        <v>28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-26</v>
      </c>
      <c r="AC102" s="114"/>
      <c r="AD102" s="5"/>
    </row>
    <row r="103" spans="1:30" x14ac:dyDescent="0.3">
      <c r="A103" s="110">
        <v>16</v>
      </c>
      <c r="B103" s="59" t="s">
        <v>118</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0</v>
      </c>
      <c r="AC103" s="114"/>
      <c r="AD103" s="5"/>
    </row>
    <row r="104" spans="1:30" x14ac:dyDescent="0.3">
      <c r="A104" s="110">
        <v>17</v>
      </c>
      <c r="B104" s="59" t="s">
        <v>188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0</v>
      </c>
      <c r="AC104" s="114"/>
      <c r="AD104" s="5"/>
    </row>
    <row r="105" spans="1:30" x14ac:dyDescent="0.3">
      <c r="A105" s="110">
        <v>18</v>
      </c>
      <c r="B105" s="59" t="s">
        <v>162</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-513</v>
      </c>
      <c r="AC105" s="114"/>
      <c r="AD105" s="5"/>
    </row>
    <row r="106" spans="1:30" x14ac:dyDescent="0.3">
      <c r="A106" s="110">
        <v>19</v>
      </c>
      <c r="B106" s="59" t="s">
        <v>257</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-212</v>
      </c>
      <c r="AC106" s="114"/>
      <c r="AD106" s="5"/>
    </row>
    <row r="107" spans="1:30" x14ac:dyDescent="0.3">
      <c r="A107" s="110">
        <v>20</v>
      </c>
      <c r="B107" s="59" t="s">
        <v>258</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-124</v>
      </c>
      <c r="AC107" s="114"/>
      <c r="AD107" s="5"/>
    </row>
    <row r="108" spans="1:30" x14ac:dyDescent="0.3">
      <c r="A108" s="110">
        <v>21</v>
      </c>
      <c r="B108" s="59" t="s">
        <v>259</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0</v>
      </c>
      <c r="AC108" s="114"/>
      <c r="AD108" s="5"/>
    </row>
    <row r="109" spans="1:30" x14ac:dyDescent="0.3">
      <c r="A109" s="110">
        <v>22</v>
      </c>
      <c r="B109" s="59" t="s">
        <v>260</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0</v>
      </c>
      <c r="AC109" s="114"/>
      <c r="AD109" s="5"/>
    </row>
    <row r="110" spans="1:30" x14ac:dyDescent="0.3">
      <c r="A110" s="110">
        <v>23</v>
      </c>
      <c r="B110" s="59" t="s">
        <v>131</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24</v>
      </c>
      <c r="B111" s="59" t="s">
        <v>137</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f>-12-72</f>
        <v>-84</v>
      </c>
      <c r="AC111" s="114"/>
      <c r="AD111" s="5"/>
    </row>
    <row r="112" spans="1:30" x14ac:dyDescent="0.3">
      <c r="A112" s="110">
        <v>25</v>
      </c>
      <c r="B112" s="59" t="s">
        <v>255</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-5</v>
      </c>
      <c r="AC112" s="114"/>
      <c r="AD112" s="5"/>
    </row>
    <row r="113" spans="1:30" x14ac:dyDescent="0.3">
      <c r="A113" s="110">
        <v>26</v>
      </c>
      <c r="B113" s="59" t="s">
        <v>226</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-2383</v>
      </c>
      <c r="AC113" s="114"/>
      <c r="AD113" s="5"/>
    </row>
    <row r="114" spans="1:30" x14ac:dyDescent="0.3">
      <c r="A114" s="110"/>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113"/>
      <c r="AC114" s="114"/>
      <c r="AD114" s="5"/>
    </row>
    <row r="115" spans="1:30" x14ac:dyDescent="0.3">
      <c r="A115" s="110"/>
      <c r="B115" s="111" t="s">
        <v>29</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112"/>
      <c r="AB115" s="116"/>
      <c r="AC115" s="114"/>
      <c r="AD115" s="5"/>
    </row>
    <row r="116" spans="1:30" x14ac:dyDescent="0.3">
      <c r="A116" s="110"/>
      <c r="B116" s="40" t="s">
        <v>227</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v>0</v>
      </c>
      <c r="AA116" s="112"/>
      <c r="AB116" s="116"/>
      <c r="AC116" s="114"/>
      <c r="AD116" s="5"/>
    </row>
    <row r="117" spans="1:30" s="23" customFormat="1" x14ac:dyDescent="0.3">
      <c r="A117" s="47"/>
      <c r="B117" s="40" t="s">
        <v>156</v>
      </c>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238">
        <v>0</v>
      </c>
      <c r="AA117" s="97"/>
      <c r="AB117" s="98"/>
      <c r="AC117" s="43"/>
      <c r="AD117" s="22"/>
    </row>
    <row r="118" spans="1:30" s="23" customFormat="1" x14ac:dyDescent="0.3">
      <c r="A118" s="47"/>
      <c r="B118" s="40" t="s">
        <v>157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8">
        <v>0</v>
      </c>
      <c r="AA118" s="97"/>
      <c r="AB118" s="98"/>
      <c r="AC118" s="43"/>
      <c r="AD118" s="22"/>
    </row>
    <row r="119" spans="1:30" s="23" customFormat="1" x14ac:dyDescent="0.3">
      <c r="A119" s="47"/>
      <c r="B119" s="40" t="s">
        <v>262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263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312</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-7274</v>
      </c>
      <c r="AA121" s="97"/>
      <c r="AB121" s="98"/>
      <c r="AC121" s="43"/>
      <c r="AD121" s="22"/>
    </row>
    <row r="122" spans="1:30" s="23" customFormat="1" x14ac:dyDescent="0.3">
      <c r="A122" s="47"/>
      <c r="B122" s="40" t="s">
        <v>142</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143</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0</v>
      </c>
      <c r="AA123" s="97"/>
      <c r="AB123" s="98"/>
      <c r="AC123" s="43"/>
      <c r="AD123" s="22"/>
    </row>
    <row r="124" spans="1:30" s="23" customFormat="1" x14ac:dyDescent="0.3">
      <c r="A124" s="47"/>
      <c r="B124" s="40" t="s">
        <v>173</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163</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189</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30</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f>SUM(Z116:Z126)</f>
        <v>-7274</v>
      </c>
      <c r="AA127" s="97"/>
      <c r="AB127" s="97">
        <f>SUM(AB87:AB125)</f>
        <v>-9727</v>
      </c>
      <c r="AC127" s="43"/>
      <c r="AD127" s="22"/>
    </row>
    <row r="128" spans="1:30" s="23" customFormat="1" x14ac:dyDescent="0.3">
      <c r="A128" s="47"/>
      <c r="B128" s="40" t="s">
        <v>31</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f>Z86+Z127+Z99</f>
        <v>6</v>
      </c>
      <c r="AA128" s="97"/>
      <c r="AB128" s="97">
        <f>AB86+AB127</f>
        <v>0</v>
      </c>
      <c r="AC128" s="43"/>
      <c r="AD128" s="22"/>
    </row>
    <row r="129" spans="1:30" s="23" customFormat="1" x14ac:dyDescent="0.3">
      <c r="A129" s="18"/>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106"/>
      <c r="AA129" s="106"/>
      <c r="AB129" s="106"/>
      <c r="AC129" s="21"/>
      <c r="AD129" s="22"/>
    </row>
    <row r="130" spans="1:30" s="23" customFormat="1" x14ac:dyDescent="0.3">
      <c r="A130" s="18"/>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117"/>
      <c r="AC130" s="21"/>
      <c r="AD130" s="22"/>
    </row>
    <row r="131" spans="1:30" s="23" customFormat="1" ht="18.600000000000001" thickBot="1" x14ac:dyDescent="0.4">
      <c r="A131" s="83"/>
      <c r="B131" s="84" t="str">
        <f>B53</f>
        <v>PM27 INVESTOR REPORT QUARTER ENDING MARCH 2024</v>
      </c>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118"/>
      <c r="AC131" s="87"/>
      <c r="AD131" s="22"/>
    </row>
    <row r="132" spans="1:30" x14ac:dyDescent="0.3">
      <c r="A132" s="119"/>
      <c r="B132" s="120" t="s">
        <v>32</v>
      </c>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2"/>
      <c r="AC132" s="123"/>
      <c r="AD132" s="5"/>
    </row>
    <row r="133" spans="1:30" x14ac:dyDescent="0.3">
      <c r="A133" s="7"/>
      <c r="B133" s="124"/>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1"/>
      <c r="AC133" s="10"/>
      <c r="AD133" s="5"/>
    </row>
    <row r="134" spans="1:30" x14ac:dyDescent="0.3">
      <c r="A134" s="7"/>
      <c r="B134" s="125" t="s">
        <v>192</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1"/>
      <c r="AC134" s="10"/>
      <c r="AD134" s="5"/>
    </row>
    <row r="135" spans="1:30" s="23" customFormat="1" x14ac:dyDescent="0.3">
      <c r="A135" s="47"/>
      <c r="B135" s="40" t="s">
        <v>199</v>
      </c>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98">
        <f>SUM(F29:H29)*1.5%</f>
        <v>10351.994999999999</v>
      </c>
      <c r="AC135" s="43"/>
      <c r="AD135" s="22"/>
    </row>
    <row r="136" spans="1:30" s="23" customFormat="1" x14ac:dyDescent="0.3">
      <c r="A136" s="47"/>
      <c r="B136" s="40" t="s">
        <v>204</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8">
        <f>+'December 2023'!AB143</f>
        <v>8549.994999999999</v>
      </c>
      <c r="AC136" s="43"/>
      <c r="AD136" s="22"/>
    </row>
    <row r="137" spans="1:30" s="23" customFormat="1" x14ac:dyDescent="0.3">
      <c r="A137" s="47"/>
      <c r="B137" s="40" t="s">
        <v>248</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8"/>
      <c r="AC137" s="43"/>
      <c r="AD137" s="22"/>
    </row>
    <row r="138" spans="1:30" s="23" customFormat="1" x14ac:dyDescent="0.3">
      <c r="A138" s="47"/>
      <c r="B138" s="40" t="s">
        <v>250</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v>0</v>
      </c>
      <c r="AC138" s="43"/>
      <c r="AD138" s="22"/>
    </row>
    <row r="139" spans="1:30" s="23" customFormat="1" x14ac:dyDescent="0.3">
      <c r="A139" s="47"/>
      <c r="B139" s="40" t="s">
        <v>198</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v>0</v>
      </c>
      <c r="AC139" s="43"/>
      <c r="AD139" s="22"/>
    </row>
    <row r="140" spans="1:30" s="23" customFormat="1" x14ac:dyDescent="0.3">
      <c r="A140" s="47"/>
      <c r="B140" s="40" t="s">
        <v>150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v>0</v>
      </c>
      <c r="AC140" s="43"/>
      <c r="AD140" s="22"/>
    </row>
    <row r="141" spans="1:30" s="23" customFormat="1" x14ac:dyDescent="0.3">
      <c r="A141" s="47"/>
      <c r="B141" s="40" t="s">
        <v>87</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251</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-124</v>
      </c>
      <c r="AC142" s="43"/>
      <c r="AD142" s="22"/>
    </row>
    <row r="143" spans="1:30" s="23" customFormat="1" x14ac:dyDescent="0.3">
      <c r="A143" s="47"/>
      <c r="B143" s="40" t="s">
        <v>203</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f>SUM(AB136:AB142)</f>
        <v>8425.994999999999</v>
      </c>
      <c r="AC143" s="43"/>
      <c r="AD143" s="22"/>
    </row>
    <row r="144" spans="1:30" x14ac:dyDescent="0.3">
      <c r="A144" s="7"/>
      <c r="B144" s="124"/>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1"/>
      <c r="AC144" s="10"/>
      <c r="AD144" s="5"/>
    </row>
    <row r="145" spans="1:30" x14ac:dyDescent="0.3">
      <c r="A145" s="7"/>
      <c r="B145" s="125" t="s">
        <v>190</v>
      </c>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1"/>
      <c r="AC145" s="10"/>
      <c r="AD145" s="5"/>
    </row>
    <row r="146" spans="1:30" s="23" customFormat="1" x14ac:dyDescent="0.3">
      <c r="A146" s="47"/>
      <c r="B146" s="59" t="s">
        <v>191</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SUM(J29:L29)*1.5%</f>
        <v>684.42</v>
      </c>
      <c r="AC146" s="43"/>
      <c r="AD146" s="22"/>
    </row>
    <row r="147" spans="1:30" s="23" customFormat="1" x14ac:dyDescent="0.3">
      <c r="A147" s="47"/>
      <c r="B147" s="59" t="s">
        <v>205</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8">
        <f>SUM(J29:L29)*0.015</f>
        <v>684.42</v>
      </c>
      <c r="AC147" s="43"/>
      <c r="AD147" s="22"/>
    </row>
    <row r="148" spans="1:30" s="23" customFormat="1" x14ac:dyDescent="0.3">
      <c r="A148" s="47"/>
      <c r="B148" s="59" t="s">
        <v>93</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8"/>
      <c r="AC148" s="43"/>
      <c r="AD148" s="22"/>
    </row>
    <row r="149" spans="1:30" s="23" customFormat="1" x14ac:dyDescent="0.3">
      <c r="A149" s="47"/>
      <c r="B149" s="40" t="s">
        <v>250</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v>0</v>
      </c>
      <c r="AC149" s="43"/>
      <c r="AD149" s="22"/>
    </row>
    <row r="150" spans="1:30" s="23" customFormat="1" x14ac:dyDescent="0.3">
      <c r="A150" s="47"/>
      <c r="B150" s="59" t="s">
        <v>129</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v>0</v>
      </c>
      <c r="AC150" s="43"/>
      <c r="AD150" s="22"/>
    </row>
    <row r="151" spans="1:30" s="23" customFormat="1" x14ac:dyDescent="0.3">
      <c r="A151" s="47"/>
      <c r="B151" s="59" t="s">
        <v>150</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v>0</v>
      </c>
      <c r="AC151" s="43"/>
      <c r="AD151" s="22"/>
    </row>
    <row r="152" spans="1:30" s="23" customFormat="1" x14ac:dyDescent="0.3">
      <c r="A152" s="47"/>
      <c r="B152" s="59" t="s">
        <v>151</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0" s="23" customFormat="1" x14ac:dyDescent="0.3">
      <c r="A153" s="47"/>
      <c r="B153" s="59" t="s">
        <v>180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0" s="23" customFormat="1" x14ac:dyDescent="0.3">
      <c r="A154" s="47"/>
      <c r="B154" s="59" t="s">
        <v>87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0" s="23" customFormat="1" x14ac:dyDescent="0.3">
      <c r="A155" s="47"/>
      <c r="B155" s="40" t="s">
        <v>251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0" s="23" customFormat="1" x14ac:dyDescent="0.3">
      <c r="A156" s="47"/>
      <c r="B156" s="59" t="s">
        <v>202</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f>SUM(AB147:AB155)</f>
        <v>684.42</v>
      </c>
      <c r="AC156" s="43"/>
      <c r="AD156" s="22"/>
    </row>
    <row r="157" spans="1:30" x14ac:dyDescent="0.3">
      <c r="A157" s="7"/>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126"/>
      <c r="AC157" s="10"/>
      <c r="AD157" s="5"/>
    </row>
    <row r="158" spans="1:30" x14ac:dyDescent="0.3">
      <c r="A158" s="7"/>
      <c r="B158" s="125" t="s">
        <v>174</v>
      </c>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8"/>
      <c r="AC158" s="10"/>
      <c r="AD158" s="5"/>
    </row>
    <row r="159" spans="1:30" s="23" customFormat="1" x14ac:dyDescent="0.3">
      <c r="A159" s="129"/>
      <c r="B159" s="230" t="s">
        <v>281</v>
      </c>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1">
        <f>+'December 2023'!AB162</f>
        <v>0</v>
      </c>
      <c r="AC159" s="132"/>
      <c r="AD159" s="22"/>
    </row>
    <row r="160" spans="1:30" s="23" customFormat="1" x14ac:dyDescent="0.3">
      <c r="A160" s="129"/>
      <c r="B160" s="230" t="s">
        <v>175</v>
      </c>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1">
        <f>X64</f>
        <v>0</v>
      </c>
      <c r="AC160" s="132"/>
      <c r="AD160" s="22"/>
    </row>
    <row r="161" spans="1:262" s="23" customFormat="1" x14ac:dyDescent="0.3">
      <c r="A161" s="129"/>
      <c r="B161" s="230" t="s">
        <v>249</v>
      </c>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1">
        <v>0</v>
      </c>
      <c r="AC161" s="132"/>
      <c r="AD161" s="22"/>
    </row>
    <row r="162" spans="1:262" s="23" customFormat="1" x14ac:dyDescent="0.3">
      <c r="A162" s="129"/>
      <c r="B162" s="230" t="s">
        <v>176</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AB159+AB160+AB161</f>
        <v>0</v>
      </c>
      <c r="AC162" s="132"/>
      <c r="AD162" s="22"/>
    </row>
    <row r="163" spans="1:262" x14ac:dyDescent="0.3">
      <c r="A163" s="7"/>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126"/>
      <c r="AC163" s="10"/>
      <c r="AD163" s="5"/>
    </row>
    <row r="164" spans="1:262" x14ac:dyDescent="0.3">
      <c r="A164" s="7"/>
      <c r="B164" s="125" t="s">
        <v>34</v>
      </c>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133"/>
      <c r="AC164" s="10"/>
      <c r="AD164" s="5"/>
    </row>
    <row r="165" spans="1:262" s="23" customFormat="1" x14ac:dyDescent="0.3">
      <c r="A165" s="47"/>
      <c r="B165" s="40" t="s">
        <v>35</v>
      </c>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98">
        <v>0</v>
      </c>
      <c r="AC165" s="43"/>
      <c r="AD165" s="22"/>
    </row>
    <row r="166" spans="1:262" s="23" customFormat="1" x14ac:dyDescent="0.3">
      <c r="A166" s="47"/>
      <c r="B166" s="40" t="s">
        <v>36</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8">
        <v>1</v>
      </c>
      <c r="AC166" s="43"/>
      <c r="AD166" s="22"/>
    </row>
    <row r="167" spans="1:262" s="23" customFormat="1" x14ac:dyDescent="0.3">
      <c r="A167" s="47"/>
      <c r="B167" s="40" t="s">
        <v>219</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8">
        <v>0</v>
      </c>
      <c r="AC167" s="43"/>
      <c r="AD167" s="22"/>
    </row>
    <row r="168" spans="1:262" s="23" customFormat="1" x14ac:dyDescent="0.3">
      <c r="A168" s="47"/>
      <c r="B168" s="40" t="s">
        <v>37</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+AB165+AB166+AB167</f>
        <v>1</v>
      </c>
      <c r="AC168" s="43"/>
      <c r="AD168" s="22"/>
    </row>
    <row r="169" spans="1:262" s="23" customFormat="1" x14ac:dyDescent="0.3">
      <c r="A169" s="47"/>
      <c r="B169" s="40" t="s">
        <v>268</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f>+AB99</f>
        <v>-1</v>
      </c>
      <c r="AC169" s="43"/>
      <c r="AD169" s="22"/>
    </row>
    <row r="170" spans="1:262" s="23" customFormat="1" x14ac:dyDescent="0.3">
      <c r="A170" s="47"/>
      <c r="B170" s="40" t="s">
        <v>38</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f>AB168+AB169</f>
        <v>0</v>
      </c>
      <c r="AC170" s="43"/>
      <c r="AD170" s="22"/>
    </row>
    <row r="171" spans="1:262" s="23" customFormat="1" x14ac:dyDescent="0.3">
      <c r="A171" s="47"/>
      <c r="B171" s="40" t="s">
        <v>124</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-AB85</f>
        <v>0</v>
      </c>
      <c r="AC171" s="43"/>
      <c r="AD171" s="22"/>
    </row>
    <row r="172" spans="1:262" ht="16.2" thickBot="1" x14ac:dyDescent="0.35">
      <c r="A172" s="7"/>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126"/>
      <c r="AC172" s="10"/>
      <c r="AD172" s="5"/>
    </row>
    <row r="173" spans="1:262" x14ac:dyDescent="0.3">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134"/>
      <c r="AC173" s="4"/>
      <c r="AD173" s="5"/>
    </row>
    <row r="174" spans="1:262" s="136" customFormat="1" x14ac:dyDescent="0.3">
      <c r="A174" s="7"/>
      <c r="B174" s="125" t="s">
        <v>193</v>
      </c>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135"/>
      <c r="AC174" s="10"/>
      <c r="AD174" s="5"/>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row>
    <row r="175" spans="1:262" s="137" customFormat="1" x14ac:dyDescent="0.3">
      <c r="A175" s="47"/>
      <c r="B175" s="40" t="s">
        <v>332</v>
      </c>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98">
        <v>0</v>
      </c>
      <c r="AC175" s="43"/>
      <c r="AD175" s="22"/>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row>
    <row r="176" spans="1:262" s="137" customFormat="1" x14ac:dyDescent="0.3">
      <c r="A176" s="47"/>
      <c r="B176" s="40" t="s">
        <v>210</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8">
        <f>+'December 2023'!AB179</f>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7" customFormat="1" x14ac:dyDescent="0.3">
      <c r="A177" s="47"/>
      <c r="B177" s="40" t="s">
        <v>234</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8">
        <f>-AB185</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7" customFormat="1" x14ac:dyDescent="0.3">
      <c r="A178" s="47"/>
      <c r="B178" s="40" t="s">
        <v>236</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f>+AB81</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207</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+AB176+AB177-AB178</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9" customFormat="1" ht="16.2" thickBot="1" x14ac:dyDescent="0.35">
      <c r="A180" s="138"/>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126"/>
      <c r="AC180" s="10"/>
      <c r="AD180" s="5"/>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row>
    <row r="181" spans="1:262" x14ac:dyDescent="0.3">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134"/>
      <c r="AC181" s="4"/>
      <c r="AD181" s="5"/>
    </row>
    <row r="182" spans="1:262" s="136" customFormat="1" x14ac:dyDescent="0.3">
      <c r="A182" s="7"/>
      <c r="B182" s="125" t="s">
        <v>206</v>
      </c>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135"/>
      <c r="AC182" s="10"/>
      <c r="AD182" s="5"/>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row>
    <row r="183" spans="1:262" s="137" customFormat="1" x14ac:dyDescent="0.3">
      <c r="A183" s="47"/>
      <c r="B183" s="40" t="s">
        <v>208</v>
      </c>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98">
        <v>300</v>
      </c>
      <c r="AC183" s="43"/>
      <c r="AD183" s="22"/>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row>
    <row r="184" spans="1:262" s="137" customFormat="1" x14ac:dyDescent="0.3">
      <c r="A184" s="47"/>
      <c r="B184" s="40" t="s">
        <v>211</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98">
        <f>+'December 2023'!AB187</f>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7" customFormat="1" x14ac:dyDescent="0.3">
      <c r="A185" s="47"/>
      <c r="B185" s="59" t="s">
        <v>228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8">
        <v>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7" customFormat="1" x14ac:dyDescent="0.3">
      <c r="A186" s="47"/>
      <c r="B186" s="59" t="s">
        <v>229</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f>-AB100</f>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209</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AB183-AB185+AB186</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9" customFormat="1" ht="16.2" thickBot="1" x14ac:dyDescent="0.35">
      <c r="A188" s="138"/>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126"/>
      <c r="AC188" s="10"/>
      <c r="AD188" s="5"/>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row>
    <row r="189" spans="1:262" x14ac:dyDescent="0.3">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134"/>
      <c r="AC189" s="4"/>
      <c r="AD189" s="5"/>
    </row>
    <row r="190" spans="1:262" s="136" customFormat="1" x14ac:dyDescent="0.3">
      <c r="A190" s="7"/>
      <c r="B190" s="125" t="s">
        <v>212</v>
      </c>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135"/>
      <c r="AC190" s="10"/>
      <c r="AD190" s="5"/>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row>
    <row r="191" spans="1:262" s="137" customFormat="1" x14ac:dyDescent="0.3">
      <c r="A191" s="47"/>
      <c r="B191" s="40" t="s">
        <v>334</v>
      </c>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98">
        <v>0</v>
      </c>
      <c r="AC191" s="43"/>
      <c r="AD191" s="22"/>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row>
    <row r="192" spans="1:262" s="137" customFormat="1" x14ac:dyDescent="0.3">
      <c r="A192" s="47"/>
      <c r="B192" s="40" t="s">
        <v>213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98">
        <f>+'December 2023'!AB195</f>
        <v>2882</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7" customFormat="1" x14ac:dyDescent="0.3">
      <c r="A193" s="47"/>
      <c r="B193" s="40" t="s">
        <v>235</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8">
        <f>AB201</f>
        <v>3098</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7"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f>AB82</f>
        <v>2443</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346</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AB192+AB193-AB194</f>
        <v>3537</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9" customFormat="1" ht="16.2" thickBot="1" x14ac:dyDescent="0.35">
      <c r="A196" s="138"/>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126"/>
      <c r="AC196" s="10"/>
      <c r="AD196" s="5"/>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row>
    <row r="197" spans="1:262" x14ac:dyDescent="0.3">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134"/>
      <c r="AC197" s="4"/>
      <c r="AD197" s="5"/>
    </row>
    <row r="198" spans="1:262" s="136" customFormat="1" x14ac:dyDescent="0.3">
      <c r="A198" s="7"/>
      <c r="B198" s="125" t="s">
        <v>333</v>
      </c>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135"/>
      <c r="AC198" s="10"/>
      <c r="AD198" s="5"/>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row>
    <row r="199" spans="1:262" s="137" customFormat="1" x14ac:dyDescent="0.3">
      <c r="A199" s="47"/>
      <c r="B199" s="40" t="s">
        <v>214</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v>301</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7" customFormat="1" x14ac:dyDescent="0.3">
      <c r="A200" s="47"/>
      <c r="B200" s="40" t="s">
        <v>215</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98">
        <f>+'December 2023'!AB203</f>
        <v>3188</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7" customFormat="1" x14ac:dyDescent="0.3">
      <c r="A201" s="47"/>
      <c r="B201" s="59" t="s">
        <v>256</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8">
        <v>3098</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7" customFormat="1" x14ac:dyDescent="0.3">
      <c r="A202" s="47"/>
      <c r="B202" s="59" t="s">
        <v>231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f>-AB101</f>
        <v>3000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AB200-AB201+AB202</f>
        <v>3090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9" customFormat="1" ht="16.2" thickBot="1" x14ac:dyDescent="0.35">
      <c r="A204" s="138"/>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126"/>
      <c r="AC204" s="10"/>
      <c r="AD204" s="5"/>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row>
    <row r="205" spans="1:262" x14ac:dyDescent="0.3">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134"/>
      <c r="AC205" s="4"/>
      <c r="AD205" s="5"/>
    </row>
    <row r="206" spans="1:262" s="136" customFormat="1" x14ac:dyDescent="0.3">
      <c r="A206" s="7"/>
      <c r="B206" s="125" t="s">
        <v>237</v>
      </c>
      <c r="C206" s="99"/>
      <c r="D206" s="99"/>
      <c r="E206" s="99"/>
      <c r="F206" s="99"/>
      <c r="G206" s="99"/>
      <c r="H206" s="99"/>
      <c r="I206" s="99"/>
      <c r="J206" s="99"/>
      <c r="K206" s="99"/>
      <c r="L206" s="99"/>
      <c r="M206" s="99"/>
      <c r="N206" s="99"/>
      <c r="O206" s="99"/>
      <c r="P206" s="99"/>
      <c r="Q206" s="99"/>
      <c r="R206" s="99"/>
      <c r="S206" s="99"/>
      <c r="T206" s="99"/>
      <c r="U206" s="99"/>
      <c r="V206" s="99"/>
      <c r="W206" s="99"/>
      <c r="X206" s="99"/>
      <c r="Y206" s="233" t="s">
        <v>243</v>
      </c>
      <c r="Z206" s="233" t="s">
        <v>244</v>
      </c>
      <c r="AA206" s="12"/>
      <c r="AB206" s="234" t="s">
        <v>80</v>
      </c>
      <c r="AC206" s="10"/>
      <c r="AD206" s="5"/>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row>
    <row r="207" spans="1:262" s="137" customFormat="1" x14ac:dyDescent="0.3">
      <c r="A207" s="47"/>
      <c r="B207" s="40" t="s">
        <v>238</v>
      </c>
      <c r="C207" s="40"/>
      <c r="D207" s="40"/>
      <c r="E207" s="40"/>
      <c r="F207" s="40"/>
      <c r="G207" s="40"/>
      <c r="H207" s="40"/>
      <c r="I207" s="40"/>
      <c r="J207" s="40"/>
      <c r="K207" s="40"/>
      <c r="L207" s="40"/>
      <c r="M207" s="40"/>
      <c r="N207" s="40"/>
      <c r="O207" s="40"/>
      <c r="P207" s="40"/>
      <c r="Q207" s="40"/>
      <c r="R207" s="40"/>
      <c r="S207" s="40"/>
      <c r="T207" s="40"/>
      <c r="U207" s="40"/>
      <c r="V207" s="40"/>
      <c r="W207" s="40"/>
      <c r="X207" s="40"/>
      <c r="Y207" s="98">
        <f>SUM(F29:R29)*0.16</f>
        <v>124206.40000000001</v>
      </c>
      <c r="Z207" s="70"/>
      <c r="AA207" s="40"/>
      <c r="AB207" s="98"/>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7" customFormat="1" x14ac:dyDescent="0.3">
      <c r="A208" s="47"/>
      <c r="B208" s="40" t="s">
        <v>239</v>
      </c>
      <c r="C208" s="40"/>
      <c r="D208" s="40"/>
      <c r="E208" s="40"/>
      <c r="F208" s="40"/>
      <c r="G208" s="40"/>
      <c r="H208" s="40"/>
      <c r="I208" s="40"/>
      <c r="J208" s="40"/>
      <c r="K208" s="40"/>
      <c r="L208" s="40"/>
      <c r="M208" s="40"/>
      <c r="N208" s="40"/>
      <c r="O208" s="40"/>
      <c r="P208" s="40"/>
      <c r="Q208" s="40"/>
      <c r="R208" s="40"/>
      <c r="S208" s="40"/>
      <c r="T208" s="40"/>
      <c r="U208" s="40"/>
      <c r="V208" s="40"/>
      <c r="W208" s="40"/>
      <c r="X208" s="40"/>
      <c r="Y208" s="98">
        <f>+'December 2023'!Y210</f>
        <v>0</v>
      </c>
      <c r="Z208" s="98">
        <f>+'December 2023'!Z210</f>
        <v>382</v>
      </c>
      <c r="AA208" s="40"/>
      <c r="AB208" s="98">
        <f>Y208+Z208</f>
        <v>382</v>
      </c>
      <c r="AC208" s="43"/>
      <c r="AD208" s="22"/>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row>
    <row r="209" spans="1:262" s="137" customFormat="1" x14ac:dyDescent="0.3">
      <c r="A209" s="47"/>
      <c r="B209" s="40" t="s">
        <v>240</v>
      </c>
      <c r="C209" s="40"/>
      <c r="D209" s="40"/>
      <c r="E209" s="40"/>
      <c r="F209" s="40"/>
      <c r="G209" s="40"/>
      <c r="H209" s="40"/>
      <c r="I209" s="40"/>
      <c r="J209" s="40"/>
      <c r="K209" s="40"/>
      <c r="L209" s="40"/>
      <c r="M209" s="40"/>
      <c r="N209" s="40"/>
      <c r="O209" s="40"/>
      <c r="P209" s="40"/>
      <c r="Q209" s="40"/>
      <c r="R209" s="40"/>
      <c r="S209" s="40"/>
      <c r="T209" s="40"/>
      <c r="U209" s="40"/>
      <c r="V209" s="40"/>
      <c r="W209" s="40"/>
      <c r="X209" s="40"/>
      <c r="Y209" s="97">
        <v>0</v>
      </c>
      <c r="Z209" s="97">
        <v>0</v>
      </c>
      <c r="AA209" s="40"/>
      <c r="AB209" s="98">
        <f>Y209+Z209</f>
        <v>0</v>
      </c>
      <c r="AC209" s="43"/>
      <c r="AD209" s="22"/>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row>
    <row r="210" spans="1:262" s="137" customFormat="1" x14ac:dyDescent="0.3">
      <c r="A210" s="47"/>
      <c r="B210" s="40" t="s">
        <v>241</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Y208+Y209</f>
        <v>0</v>
      </c>
      <c r="Z210" s="98">
        <f>Z209+Z208</f>
        <v>382</v>
      </c>
      <c r="AA210" s="40"/>
      <c r="AB210" s="98">
        <f>Y210+Z210</f>
        <v>382</v>
      </c>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242</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Y207-Y210-Z210</f>
        <v>123824.40000000001</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9" customFormat="1" ht="16.2" thickBot="1" x14ac:dyDescent="0.35">
      <c r="A212" s="138"/>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126"/>
      <c r="AC212" s="10"/>
      <c r="AD212" s="5"/>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row>
    <row r="213" spans="1:262" x14ac:dyDescent="0.3">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134"/>
      <c r="AC213" s="4"/>
      <c r="AD213" s="5"/>
    </row>
    <row r="214" spans="1:262" s="136" customFormat="1" x14ac:dyDescent="0.3">
      <c r="A214" s="7"/>
      <c r="B214" s="125" t="s">
        <v>267</v>
      </c>
      <c r="C214" s="99"/>
      <c r="D214" s="99"/>
      <c r="E214" s="99"/>
      <c r="F214" s="99"/>
      <c r="G214" s="99"/>
      <c r="H214" s="99"/>
      <c r="I214" s="99"/>
      <c r="J214" s="99"/>
      <c r="K214" s="99"/>
      <c r="L214" s="99"/>
      <c r="M214" s="99"/>
      <c r="N214" s="99"/>
      <c r="O214" s="99"/>
      <c r="P214" s="99"/>
      <c r="Q214" s="99"/>
      <c r="R214" s="99"/>
      <c r="S214" s="99"/>
      <c r="T214" s="99"/>
      <c r="U214" s="99"/>
      <c r="V214" s="99"/>
      <c r="W214" s="99"/>
      <c r="X214" s="99"/>
      <c r="Y214" s="233"/>
      <c r="Z214" s="233"/>
      <c r="AA214" s="12"/>
      <c r="AB214" s="234" t="s">
        <v>80</v>
      </c>
      <c r="AC214" s="10"/>
      <c r="AD214" s="5"/>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row>
    <row r="215" spans="1:262" s="137" customFormat="1" x14ac:dyDescent="0.3">
      <c r="A215" s="47"/>
      <c r="B215" s="40" t="s">
        <v>371</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c r="Z215" s="70"/>
      <c r="AA215" s="40"/>
      <c r="AB215" s="237">
        <v>582000</v>
      </c>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7" customFormat="1" x14ac:dyDescent="0.3">
      <c r="A216" s="47"/>
      <c r="B216" s="40" t="s">
        <v>325</v>
      </c>
      <c r="C216" s="40"/>
      <c r="D216" s="40"/>
      <c r="E216" s="40"/>
      <c r="F216" s="40"/>
      <c r="G216" s="40"/>
      <c r="H216" s="40"/>
      <c r="I216" s="40"/>
      <c r="J216" s="40"/>
      <c r="K216" s="40"/>
      <c r="L216" s="40"/>
      <c r="M216" s="40"/>
      <c r="N216" s="40"/>
      <c r="O216" s="40"/>
      <c r="P216" s="40"/>
      <c r="Q216" s="40"/>
      <c r="R216" s="40"/>
      <c r="S216" s="40"/>
      <c r="T216" s="40"/>
      <c r="U216" s="40"/>
      <c r="V216" s="40"/>
      <c r="W216" s="40"/>
      <c r="X216" s="40"/>
      <c r="Y216" s="98"/>
      <c r="Z216" s="98"/>
      <c r="AA216" s="40"/>
      <c r="AB216" s="237">
        <v>586547</v>
      </c>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7" customFormat="1" x14ac:dyDescent="0.3">
      <c r="A217" s="47"/>
      <c r="B217" s="40" t="s">
        <v>266</v>
      </c>
      <c r="C217" s="40"/>
      <c r="D217" s="40"/>
      <c r="E217" s="40"/>
      <c r="F217" s="40"/>
      <c r="G217" s="40"/>
      <c r="H217" s="40"/>
      <c r="I217" s="40"/>
      <c r="J217" s="40"/>
      <c r="K217" s="40"/>
      <c r="L217" s="40"/>
      <c r="M217" s="40"/>
      <c r="N217" s="40"/>
      <c r="O217" s="40"/>
      <c r="P217" s="40"/>
      <c r="Q217" s="40"/>
      <c r="R217" s="40"/>
      <c r="S217" s="40"/>
      <c r="T217" s="40"/>
      <c r="U217" s="40"/>
      <c r="V217" s="40"/>
      <c r="W217" s="40"/>
      <c r="X217" s="40"/>
      <c r="Y217" s="98"/>
      <c r="Z217" s="98"/>
      <c r="AA217" s="40"/>
      <c r="AB217" s="98">
        <f>AB215-AB216</f>
        <v>-4547</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7" customFormat="1" x14ac:dyDescent="0.3">
      <c r="A218" s="47"/>
      <c r="B218" s="40" t="s">
        <v>279</v>
      </c>
      <c r="C218" s="40"/>
      <c r="D218" s="40"/>
      <c r="E218" s="40"/>
      <c r="F218" s="40"/>
      <c r="G218" s="40"/>
      <c r="H218" s="40"/>
      <c r="I218" s="40"/>
      <c r="J218" s="40"/>
      <c r="K218" s="40"/>
      <c r="L218" s="40"/>
      <c r="M218" s="40"/>
      <c r="N218" s="40"/>
      <c r="O218" s="40"/>
      <c r="P218" s="40"/>
      <c r="Q218" s="40"/>
      <c r="R218" s="40"/>
      <c r="S218" s="40"/>
      <c r="T218" s="40"/>
      <c r="U218" s="40"/>
      <c r="V218" s="40"/>
      <c r="W218" s="40"/>
      <c r="X218" s="40"/>
      <c r="Y218" s="97"/>
      <c r="Z218" s="97"/>
      <c r="AA218" s="40"/>
      <c r="AB218" s="240">
        <v>6.3149570446735404E-3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9" customFormat="1" ht="16.2" thickBot="1" x14ac:dyDescent="0.35">
      <c r="A219" s="138"/>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126"/>
      <c r="AC219" s="10"/>
      <c r="AD219" s="5"/>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row>
    <row r="220" spans="1:262" x14ac:dyDescent="0.3">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134"/>
      <c r="AC220" s="4"/>
      <c r="AD220" s="5"/>
    </row>
    <row r="221" spans="1:262" x14ac:dyDescent="0.3">
      <c r="A221" s="7"/>
      <c r="B221" s="125" t="s">
        <v>39</v>
      </c>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140"/>
      <c r="AC221" s="10"/>
      <c r="AD221" s="5"/>
    </row>
    <row r="222" spans="1:262" s="23" customFormat="1" x14ac:dyDescent="0.3">
      <c r="A222" s="47"/>
      <c r="B222" s="40" t="s">
        <v>40</v>
      </c>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142">
        <f>(AB86+AB88+AB89+AB90+AB91)/-AB92</f>
        <v>1.9597266292409079</v>
      </c>
      <c r="AC222" s="43" t="s">
        <v>81</v>
      </c>
      <c r="AD222" s="22"/>
    </row>
    <row r="223" spans="1:262" s="23" customFormat="1" x14ac:dyDescent="0.3">
      <c r="A223" s="47"/>
      <c r="B223" s="40" t="s">
        <v>41</v>
      </c>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142">
        <v>2.34</v>
      </c>
      <c r="AC223" s="43" t="s">
        <v>81</v>
      </c>
      <c r="AD223" s="22"/>
    </row>
    <row r="224" spans="1:262" s="23" customFormat="1" x14ac:dyDescent="0.3">
      <c r="A224" s="47"/>
      <c r="B224" s="40" t="s">
        <v>144</v>
      </c>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141">
        <f>(AB86+AB88+AB89+AB90+AB91+AB92)/-(AB93)</f>
        <v>11.218259629101285</v>
      </c>
      <c r="AC224" s="43" t="s">
        <v>81</v>
      </c>
      <c r="AD224" s="22"/>
    </row>
    <row r="225" spans="1:30" s="23" customFormat="1" x14ac:dyDescent="0.3">
      <c r="A225" s="47"/>
      <c r="B225" s="40" t="s">
        <v>145</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v>15.7</v>
      </c>
      <c r="AC225" s="43" t="s">
        <v>81</v>
      </c>
      <c r="AD225" s="22"/>
    </row>
    <row r="226" spans="1:30" s="23" customFormat="1" x14ac:dyDescent="0.3">
      <c r="A226" s="47"/>
      <c r="B226" s="40" t="s">
        <v>146</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1">
        <f>(AB86+AB88+AB89+AB90+AB91+AB92+AB93)/-(AB95)</f>
        <v>17.952380952380953</v>
      </c>
      <c r="AC226" s="43" t="s">
        <v>81</v>
      </c>
      <c r="AD226" s="22"/>
    </row>
    <row r="227" spans="1:30" s="23" customFormat="1" x14ac:dyDescent="0.3">
      <c r="A227" s="47"/>
      <c r="B227" s="40" t="s">
        <v>147</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24.79</v>
      </c>
      <c r="AC227" s="43" t="s">
        <v>81</v>
      </c>
      <c r="AD227" s="22"/>
    </row>
    <row r="228" spans="1:30" s="23" customFormat="1" x14ac:dyDescent="0.3">
      <c r="A228" s="47"/>
      <c r="B228" s="40" t="s">
        <v>177</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(AB86+AB88+AB89+AB90+AB91+AB92+AB93+AB95)/-(AB96)</f>
        <v>16.259615384615383</v>
      </c>
      <c r="AC228" s="43" t="s">
        <v>81</v>
      </c>
      <c r="AD228" s="22"/>
    </row>
    <row r="229" spans="1:30" s="23" customFormat="1" x14ac:dyDescent="0.3">
      <c r="A229" s="47"/>
      <c r="B229" s="40" t="s">
        <v>178</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22</v>
      </c>
      <c r="AC229" s="43" t="s">
        <v>81</v>
      </c>
      <c r="AD229" s="22"/>
    </row>
    <row r="230" spans="1:30" s="23" customFormat="1" x14ac:dyDescent="0.3">
      <c r="A230" s="47"/>
      <c r="B230" s="40" t="s">
        <v>164</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(AB86+AB88+AB89+AB90+AB91+AB92+AB93+AB95+AB96)/-(AB105)</f>
        <v>12.374269005847953</v>
      </c>
      <c r="AC230" s="43" t="s">
        <v>81</v>
      </c>
      <c r="AD230" s="22"/>
    </row>
    <row r="231" spans="1:30" s="23" customFormat="1" x14ac:dyDescent="0.3">
      <c r="A231" s="47"/>
      <c r="B231" s="40" t="s">
        <v>165</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15.5</v>
      </c>
      <c r="AC231" s="43" t="s">
        <v>81</v>
      </c>
      <c r="AD231" s="22"/>
    </row>
    <row r="232" spans="1:30" s="23" customFormat="1" x14ac:dyDescent="0.3">
      <c r="A232" s="18"/>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21"/>
      <c r="AD232" s="22"/>
    </row>
    <row r="233" spans="1:30" s="23" customFormat="1" x14ac:dyDescent="0.3">
      <c r="A233" s="18"/>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1"/>
      <c r="AD233" s="22"/>
    </row>
    <row r="234" spans="1:30" s="23" customFormat="1" ht="18.600000000000001" thickBot="1" x14ac:dyDescent="0.4">
      <c r="A234" s="83"/>
      <c r="B234" s="84" t="str">
        <f>B131</f>
        <v>PM27 INVESTOR REPORT QUARTER ENDING MARCH 2024</v>
      </c>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7"/>
      <c r="AD234" s="22"/>
    </row>
    <row r="235" spans="1:30" x14ac:dyDescent="0.3">
      <c r="A235" s="119"/>
      <c r="B235" s="120" t="s">
        <v>42</v>
      </c>
      <c r="C235" s="143"/>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v>45379</v>
      </c>
      <c r="AA235" s="121"/>
      <c r="AB235" s="121"/>
      <c r="AC235" s="123"/>
      <c r="AD235" s="5"/>
    </row>
    <row r="236" spans="1:30" x14ac:dyDescent="0.3">
      <c r="A236" s="145"/>
      <c r="B236" s="146"/>
      <c r="C236" s="147"/>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9"/>
      <c r="AB236" s="9"/>
      <c r="AC236" s="10"/>
      <c r="AD236" s="5"/>
    </row>
    <row r="237" spans="1:30" s="23" customFormat="1" x14ac:dyDescent="0.3">
      <c r="A237" s="47"/>
      <c r="B237" s="40" t="s">
        <v>43</v>
      </c>
      <c r="C237" s="149"/>
      <c r="D237" s="73"/>
      <c r="E237" s="73"/>
      <c r="F237" s="73"/>
      <c r="G237" s="73"/>
      <c r="H237" s="73"/>
      <c r="I237" s="73"/>
      <c r="J237" s="73"/>
      <c r="K237" s="73"/>
      <c r="L237" s="73"/>
      <c r="M237" s="73"/>
      <c r="N237" s="73"/>
      <c r="O237" s="73"/>
      <c r="P237" s="73"/>
      <c r="Q237" s="73"/>
      <c r="R237" s="73"/>
      <c r="S237" s="73"/>
      <c r="T237" s="73"/>
      <c r="U237" s="73"/>
      <c r="V237" s="73"/>
      <c r="W237" s="73"/>
      <c r="X237" s="73"/>
      <c r="Y237" s="73"/>
      <c r="Z237" s="67">
        <v>3.5749999999999997E-2</v>
      </c>
      <c r="AA237" s="40"/>
      <c r="AB237" s="40"/>
      <c r="AC237" s="43"/>
      <c r="AD237" s="22"/>
    </row>
    <row r="238" spans="1:30" s="23" customFormat="1" x14ac:dyDescent="0.3">
      <c r="A238" s="47"/>
      <c r="B238" s="40" t="s">
        <v>132</v>
      </c>
      <c r="C238" s="149"/>
      <c r="D238" s="73"/>
      <c r="E238" s="73"/>
      <c r="F238" s="73"/>
      <c r="G238" s="73"/>
      <c r="H238" s="73"/>
      <c r="I238" s="73"/>
      <c r="J238" s="73"/>
      <c r="K238" s="73"/>
      <c r="L238" s="73"/>
      <c r="M238" s="73"/>
      <c r="N238" s="73"/>
      <c r="O238" s="73"/>
      <c r="P238" s="73"/>
      <c r="Q238" s="73"/>
      <c r="R238" s="73"/>
      <c r="S238" s="73"/>
      <c r="T238" s="73"/>
      <c r="U238" s="73"/>
      <c r="V238" s="73"/>
      <c r="W238" s="73"/>
      <c r="X238" s="73"/>
      <c r="Y238" s="73"/>
      <c r="Z238" s="67">
        <v>1.3036129402559968E-2</v>
      </c>
      <c r="AA238" s="40"/>
      <c r="AB238" s="40"/>
      <c r="AC238" s="43"/>
      <c r="AD238" s="22"/>
    </row>
    <row r="239" spans="1:30" s="23" customFormat="1" x14ac:dyDescent="0.3">
      <c r="A239" s="47"/>
      <c r="B239" s="40" t="s">
        <v>44</v>
      </c>
      <c r="C239" s="149"/>
      <c r="D239" s="73"/>
      <c r="E239" s="73"/>
      <c r="F239" s="73"/>
      <c r="G239" s="73"/>
      <c r="H239" s="73"/>
      <c r="I239" s="73"/>
      <c r="J239" s="73"/>
      <c r="K239" s="73"/>
      <c r="L239" s="73"/>
      <c r="M239" s="73"/>
      <c r="N239" s="73"/>
      <c r="O239" s="73"/>
      <c r="P239" s="73"/>
      <c r="Q239" s="73"/>
      <c r="R239" s="73"/>
      <c r="S239" s="73"/>
      <c r="T239" s="73"/>
      <c r="U239" s="73"/>
      <c r="V239" s="73"/>
      <c r="W239" s="73"/>
      <c r="X239" s="73"/>
      <c r="Y239" s="73"/>
      <c r="Z239" s="67">
        <f>Z237-Z238</f>
        <v>2.2713870597440029E-2</v>
      </c>
      <c r="AA239" s="40"/>
      <c r="AB239" s="40"/>
      <c r="AC239" s="43"/>
      <c r="AD239" s="22"/>
    </row>
    <row r="240" spans="1:30" s="23" customFormat="1" x14ac:dyDescent="0.3">
      <c r="A240" s="47"/>
      <c r="B240" s="40" t="s">
        <v>45</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4.0690675986189147E-2</v>
      </c>
      <c r="AA240" s="40"/>
      <c r="AB240" s="40"/>
      <c r="AC240" s="43"/>
      <c r="AD240" s="22"/>
    </row>
    <row r="241" spans="1:30" s="23" customFormat="1" x14ac:dyDescent="0.3">
      <c r="A241" s="47"/>
      <c r="B241" s="40" t="s">
        <v>133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f>+AB35</f>
        <v>6.4879179731841263E-2</v>
      </c>
      <c r="AA241" s="40"/>
      <c r="AB241" s="40"/>
      <c r="AC241" s="43"/>
      <c r="AD241" s="22"/>
    </row>
    <row r="242" spans="1:30" s="23" customFormat="1" x14ac:dyDescent="0.3">
      <c r="A242" s="47"/>
      <c r="B242" s="40" t="s">
        <v>373</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v>0</v>
      </c>
      <c r="AA242" s="40"/>
      <c r="AB242" s="40"/>
      <c r="AC242" s="43"/>
      <c r="AD242" s="22"/>
    </row>
    <row r="243" spans="1:30" s="23" customFormat="1" x14ac:dyDescent="0.3">
      <c r="A243" s="47"/>
      <c r="B243" s="40" t="s">
        <v>119</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(+AB86+AB88+AB91)/R66</f>
        <v>2.5960587625685285E-2</v>
      </c>
      <c r="AA243" s="40"/>
      <c r="AB243" s="40"/>
      <c r="AC243" s="43"/>
      <c r="AD243" s="22"/>
    </row>
    <row r="244" spans="1:30" s="23" customFormat="1" x14ac:dyDescent="0.3">
      <c r="A244" s="47"/>
      <c r="B244" s="40" t="s">
        <v>112</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150">
        <v>53797</v>
      </c>
      <c r="AA244" s="40"/>
      <c r="AB244" s="40"/>
      <c r="AC244" s="43"/>
      <c r="AD244" s="22"/>
    </row>
    <row r="245" spans="1:30" s="23" customFormat="1" x14ac:dyDescent="0.3">
      <c r="A245" s="47"/>
      <c r="B245" s="40" t="s">
        <v>148</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150">
        <v>53797</v>
      </c>
      <c r="AA245" s="40"/>
      <c r="AB245" s="40"/>
      <c r="AC245" s="43"/>
      <c r="AD245" s="22"/>
    </row>
    <row r="246" spans="1:30" s="23" customFormat="1" x14ac:dyDescent="0.3">
      <c r="A246" s="47"/>
      <c r="B246" s="40" t="s">
        <v>149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150">
        <v>53797</v>
      </c>
      <c r="AA246" s="40"/>
      <c r="AB246" s="40"/>
      <c r="AC246" s="43"/>
      <c r="AD246" s="22"/>
    </row>
    <row r="247" spans="1:30" s="23" customFormat="1" x14ac:dyDescent="0.3">
      <c r="A247" s="47"/>
      <c r="B247" s="40" t="s">
        <v>179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53797</v>
      </c>
      <c r="AA247" s="40"/>
      <c r="AB247" s="40"/>
      <c r="AC247" s="43"/>
      <c r="AD247" s="22"/>
    </row>
    <row r="248" spans="1:30" s="23" customFormat="1" x14ac:dyDescent="0.3">
      <c r="A248" s="47"/>
      <c r="B248" s="40" t="s">
        <v>166</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53797</v>
      </c>
      <c r="AA248" s="40"/>
      <c r="AB248" s="40"/>
      <c r="AC248" s="43"/>
      <c r="AD248" s="22"/>
    </row>
    <row r="249" spans="1:30" s="23" customFormat="1" x14ac:dyDescent="0.3">
      <c r="A249" s="47"/>
      <c r="B249" s="40" t="s">
        <v>194</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53797</v>
      </c>
      <c r="AA249" s="40"/>
      <c r="AB249" s="40"/>
      <c r="AC249" s="43"/>
      <c r="AD249" s="22"/>
    </row>
    <row r="250" spans="1:30" s="23" customFormat="1" x14ac:dyDescent="0.3">
      <c r="A250" s="47"/>
      <c r="B250" s="40" t="s">
        <v>195</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53797</v>
      </c>
      <c r="AA250" s="40"/>
      <c r="AB250" s="40"/>
      <c r="AC250" s="43"/>
      <c r="AD250" s="22"/>
    </row>
    <row r="251" spans="1:30" s="23" customFormat="1" x14ac:dyDescent="0.3">
      <c r="A251" s="47"/>
      <c r="B251" s="40" t="s">
        <v>47</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71">
        <v>21.18</v>
      </c>
      <c r="AA251" s="40" t="s">
        <v>76</v>
      </c>
      <c r="AB251" s="40"/>
      <c r="AC251" s="43"/>
      <c r="AD251" s="22"/>
    </row>
    <row r="252" spans="1:30" s="23" customFormat="1" x14ac:dyDescent="0.3">
      <c r="A252" s="47"/>
      <c r="B252" s="40" t="s">
        <v>48</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71">
        <v>17.37</v>
      </c>
      <c r="AA252" s="40" t="s">
        <v>76</v>
      </c>
      <c r="AB252" s="40"/>
      <c r="AC252" s="43"/>
      <c r="AD252" s="22"/>
    </row>
    <row r="253" spans="1:30" s="23" customFormat="1" x14ac:dyDescent="0.3">
      <c r="A253" s="47"/>
      <c r="B253" s="40" t="s">
        <v>49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67">
        <f>(+T57+V57+Z57)/(R57+R63+R64)</f>
        <v>1.1513602885916128E-2</v>
      </c>
      <c r="AA253" s="40"/>
      <c r="AB253" s="40"/>
      <c r="AC253" s="43"/>
      <c r="AD253" s="22"/>
    </row>
    <row r="254" spans="1:30" s="23" customFormat="1" x14ac:dyDescent="0.3">
      <c r="A254" s="47"/>
      <c r="B254" s="40" t="s">
        <v>50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299">
        <v>4.8300000000000003E-2</v>
      </c>
      <c r="AA254" s="40"/>
      <c r="AB254" s="40"/>
      <c r="AC254" s="43"/>
      <c r="AD254" s="22"/>
    </row>
    <row r="255" spans="1:30" x14ac:dyDescent="0.3">
      <c r="A255" s="145"/>
      <c r="B255" s="151"/>
      <c r="C255" s="151"/>
      <c r="D255" s="99"/>
      <c r="E255" s="99"/>
      <c r="F255" s="99"/>
      <c r="G255" s="99"/>
      <c r="H255" s="99"/>
      <c r="I255" s="99"/>
      <c r="J255" s="99"/>
      <c r="K255" s="99"/>
      <c r="L255" s="99"/>
      <c r="M255" s="99"/>
      <c r="N255" s="99"/>
      <c r="O255" s="99"/>
      <c r="P255" s="99"/>
      <c r="Q255" s="99"/>
      <c r="R255" s="99"/>
      <c r="S255" s="99"/>
      <c r="T255" s="99"/>
      <c r="U255" s="99"/>
      <c r="V255" s="99"/>
      <c r="W255" s="99"/>
      <c r="X255" s="99"/>
      <c r="Y255" s="99"/>
      <c r="Z255" s="126"/>
      <c r="AA255" s="99"/>
      <c r="AB255" s="152"/>
      <c r="AC255" s="10"/>
      <c r="AD255" s="5"/>
    </row>
    <row r="256" spans="1:30" x14ac:dyDescent="0.3">
      <c r="A256" s="153"/>
      <c r="B256" s="102" t="s">
        <v>51</v>
      </c>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t="s">
        <v>69</v>
      </c>
      <c r="Z256" s="154" t="s">
        <v>74</v>
      </c>
      <c r="AA256" s="34"/>
      <c r="AB256" s="34"/>
      <c r="AC256" s="36"/>
      <c r="AD256" s="5"/>
    </row>
    <row r="257" spans="1:30" s="23" customFormat="1" x14ac:dyDescent="0.3">
      <c r="A257" s="155"/>
      <c r="B257" s="37" t="s">
        <v>52</v>
      </c>
      <c r="C257" s="10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v>0</v>
      </c>
      <c r="Z257" s="157">
        <v>0</v>
      </c>
      <c r="AA257" s="37"/>
      <c r="AB257" s="158"/>
      <c r="AC257" s="159"/>
      <c r="AD257" s="22"/>
    </row>
    <row r="258" spans="1:30" s="23" customFormat="1" x14ac:dyDescent="0.3">
      <c r="A258" s="160"/>
      <c r="B258" s="40" t="s">
        <v>97</v>
      </c>
      <c r="C258" s="97"/>
      <c r="D258" s="48"/>
      <c r="E258" s="48"/>
      <c r="F258" s="48"/>
      <c r="G258" s="48"/>
      <c r="H258" s="48"/>
      <c r="I258" s="48"/>
      <c r="J258" s="48"/>
      <c r="K258" s="48"/>
      <c r="L258" s="48"/>
      <c r="M258" s="48"/>
      <c r="N258" s="48"/>
      <c r="O258" s="48"/>
      <c r="P258" s="48"/>
      <c r="Q258" s="48"/>
      <c r="R258" s="48"/>
      <c r="S258" s="48"/>
      <c r="T258" s="48"/>
      <c r="U258" s="48"/>
      <c r="V258" s="48"/>
      <c r="W258" s="48"/>
      <c r="X258" s="48"/>
      <c r="Y258" s="161">
        <f>+X310</f>
        <v>2</v>
      </c>
      <c r="Z258" s="162">
        <f>+Z310</f>
        <v>216</v>
      </c>
      <c r="AA258" s="40"/>
      <c r="AB258" s="163"/>
      <c r="AC258" s="164"/>
      <c r="AD258" s="22"/>
    </row>
    <row r="259" spans="1:30" s="23" customFormat="1" x14ac:dyDescent="0.3">
      <c r="A259" s="160"/>
      <c r="B259" s="40" t="s">
        <v>53</v>
      </c>
      <c r="C259" s="97"/>
      <c r="D259" s="48"/>
      <c r="E259" s="48"/>
      <c r="F259" s="48"/>
      <c r="G259" s="48"/>
      <c r="H259" s="48"/>
      <c r="I259" s="48"/>
      <c r="J259" s="48"/>
      <c r="K259" s="48"/>
      <c r="L259" s="48"/>
      <c r="M259" s="48"/>
      <c r="N259" s="48"/>
      <c r="O259" s="48"/>
      <c r="P259" s="48"/>
      <c r="Q259" s="48"/>
      <c r="R259" s="48"/>
      <c r="S259" s="48"/>
      <c r="T259" s="48"/>
      <c r="U259" s="48"/>
      <c r="V259" s="48"/>
      <c r="W259" s="48"/>
      <c r="X259" s="48"/>
      <c r="Y259" s="161">
        <f>+X332</f>
        <v>0</v>
      </c>
      <c r="Z259" s="162">
        <f>+Z332</f>
        <v>0</v>
      </c>
      <c r="AA259" s="40"/>
      <c r="AB259" s="163"/>
      <c r="AC259" s="164"/>
      <c r="AD259" s="22"/>
    </row>
    <row r="260" spans="1:30" x14ac:dyDescent="0.3">
      <c r="A260" s="165"/>
      <c r="B260" s="166" t="s">
        <v>167</v>
      </c>
      <c r="C260" s="167"/>
      <c r="D260" s="59"/>
      <c r="E260" s="59"/>
      <c r="F260" s="59"/>
      <c r="G260" s="59"/>
      <c r="H260" s="59"/>
      <c r="I260" s="59"/>
      <c r="J260" s="59"/>
      <c r="K260" s="59"/>
      <c r="L260" s="59"/>
      <c r="M260" s="59"/>
      <c r="N260" s="59"/>
      <c r="O260" s="59"/>
      <c r="P260" s="59"/>
      <c r="Q260" s="59"/>
      <c r="R260" s="59"/>
      <c r="S260" s="59"/>
      <c r="T260" s="59"/>
      <c r="U260" s="59"/>
      <c r="V260" s="59"/>
      <c r="W260" s="59"/>
      <c r="X260" s="59"/>
      <c r="Y260" s="112"/>
      <c r="Z260" s="162">
        <f>Z57</f>
        <v>0</v>
      </c>
      <c r="AA260" s="59"/>
      <c r="AB260" s="168"/>
      <c r="AC260" s="169"/>
      <c r="AD260" s="5"/>
    </row>
    <row r="261" spans="1:30" x14ac:dyDescent="0.3">
      <c r="A261" s="165"/>
      <c r="B261" s="166" t="s">
        <v>261</v>
      </c>
      <c r="C261" s="167"/>
      <c r="D261" s="59"/>
      <c r="E261" s="59"/>
      <c r="F261" s="59"/>
      <c r="G261" s="59"/>
      <c r="H261" s="59"/>
      <c r="I261" s="59"/>
      <c r="J261" s="59"/>
      <c r="K261" s="59"/>
      <c r="L261" s="59"/>
      <c r="M261" s="59"/>
      <c r="N261" s="59"/>
      <c r="O261" s="59"/>
      <c r="P261" s="59"/>
      <c r="Q261" s="59"/>
      <c r="R261" s="59"/>
      <c r="S261" s="59"/>
      <c r="T261" s="59"/>
      <c r="U261" s="59"/>
      <c r="V261" s="59"/>
      <c r="W261" s="59"/>
      <c r="X261" s="59"/>
      <c r="Y261" s="112"/>
      <c r="Z261" s="162">
        <f>-T63</f>
        <v>0</v>
      </c>
      <c r="AA261" s="59"/>
      <c r="AB261" s="168"/>
      <c r="AC261" s="169"/>
      <c r="AD261" s="5"/>
    </row>
    <row r="262" spans="1:30" x14ac:dyDescent="0.3">
      <c r="A262" s="170"/>
      <c r="B262" s="166" t="s">
        <v>54</v>
      </c>
      <c r="C262" s="171"/>
      <c r="D262" s="59"/>
      <c r="E262" s="59"/>
      <c r="F262" s="59"/>
      <c r="G262" s="59"/>
      <c r="H262" s="59"/>
      <c r="I262" s="59"/>
      <c r="J262" s="59"/>
      <c r="K262" s="59"/>
      <c r="L262" s="59"/>
      <c r="M262" s="59"/>
      <c r="N262" s="59"/>
      <c r="O262" s="59"/>
      <c r="P262" s="59"/>
      <c r="Q262" s="59"/>
      <c r="R262" s="59"/>
      <c r="S262" s="59"/>
      <c r="T262" s="59"/>
      <c r="U262" s="59"/>
      <c r="V262" s="59"/>
      <c r="W262" s="59"/>
      <c r="X262" s="59"/>
      <c r="Y262" s="112"/>
      <c r="Z262" s="172"/>
      <c r="AA262" s="59"/>
      <c r="AB262" s="168"/>
      <c r="AC262" s="173"/>
      <c r="AD262" s="5"/>
    </row>
    <row r="263" spans="1:30" s="23" customFormat="1" x14ac:dyDescent="0.3">
      <c r="A263" s="174"/>
      <c r="B263" s="40" t="s">
        <v>55</v>
      </c>
      <c r="C263" s="40"/>
      <c r="D263" s="40"/>
      <c r="E263" s="40"/>
      <c r="F263" s="40"/>
      <c r="G263" s="40"/>
      <c r="H263" s="40"/>
      <c r="I263" s="40"/>
      <c r="J263" s="40"/>
      <c r="K263" s="40"/>
      <c r="L263" s="40"/>
      <c r="M263" s="40"/>
      <c r="N263" s="40"/>
      <c r="O263" s="40"/>
      <c r="P263" s="40"/>
      <c r="Q263" s="40"/>
      <c r="R263" s="40"/>
      <c r="S263" s="40"/>
      <c r="T263" s="40"/>
      <c r="U263" s="40"/>
      <c r="V263" s="40"/>
      <c r="W263" s="40"/>
      <c r="X263" s="40"/>
      <c r="Y263" s="48"/>
      <c r="Z263" s="162">
        <f>AB166</f>
        <v>1</v>
      </c>
      <c r="AA263" s="40"/>
      <c r="AB263" s="163"/>
      <c r="AC263" s="175"/>
      <c r="AD263" s="22"/>
    </row>
    <row r="264" spans="1:30" s="23" customFormat="1" x14ac:dyDescent="0.3">
      <c r="A264" s="160"/>
      <c r="B264" s="40" t="s">
        <v>56</v>
      </c>
      <c r="C264" s="97"/>
      <c r="D264" s="40"/>
      <c r="E264" s="40"/>
      <c r="F264" s="40"/>
      <c r="G264" s="40"/>
      <c r="H264" s="40"/>
      <c r="I264" s="40"/>
      <c r="J264" s="40"/>
      <c r="K264" s="40"/>
      <c r="L264" s="40"/>
      <c r="M264" s="40"/>
      <c r="N264" s="40"/>
      <c r="O264" s="40"/>
      <c r="P264" s="40"/>
      <c r="Q264" s="40"/>
      <c r="R264" s="40"/>
      <c r="S264" s="40"/>
      <c r="T264" s="40"/>
      <c r="U264" s="40"/>
      <c r="V264" s="40"/>
      <c r="W264" s="40"/>
      <c r="X264" s="40"/>
      <c r="Y264" s="48"/>
      <c r="Z264" s="162">
        <f>Z263+'December 2023'!Z264</f>
        <v>4</v>
      </c>
      <c r="AA264" s="40"/>
      <c r="AB264" s="163"/>
      <c r="AC264" s="175"/>
      <c r="AD264" s="22"/>
    </row>
    <row r="265" spans="1:30" x14ac:dyDescent="0.3">
      <c r="A265" s="170"/>
      <c r="B265" s="166" t="s">
        <v>125</v>
      </c>
      <c r="C265" s="171"/>
      <c r="D265" s="59"/>
      <c r="E265" s="59"/>
      <c r="F265" s="59"/>
      <c r="G265" s="59"/>
      <c r="H265" s="59"/>
      <c r="I265" s="59"/>
      <c r="J265" s="59"/>
      <c r="K265" s="59"/>
      <c r="L265" s="59"/>
      <c r="M265" s="59"/>
      <c r="N265" s="59"/>
      <c r="O265" s="59"/>
      <c r="P265" s="59"/>
      <c r="Q265" s="59"/>
      <c r="R265" s="59"/>
      <c r="S265" s="59"/>
      <c r="T265" s="59"/>
      <c r="U265" s="59"/>
      <c r="V265" s="59"/>
      <c r="W265" s="59"/>
      <c r="X265" s="59"/>
      <c r="Y265" s="176"/>
      <c r="Z265" s="172"/>
      <c r="AA265" s="59"/>
      <c r="AB265" s="168"/>
      <c r="AC265" s="173"/>
      <c r="AD265" s="5"/>
    </row>
    <row r="266" spans="1:30" s="23" customFormat="1" x14ac:dyDescent="0.3">
      <c r="A266" s="174"/>
      <c r="B266" s="40" t="s">
        <v>134</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v>0</v>
      </c>
      <c r="Z266" s="162">
        <v>0</v>
      </c>
      <c r="AA266" s="40"/>
      <c r="AB266" s="163"/>
      <c r="AC266" s="175"/>
      <c r="AD266" s="22"/>
    </row>
    <row r="267" spans="1:30" s="23" customFormat="1" x14ac:dyDescent="0.3">
      <c r="A267" s="160"/>
      <c r="B267" s="40" t="s">
        <v>57</v>
      </c>
      <c r="C267" s="70"/>
      <c r="D267" s="40"/>
      <c r="E267" s="40"/>
      <c r="F267" s="40"/>
      <c r="G267" s="40"/>
      <c r="H267" s="40"/>
      <c r="I267" s="40"/>
      <c r="J267" s="40"/>
      <c r="K267" s="40"/>
      <c r="L267" s="40"/>
      <c r="M267" s="40"/>
      <c r="N267" s="40"/>
      <c r="O267" s="40"/>
      <c r="P267" s="40"/>
      <c r="Q267" s="40"/>
      <c r="R267" s="40"/>
      <c r="S267" s="40"/>
      <c r="T267" s="40"/>
      <c r="U267" s="40"/>
      <c r="V267" s="40"/>
      <c r="W267" s="40"/>
      <c r="X267" s="40"/>
      <c r="Y267" s="40"/>
      <c r="Z267" s="177">
        <v>0</v>
      </c>
      <c r="AA267" s="40"/>
      <c r="AB267" s="163"/>
      <c r="AC267" s="175"/>
      <c r="AD267" s="22"/>
    </row>
    <row r="268" spans="1:30" s="23" customFormat="1" x14ac:dyDescent="0.3">
      <c r="A268" s="160"/>
      <c r="B268" s="40" t="s">
        <v>58</v>
      </c>
      <c r="C268" s="70"/>
      <c r="D268" s="40"/>
      <c r="E268" s="40"/>
      <c r="F268" s="40"/>
      <c r="G268" s="40"/>
      <c r="H268" s="40"/>
      <c r="I268" s="40"/>
      <c r="J268" s="40"/>
      <c r="K268" s="40"/>
      <c r="L268" s="40"/>
      <c r="M268" s="40"/>
      <c r="N268" s="40"/>
      <c r="O268" s="40"/>
      <c r="P268" s="40"/>
      <c r="Q268" s="40"/>
      <c r="R268" s="40"/>
      <c r="S268" s="40"/>
      <c r="T268" s="40"/>
      <c r="U268" s="40"/>
      <c r="V268" s="40"/>
      <c r="W268" s="40"/>
      <c r="X268" s="40"/>
      <c r="Y268" s="40"/>
      <c r="Z268" s="177">
        <v>0</v>
      </c>
      <c r="AA268" s="40"/>
      <c r="AB268" s="163"/>
      <c r="AC268" s="175"/>
      <c r="AD268" s="22"/>
    </row>
    <row r="269" spans="1:30" x14ac:dyDescent="0.3">
      <c r="A269" s="165"/>
      <c r="B269" s="166" t="s">
        <v>116</v>
      </c>
      <c r="C269" s="178"/>
      <c r="D269" s="59"/>
      <c r="E269" s="59"/>
      <c r="F269" s="59"/>
      <c r="G269" s="59"/>
      <c r="H269" s="59"/>
      <c r="I269" s="59"/>
      <c r="J269" s="59"/>
      <c r="K269" s="59"/>
      <c r="L269" s="59"/>
      <c r="M269" s="59"/>
      <c r="N269" s="59"/>
      <c r="O269" s="59"/>
      <c r="P269" s="59"/>
      <c r="Q269" s="59"/>
      <c r="R269" s="59"/>
      <c r="S269" s="59"/>
      <c r="T269" s="59"/>
      <c r="U269" s="59"/>
      <c r="V269" s="59"/>
      <c r="W269" s="59"/>
      <c r="X269" s="59"/>
      <c r="Y269" s="112"/>
      <c r="Z269" s="179"/>
      <c r="AA269" s="59"/>
      <c r="AB269" s="168"/>
      <c r="AC269" s="173"/>
      <c r="AD269" s="5"/>
    </row>
    <row r="270" spans="1:30" s="23" customFormat="1" x14ac:dyDescent="0.3">
      <c r="A270" s="160"/>
      <c r="B270" s="40" t="s">
        <v>134</v>
      </c>
      <c r="C270" s="7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0" s="23" customFormat="1" x14ac:dyDescent="0.3">
      <c r="A271" s="160"/>
      <c r="B271" s="40" t="s">
        <v>117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71"/>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x14ac:dyDescent="0.3">
      <c r="A273" s="165"/>
      <c r="B273" s="171"/>
      <c r="C273" s="178"/>
      <c r="D273" s="59"/>
      <c r="E273" s="59"/>
      <c r="F273" s="59"/>
      <c r="G273" s="59"/>
      <c r="H273" s="59"/>
      <c r="I273" s="59"/>
      <c r="J273" s="59"/>
      <c r="K273" s="59"/>
      <c r="L273" s="59"/>
      <c r="M273" s="59"/>
      <c r="N273" s="59"/>
      <c r="O273" s="59"/>
      <c r="P273" s="59"/>
      <c r="Q273" s="59"/>
      <c r="R273" s="59"/>
      <c r="S273" s="59"/>
      <c r="T273" s="59"/>
      <c r="U273" s="59"/>
      <c r="V273" s="59"/>
      <c r="W273" s="59"/>
      <c r="X273" s="59"/>
      <c r="Y273" s="59"/>
      <c r="Z273" s="180"/>
      <c r="AA273" s="59"/>
      <c r="AB273" s="168"/>
      <c r="AC273" s="173"/>
      <c r="AD273" s="5"/>
    </row>
    <row r="274" spans="1:30" ht="18" x14ac:dyDescent="0.35">
      <c r="A274" s="165"/>
      <c r="B274" s="181" t="s">
        <v>109</v>
      </c>
      <c r="C274" s="178"/>
      <c r="D274" s="59"/>
      <c r="E274" s="59"/>
      <c r="F274" s="59"/>
      <c r="G274" s="59"/>
      <c r="H274" s="59"/>
      <c r="I274" s="59"/>
      <c r="J274" s="59"/>
      <c r="K274" s="59"/>
      <c r="L274" s="182"/>
      <c r="M274" s="182"/>
      <c r="N274" s="182"/>
      <c r="O274" s="182"/>
      <c r="P274" s="261" t="s">
        <v>168</v>
      </c>
      <c r="Q274" s="182"/>
      <c r="R274" s="182"/>
      <c r="S274" s="182"/>
      <c r="T274" s="182"/>
      <c r="U274" s="182"/>
      <c r="V274" s="182"/>
      <c r="W274" s="59"/>
      <c r="X274" s="183"/>
      <c r="Y274" s="182"/>
      <c r="Z274" s="180"/>
      <c r="AA274" s="59"/>
      <c r="AB274" s="168"/>
      <c r="AC274" s="173"/>
      <c r="AD274" s="5"/>
    </row>
    <row r="275" spans="1:30" ht="18" x14ac:dyDescent="0.35">
      <c r="A275" s="184"/>
      <c r="B275" s="185"/>
      <c r="C275" s="186"/>
      <c r="D275" s="99"/>
      <c r="E275" s="99"/>
      <c r="F275" s="99"/>
      <c r="G275" s="99"/>
      <c r="H275" s="99"/>
      <c r="I275" s="99"/>
      <c r="J275" s="99"/>
      <c r="K275" s="99"/>
      <c r="L275" s="187"/>
      <c r="M275" s="187"/>
      <c r="N275" s="187"/>
      <c r="O275" s="187"/>
      <c r="P275" s="187"/>
      <c r="Q275" s="187"/>
      <c r="R275" s="187"/>
      <c r="S275" s="187"/>
      <c r="T275" s="187"/>
      <c r="U275" s="187"/>
      <c r="V275" s="187"/>
      <c r="W275" s="99"/>
      <c r="X275" s="99"/>
      <c r="Y275" s="99"/>
      <c r="Z275" s="188"/>
      <c r="AA275" s="99"/>
      <c r="AB275" s="152"/>
      <c r="AC275" s="189"/>
      <c r="AD275" s="5"/>
    </row>
    <row r="276" spans="1:30" x14ac:dyDescent="0.3">
      <c r="A276" s="33"/>
      <c r="B276" s="102" t="s">
        <v>126</v>
      </c>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54" t="s">
        <v>69</v>
      </c>
      <c r="Y276" s="103" t="s">
        <v>70</v>
      </c>
      <c r="Z276" s="154" t="s">
        <v>75</v>
      </c>
      <c r="AA276" s="103" t="s">
        <v>70</v>
      </c>
      <c r="AB276" s="34"/>
      <c r="AC276" s="190"/>
      <c r="AD276" s="5"/>
    </row>
    <row r="277" spans="1:30" s="23" customFormat="1" x14ac:dyDescent="0.3">
      <c r="A277" s="18"/>
      <c r="B277" s="106" t="s">
        <v>59</v>
      </c>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06">
        <f t="shared" ref="X277:X284" si="0">+X289+X301+X323</f>
        <v>3299</v>
      </c>
      <c r="Y277" s="192">
        <f>X277/$X$286</f>
        <v>0.99788263762855411</v>
      </c>
      <c r="Z277" s="107">
        <f t="shared" ref="Z277:Z284" si="1">+Z289+Z301+Z323</f>
        <v>623326</v>
      </c>
      <c r="AA277" s="192">
        <f>Z277/$Z$286</f>
        <v>0.99771270337972484</v>
      </c>
      <c r="AB277" s="158"/>
      <c r="AC277" s="193"/>
      <c r="AD277" s="22"/>
    </row>
    <row r="278" spans="1:30" s="23" customFormat="1" x14ac:dyDescent="0.3">
      <c r="A278" s="47"/>
      <c r="B278" s="97" t="s">
        <v>60</v>
      </c>
      <c r="C278" s="194"/>
      <c r="D278" s="194"/>
      <c r="E278" s="194"/>
      <c r="F278" s="194"/>
      <c r="G278" s="194"/>
      <c r="H278" s="194"/>
      <c r="I278" s="194"/>
      <c r="J278" s="194"/>
      <c r="K278" s="194"/>
      <c r="L278" s="194"/>
      <c r="M278" s="194"/>
      <c r="N278" s="194"/>
      <c r="O278" s="194"/>
      <c r="P278" s="194"/>
      <c r="Q278" s="194"/>
      <c r="R278" s="194"/>
      <c r="S278" s="194"/>
      <c r="T278" s="194"/>
      <c r="U278" s="194"/>
      <c r="V278" s="194"/>
      <c r="W278" s="194"/>
      <c r="X278" s="195">
        <f t="shared" si="0"/>
        <v>3</v>
      </c>
      <c r="Y278" s="196">
        <f t="shared" ref="Y278:Y284" si="2">X278/$X$286</f>
        <v>9.0744101633393826E-4</v>
      </c>
      <c r="Z278" s="197">
        <f t="shared" si="1"/>
        <v>1043</v>
      </c>
      <c r="AA278" s="198">
        <f>Z278/$Z$286</f>
        <v>1.6694544261350449E-3</v>
      </c>
      <c r="AB278" s="163"/>
      <c r="AC278" s="175"/>
      <c r="AD278" s="22"/>
    </row>
    <row r="279" spans="1:30" s="23" customFormat="1" x14ac:dyDescent="0.3">
      <c r="A279" s="47"/>
      <c r="B279" s="97" t="s">
        <v>61</v>
      </c>
      <c r="C279" s="194"/>
      <c r="D279" s="194"/>
      <c r="E279" s="194"/>
      <c r="F279" s="194"/>
      <c r="G279" s="194"/>
      <c r="H279" s="194"/>
      <c r="I279" s="194"/>
      <c r="J279" s="194"/>
      <c r="K279" s="194"/>
      <c r="L279" s="194"/>
      <c r="M279" s="194"/>
      <c r="N279" s="194"/>
      <c r="O279" s="194"/>
      <c r="P279" s="194"/>
      <c r="Q279" s="194"/>
      <c r="R279" s="194"/>
      <c r="S279" s="194"/>
      <c r="T279" s="194"/>
      <c r="U279" s="194"/>
      <c r="V279" s="194"/>
      <c r="W279" s="194"/>
      <c r="X279" s="199">
        <f t="shared" si="0"/>
        <v>1</v>
      </c>
      <c r="Y279" s="200">
        <f t="shared" si="2"/>
        <v>3.0248033877797946E-4</v>
      </c>
      <c r="Z279" s="131">
        <f t="shared" si="1"/>
        <v>116</v>
      </c>
      <c r="AA279" s="198">
        <f t="shared" ref="AA279:AA284" si="3">Z279/$Z$286</f>
        <v>1.8567278373122264E-4</v>
      </c>
      <c r="AB279" s="163"/>
      <c r="AC279" s="175"/>
      <c r="AD279" s="22"/>
    </row>
    <row r="280" spans="1:30" s="23" customFormat="1" x14ac:dyDescent="0.3">
      <c r="A280" s="47"/>
      <c r="B280" s="97" t="s">
        <v>100</v>
      </c>
      <c r="C280" s="194"/>
      <c r="D280" s="194"/>
      <c r="E280" s="194"/>
      <c r="F280" s="194"/>
      <c r="G280" s="194"/>
      <c r="H280" s="194"/>
      <c r="I280" s="194"/>
      <c r="J280" s="194"/>
      <c r="K280" s="194"/>
      <c r="L280" s="194"/>
      <c r="M280" s="194"/>
      <c r="N280" s="194"/>
      <c r="O280" s="194"/>
      <c r="P280" s="194"/>
      <c r="Q280" s="194"/>
      <c r="R280" s="194"/>
      <c r="S280" s="194"/>
      <c r="T280" s="194"/>
      <c r="U280" s="194"/>
      <c r="V280" s="194"/>
      <c r="W280" s="194"/>
      <c r="X280" s="199">
        <f t="shared" si="0"/>
        <v>1</v>
      </c>
      <c r="Y280" s="200">
        <f t="shared" si="2"/>
        <v>3.0248033877797946E-4</v>
      </c>
      <c r="Z280" s="131">
        <f t="shared" si="1"/>
        <v>54</v>
      </c>
      <c r="AA280" s="198">
        <f t="shared" si="3"/>
        <v>8.6433882081776061E-5</v>
      </c>
      <c r="AB280" s="163"/>
      <c r="AC280" s="175"/>
      <c r="AD280" s="22"/>
    </row>
    <row r="281" spans="1:30" s="23" customFormat="1" x14ac:dyDescent="0.3">
      <c r="A281" s="47"/>
      <c r="B281" s="97" t="s">
        <v>101</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9">
        <f t="shared" si="0"/>
        <v>0</v>
      </c>
      <c r="Y281" s="200">
        <f t="shared" si="2"/>
        <v>0</v>
      </c>
      <c r="Z281" s="131">
        <f t="shared" si="1"/>
        <v>0</v>
      </c>
      <c r="AA281" s="198">
        <f t="shared" si="3"/>
        <v>0</v>
      </c>
      <c r="AB281" s="163"/>
      <c r="AC281" s="175"/>
      <c r="AD281" s="22"/>
    </row>
    <row r="282" spans="1:30" s="23" customFormat="1" x14ac:dyDescent="0.3">
      <c r="A282" s="47"/>
      <c r="B282" s="97" t="s">
        <v>102</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0"/>
        <v>1</v>
      </c>
      <c r="Y282" s="200">
        <f t="shared" si="2"/>
        <v>3.0248033877797946E-4</v>
      </c>
      <c r="Z282" s="131">
        <f t="shared" si="1"/>
        <v>154</v>
      </c>
      <c r="AA282" s="198">
        <f t="shared" si="3"/>
        <v>2.4649662667765765E-4</v>
      </c>
      <c r="AB282" s="163"/>
      <c r="AC282" s="175"/>
      <c r="AD282" s="22"/>
    </row>
    <row r="283" spans="1:30" s="23" customFormat="1" x14ac:dyDescent="0.3">
      <c r="A283" s="47"/>
      <c r="B283" s="97" t="s">
        <v>103</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201">
        <f t="shared" si="0"/>
        <v>0</v>
      </c>
      <c r="Y283" s="202">
        <f t="shared" si="2"/>
        <v>0</v>
      </c>
      <c r="Z283" s="203">
        <f t="shared" si="1"/>
        <v>0</v>
      </c>
      <c r="AA283" s="198">
        <f t="shared" si="3"/>
        <v>0</v>
      </c>
      <c r="AB283" s="163"/>
      <c r="AC283" s="175"/>
      <c r="AD283" s="22"/>
    </row>
    <row r="284" spans="1:30" s="23" customFormat="1" x14ac:dyDescent="0.3">
      <c r="A284" s="47"/>
      <c r="B284" s="97" t="s">
        <v>104</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06">
        <f t="shared" si="0"/>
        <v>1</v>
      </c>
      <c r="Y284" s="198">
        <f t="shared" si="2"/>
        <v>3.0248033877797946E-4</v>
      </c>
      <c r="Z284" s="107">
        <f t="shared" si="1"/>
        <v>62</v>
      </c>
      <c r="AA284" s="198">
        <f t="shared" si="3"/>
        <v>9.923890164944658E-5</v>
      </c>
      <c r="AB284" s="163"/>
      <c r="AC284" s="175"/>
      <c r="AD284" s="22"/>
    </row>
    <row r="285" spans="1:30" s="23" customFormat="1" x14ac:dyDescent="0.3">
      <c r="A285" s="47"/>
      <c r="B285" s="97"/>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97"/>
      <c r="Y285" s="198"/>
      <c r="Z285" s="98"/>
      <c r="AA285" s="198"/>
      <c r="AB285" s="163"/>
      <c r="AC285" s="175"/>
      <c r="AD285" s="22"/>
    </row>
    <row r="286" spans="1:30" s="23" customFormat="1" x14ac:dyDescent="0.3">
      <c r="A286" s="47"/>
      <c r="B286" s="40" t="s">
        <v>80</v>
      </c>
      <c r="C286" s="40"/>
      <c r="D286" s="204"/>
      <c r="E286" s="204"/>
      <c r="F286" s="204"/>
      <c r="G286" s="204"/>
      <c r="H286" s="204"/>
      <c r="I286" s="204"/>
      <c r="J286" s="204"/>
      <c r="K286" s="204"/>
      <c r="L286" s="204"/>
      <c r="M286" s="204"/>
      <c r="N286" s="204"/>
      <c r="O286" s="204"/>
      <c r="P286" s="204"/>
      <c r="Q286" s="204"/>
      <c r="R286" s="204"/>
      <c r="S286" s="204"/>
      <c r="T286" s="204"/>
      <c r="U286" s="204"/>
      <c r="V286" s="204"/>
      <c r="W286" s="204"/>
      <c r="X286" s="97">
        <f>SUM(X277:X285)</f>
        <v>3306</v>
      </c>
      <c r="Y286" s="198">
        <f>SUM(Y277:Y285)</f>
        <v>1</v>
      </c>
      <c r="Z286" s="98">
        <f>SUM(Z277:Z285)</f>
        <v>624755</v>
      </c>
      <c r="AA286" s="198">
        <f>SUM(AA277:AA285)</f>
        <v>1</v>
      </c>
      <c r="AB286" s="40"/>
      <c r="AC286" s="43"/>
      <c r="AD286" s="22"/>
    </row>
    <row r="287" spans="1:30" x14ac:dyDescent="0.3">
      <c r="A287" s="7"/>
      <c r="B287" s="151"/>
      <c r="C287" s="186"/>
      <c r="D287" s="99"/>
      <c r="E287" s="99"/>
      <c r="F287" s="99"/>
      <c r="G287" s="99"/>
      <c r="H287" s="99"/>
      <c r="I287" s="99"/>
      <c r="J287" s="99"/>
      <c r="K287" s="99"/>
      <c r="L287" s="99"/>
      <c r="M287" s="99"/>
      <c r="N287" s="99"/>
      <c r="O287" s="99"/>
      <c r="P287" s="99"/>
      <c r="Q287" s="99"/>
      <c r="R287" s="99"/>
      <c r="S287" s="99"/>
      <c r="T287" s="99"/>
      <c r="U287" s="99"/>
      <c r="V287" s="99"/>
      <c r="W287" s="99"/>
      <c r="X287" s="99"/>
      <c r="Y287" s="99"/>
      <c r="Z287" s="188"/>
      <c r="AA287" s="99"/>
      <c r="AB287" s="99"/>
      <c r="AC287" s="10"/>
      <c r="AD287" s="5"/>
    </row>
    <row r="288" spans="1:30" x14ac:dyDescent="0.3">
      <c r="A288" s="33"/>
      <c r="B288" s="102" t="s">
        <v>105</v>
      </c>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54" t="s">
        <v>69</v>
      </c>
      <c r="Y288" s="103" t="s">
        <v>70</v>
      </c>
      <c r="Z288" s="154" t="s">
        <v>75</v>
      </c>
      <c r="AA288" s="103" t="s">
        <v>70</v>
      </c>
      <c r="AB288" s="34"/>
      <c r="AC288" s="190"/>
      <c r="AD288" s="5"/>
    </row>
    <row r="289" spans="1:31" s="23" customFormat="1" x14ac:dyDescent="0.3">
      <c r="A289" s="18"/>
      <c r="B289" s="106" t="s">
        <v>59</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06">
        <v>3299</v>
      </c>
      <c r="Y289" s="192">
        <f>X289/$X$298</f>
        <v>0.99848668280871666</v>
      </c>
      <c r="Z289" s="107">
        <v>623326</v>
      </c>
      <c r="AA289" s="192">
        <f>Z289/$Z$298</f>
        <v>0.99805776740924101</v>
      </c>
      <c r="AB289" s="158"/>
      <c r="AC289" s="193"/>
      <c r="AD289" s="22"/>
    </row>
    <row r="290" spans="1:31" s="23" customFormat="1" x14ac:dyDescent="0.3">
      <c r="A290" s="47"/>
      <c r="B290" s="97" t="s">
        <v>60</v>
      </c>
      <c r="C290" s="194"/>
      <c r="D290" s="194"/>
      <c r="E290" s="194"/>
      <c r="F290" s="194"/>
      <c r="G290" s="194"/>
      <c r="H290" s="194"/>
      <c r="I290" s="194"/>
      <c r="J290" s="194"/>
      <c r="K290" s="194"/>
      <c r="L290" s="194"/>
      <c r="M290" s="194"/>
      <c r="N290" s="194"/>
      <c r="O290" s="194"/>
      <c r="P290" s="194"/>
      <c r="Q290" s="194"/>
      <c r="R290" s="194"/>
      <c r="S290" s="194"/>
      <c r="T290" s="194"/>
      <c r="U290" s="194"/>
      <c r="V290" s="194"/>
      <c r="W290" s="194"/>
      <c r="X290" s="97">
        <v>3</v>
      </c>
      <c r="Y290" s="198">
        <f t="shared" ref="Y290:Y296" si="4">X290/$X$298</f>
        <v>9.0799031476997583E-4</v>
      </c>
      <c r="Z290" s="98">
        <v>1043</v>
      </c>
      <c r="AA290" s="198">
        <f t="shared" ref="AA290:AA296" si="5">Z290/$Z$298</f>
        <v>1.6700318154670886E-3</v>
      </c>
      <c r="AB290" s="163"/>
      <c r="AC290" s="175"/>
      <c r="AD290" s="22"/>
      <c r="AE290" s="115"/>
    </row>
    <row r="291" spans="1:31" s="23" customFormat="1" x14ac:dyDescent="0.3">
      <c r="A291" s="47"/>
      <c r="B291" s="97" t="s">
        <v>61</v>
      </c>
      <c r="C291" s="194"/>
      <c r="D291" s="194"/>
      <c r="E291" s="194"/>
      <c r="F291" s="194"/>
      <c r="G291" s="194"/>
      <c r="H291" s="194"/>
      <c r="I291" s="194"/>
      <c r="J291" s="194"/>
      <c r="K291" s="194"/>
      <c r="L291" s="194"/>
      <c r="M291" s="194"/>
      <c r="N291" s="194"/>
      <c r="O291" s="194"/>
      <c r="P291" s="194"/>
      <c r="Q291" s="194"/>
      <c r="R291" s="194"/>
      <c r="S291" s="194"/>
      <c r="T291" s="194"/>
      <c r="U291" s="194"/>
      <c r="V291" s="194"/>
      <c r="W291" s="194"/>
      <c r="X291" s="97">
        <v>1</v>
      </c>
      <c r="Y291" s="198">
        <f t="shared" si="4"/>
        <v>3.0266343825665861E-4</v>
      </c>
      <c r="Z291" s="98">
        <v>116</v>
      </c>
      <c r="AA291" s="198">
        <f t="shared" si="5"/>
        <v>1.8573699961091302E-4</v>
      </c>
      <c r="AB291" s="163"/>
      <c r="AC291" s="175"/>
      <c r="AD291" s="22"/>
    </row>
    <row r="292" spans="1:31" s="23" customFormat="1" x14ac:dyDescent="0.3">
      <c r="A292" s="47"/>
      <c r="B292" s="97" t="s">
        <v>100</v>
      </c>
      <c r="C292" s="194"/>
      <c r="D292" s="194"/>
      <c r="E292" s="194"/>
      <c r="F292" s="194"/>
      <c r="G292" s="194"/>
      <c r="H292" s="194"/>
      <c r="I292" s="194"/>
      <c r="J292" s="194"/>
      <c r="K292" s="194"/>
      <c r="L292" s="194"/>
      <c r="M292" s="194"/>
      <c r="N292" s="194"/>
      <c r="O292" s="194"/>
      <c r="P292" s="194"/>
      <c r="Q292" s="194"/>
      <c r="R292" s="194"/>
      <c r="S292" s="194"/>
      <c r="T292" s="194"/>
      <c r="U292" s="194"/>
      <c r="V292" s="194"/>
      <c r="W292" s="194"/>
      <c r="X292" s="97">
        <v>1</v>
      </c>
      <c r="Y292" s="198">
        <f t="shared" si="4"/>
        <v>3.0266343825665861E-4</v>
      </c>
      <c r="Z292" s="98">
        <v>54</v>
      </c>
      <c r="AA292" s="198">
        <f t="shared" si="5"/>
        <v>8.6463775680942263E-5</v>
      </c>
      <c r="AB292" s="163"/>
      <c r="AC292" s="175"/>
      <c r="AD292" s="22"/>
      <c r="AE292" s="115"/>
    </row>
    <row r="293" spans="1:31" s="23" customFormat="1" x14ac:dyDescent="0.3">
      <c r="A293" s="47"/>
      <c r="B293" s="97" t="s">
        <v>101</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0</v>
      </c>
      <c r="Y293" s="198">
        <f t="shared" si="4"/>
        <v>0</v>
      </c>
      <c r="Z293" s="98">
        <v>0</v>
      </c>
      <c r="AA293" s="198">
        <f t="shared" si="5"/>
        <v>0</v>
      </c>
      <c r="AB293" s="163"/>
      <c r="AC293" s="175"/>
      <c r="AD293" s="22"/>
    </row>
    <row r="294" spans="1:31" s="23" customFormat="1" x14ac:dyDescent="0.3">
      <c r="A294" s="47"/>
      <c r="B294" s="97" t="s">
        <v>102</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4"/>
        <v>0</v>
      </c>
      <c r="Z294" s="98">
        <v>0</v>
      </c>
      <c r="AA294" s="198">
        <f t="shared" si="5"/>
        <v>0</v>
      </c>
      <c r="AB294" s="163"/>
      <c r="AC294" s="175"/>
      <c r="AD294" s="22"/>
      <c r="AE294" s="115"/>
    </row>
    <row r="295" spans="1:31" s="23" customFormat="1" x14ac:dyDescent="0.3">
      <c r="A295" s="47"/>
      <c r="B295" s="97" t="s">
        <v>103</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0</v>
      </c>
      <c r="Y295" s="198">
        <f>X295/$X$298</f>
        <v>0</v>
      </c>
      <c r="Z295" s="98">
        <v>0</v>
      </c>
      <c r="AA295" s="198">
        <f t="shared" si="5"/>
        <v>0</v>
      </c>
      <c r="AB295" s="163"/>
      <c r="AC295" s="175"/>
      <c r="AD295" s="22"/>
    </row>
    <row r="296" spans="1:31" s="23" customFormat="1" x14ac:dyDescent="0.3">
      <c r="A296" s="47"/>
      <c r="B296" s="97" t="s">
        <v>104</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4"/>
        <v>0</v>
      </c>
      <c r="Z296" s="98">
        <v>0</v>
      </c>
      <c r="AA296" s="198">
        <f t="shared" si="5"/>
        <v>0</v>
      </c>
      <c r="AB296" s="163"/>
      <c r="AC296" s="175"/>
      <c r="AD296" s="22"/>
      <c r="AE296" s="115"/>
    </row>
    <row r="297" spans="1:31" s="23" customFormat="1" x14ac:dyDescent="0.3">
      <c r="A297" s="47"/>
      <c r="B297" s="97"/>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c r="Y297" s="198"/>
      <c r="Z297" s="98"/>
      <c r="AA297" s="198"/>
      <c r="AB297" s="163"/>
      <c r="AC297" s="175"/>
      <c r="AD297" s="22"/>
    </row>
    <row r="298" spans="1:31" s="23" customFormat="1" x14ac:dyDescent="0.3">
      <c r="A298" s="47"/>
      <c r="B298" s="40" t="s">
        <v>80</v>
      </c>
      <c r="C298" s="40"/>
      <c r="D298" s="204"/>
      <c r="E298" s="204"/>
      <c r="F298" s="204"/>
      <c r="G298" s="204"/>
      <c r="H298" s="204"/>
      <c r="I298" s="204"/>
      <c r="J298" s="204"/>
      <c r="K298" s="204"/>
      <c r="L298" s="204"/>
      <c r="M298" s="204"/>
      <c r="N298" s="204"/>
      <c r="O298" s="204"/>
      <c r="P298" s="204"/>
      <c r="Q298" s="204"/>
      <c r="R298" s="204"/>
      <c r="S298" s="204"/>
      <c r="T298" s="204"/>
      <c r="U298" s="204"/>
      <c r="V298" s="204"/>
      <c r="W298" s="204"/>
      <c r="X298" s="97">
        <f>SUM(X289:X297)</f>
        <v>3304</v>
      </c>
      <c r="Y298" s="198">
        <f>SUM(Y289:Y297)</f>
        <v>1</v>
      </c>
      <c r="Z298" s="98">
        <f>SUM(Z289:Z297)</f>
        <v>624539</v>
      </c>
      <c r="AA298" s="198">
        <f>SUM(AA289:AA297)</f>
        <v>0.99999999999999989</v>
      </c>
      <c r="AB298" s="40"/>
      <c r="AC298" s="43"/>
      <c r="AD298" s="22"/>
    </row>
    <row r="299" spans="1:31" x14ac:dyDescent="0.3">
      <c r="A299" s="7"/>
      <c r="B299" s="99"/>
      <c r="C299" s="99"/>
      <c r="D299" s="205"/>
      <c r="E299" s="205"/>
      <c r="F299" s="205"/>
      <c r="G299" s="205"/>
      <c r="H299" s="205"/>
      <c r="I299" s="205"/>
      <c r="J299" s="205"/>
      <c r="K299" s="205"/>
      <c r="L299" s="205"/>
      <c r="M299" s="205"/>
      <c r="N299" s="205"/>
      <c r="O299" s="205"/>
      <c r="P299" s="205"/>
      <c r="Q299" s="205"/>
      <c r="R299" s="205"/>
      <c r="S299" s="205"/>
      <c r="T299" s="205"/>
      <c r="U299" s="205"/>
      <c r="V299" s="205"/>
      <c r="W299" s="205"/>
      <c r="X299" s="100"/>
      <c r="Y299" s="206"/>
      <c r="Z299" s="207"/>
      <c r="AA299" s="206"/>
      <c r="AB299" s="99"/>
      <c r="AC299" s="10"/>
      <c r="AD299" s="5"/>
    </row>
    <row r="300" spans="1:31" x14ac:dyDescent="0.3">
      <c r="A300" s="33"/>
      <c r="B300" s="102" t="s">
        <v>121</v>
      </c>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54" t="s">
        <v>69</v>
      </c>
      <c r="Y300" s="103" t="s">
        <v>70</v>
      </c>
      <c r="Z300" s="154" t="s">
        <v>75</v>
      </c>
      <c r="AA300" s="103" t="s">
        <v>70</v>
      </c>
      <c r="AB300" s="34"/>
      <c r="AC300" s="36"/>
      <c r="AD300" s="5"/>
    </row>
    <row r="301" spans="1:31" s="23" customFormat="1" x14ac:dyDescent="0.3">
      <c r="A301" s="18"/>
      <c r="B301" s="106" t="s">
        <v>59</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06">
        <v>0</v>
      </c>
      <c r="Y301" s="192">
        <v>0</v>
      </c>
      <c r="Z301" s="107">
        <v>0</v>
      </c>
      <c r="AA301" s="192">
        <v>0</v>
      </c>
      <c r="AB301" s="37"/>
      <c r="AC301" s="21"/>
      <c r="AD301" s="22"/>
    </row>
    <row r="302" spans="1:31" s="23" customFormat="1" x14ac:dyDescent="0.3">
      <c r="A302" s="47"/>
      <c r="B302" s="97" t="s">
        <v>60</v>
      </c>
      <c r="C302" s="194"/>
      <c r="D302" s="194"/>
      <c r="E302" s="194"/>
      <c r="F302" s="194"/>
      <c r="G302" s="194"/>
      <c r="H302" s="194"/>
      <c r="I302" s="194"/>
      <c r="J302" s="194"/>
      <c r="K302" s="194"/>
      <c r="L302" s="194"/>
      <c r="M302" s="194"/>
      <c r="N302" s="194"/>
      <c r="O302" s="194"/>
      <c r="P302" s="194"/>
      <c r="Q302" s="194"/>
      <c r="R302" s="194"/>
      <c r="S302" s="194"/>
      <c r="T302" s="194"/>
      <c r="U302" s="194"/>
      <c r="V302" s="194"/>
      <c r="W302" s="194"/>
      <c r="X302" s="97">
        <v>0</v>
      </c>
      <c r="Y302" s="198">
        <f>X302/X310</f>
        <v>0</v>
      </c>
      <c r="Z302" s="98">
        <v>0</v>
      </c>
      <c r="AA302" s="198">
        <f>Z302/Z310</f>
        <v>0</v>
      </c>
      <c r="AB302" s="40"/>
      <c r="AC302" s="43"/>
      <c r="AD302" s="22"/>
    </row>
    <row r="303" spans="1:31" s="23" customFormat="1" x14ac:dyDescent="0.3">
      <c r="A303" s="47"/>
      <c r="B303" s="97" t="s">
        <v>61</v>
      </c>
      <c r="C303" s="194"/>
      <c r="D303" s="194"/>
      <c r="E303" s="194"/>
      <c r="F303" s="194"/>
      <c r="G303" s="194"/>
      <c r="H303" s="194"/>
      <c r="I303" s="194"/>
      <c r="J303" s="194"/>
      <c r="K303" s="194"/>
      <c r="L303" s="194"/>
      <c r="M303" s="194"/>
      <c r="N303" s="194"/>
      <c r="O303" s="194"/>
      <c r="P303" s="194"/>
      <c r="Q303" s="194"/>
      <c r="R303" s="194"/>
      <c r="S303" s="194"/>
      <c r="T303" s="194"/>
      <c r="U303" s="194"/>
      <c r="V303" s="194"/>
      <c r="W303" s="194"/>
      <c r="X303" s="97">
        <v>0</v>
      </c>
      <c r="Y303" s="198">
        <f>X303/X310</f>
        <v>0</v>
      </c>
      <c r="Z303" s="98">
        <v>0</v>
      </c>
      <c r="AA303" s="198">
        <f>Z303/Z310</f>
        <v>0</v>
      </c>
      <c r="AB303" s="40"/>
      <c r="AC303" s="43"/>
      <c r="AD303" s="22"/>
    </row>
    <row r="304" spans="1:31" s="23" customFormat="1" x14ac:dyDescent="0.3">
      <c r="A304" s="47"/>
      <c r="B304" s="97" t="s">
        <v>100</v>
      </c>
      <c r="C304" s="194"/>
      <c r="D304" s="194"/>
      <c r="E304" s="194"/>
      <c r="F304" s="194"/>
      <c r="G304" s="194"/>
      <c r="H304" s="194"/>
      <c r="I304" s="194"/>
      <c r="J304" s="194"/>
      <c r="K304" s="194"/>
      <c r="L304" s="194"/>
      <c r="M304" s="194"/>
      <c r="N304" s="194"/>
      <c r="O304" s="194"/>
      <c r="P304" s="194"/>
      <c r="Q304" s="194"/>
      <c r="R304" s="194"/>
      <c r="S304" s="194"/>
      <c r="T304" s="194"/>
      <c r="U304" s="194"/>
      <c r="V304" s="194"/>
      <c r="W304" s="194"/>
      <c r="X304" s="97">
        <v>0</v>
      </c>
      <c r="Y304" s="198">
        <f>X304/X310</f>
        <v>0</v>
      </c>
      <c r="Z304" s="98">
        <v>0</v>
      </c>
      <c r="AA304" s="198">
        <f>Z304/Z310</f>
        <v>0</v>
      </c>
      <c r="AB304" s="40"/>
      <c r="AC304" s="43"/>
      <c r="AD304" s="22"/>
    </row>
    <row r="305" spans="1:30" s="23" customFormat="1" x14ac:dyDescent="0.3">
      <c r="A305" s="47"/>
      <c r="B305" s="97" t="s">
        <v>101</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102</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1</v>
      </c>
      <c r="Y306" s="198">
        <f>X306/X310</f>
        <v>0.5</v>
      </c>
      <c r="Z306" s="98">
        <v>154</v>
      </c>
      <c r="AA306" s="198">
        <f>Z306/Z310</f>
        <v>0.71296296296296291</v>
      </c>
      <c r="AB306" s="40"/>
      <c r="AC306" s="43"/>
      <c r="AD306" s="22"/>
    </row>
    <row r="307" spans="1:30" s="23" customFormat="1" x14ac:dyDescent="0.3">
      <c r="A307" s="47"/>
      <c r="B307" s="97" t="s">
        <v>103</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f>X307/X310</f>
        <v>0</v>
      </c>
      <c r="Z307" s="98">
        <v>0</v>
      </c>
      <c r="AA307" s="198">
        <f>Z307/Z310</f>
        <v>0</v>
      </c>
      <c r="AB307" s="40"/>
      <c r="AC307" s="43"/>
      <c r="AD307" s="22"/>
    </row>
    <row r="308" spans="1:30" s="23" customFormat="1" x14ac:dyDescent="0.3">
      <c r="A308" s="47"/>
      <c r="B308" s="97" t="s">
        <v>104</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1</v>
      </c>
      <c r="Y308" s="198">
        <f>X308/X310</f>
        <v>0.5</v>
      </c>
      <c r="Z308" s="98">
        <v>62</v>
      </c>
      <c r="AA308" s="198">
        <f>Z308/Z310</f>
        <v>0.28703703703703703</v>
      </c>
      <c r="AB308" s="40"/>
      <c r="AC308" s="43"/>
      <c r="AD308" s="22"/>
    </row>
    <row r="309" spans="1:30" s="23" customFormat="1" x14ac:dyDescent="0.3">
      <c r="A309" s="47"/>
      <c r="B309" s="97"/>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c r="Y309" s="198"/>
      <c r="Z309" s="98"/>
      <c r="AA309" s="198"/>
      <c r="AB309" s="40"/>
      <c r="AC309" s="43"/>
      <c r="AD309" s="22"/>
    </row>
    <row r="310" spans="1:30" s="23" customFormat="1" x14ac:dyDescent="0.3">
      <c r="A310" s="47"/>
      <c r="B310" s="40" t="s">
        <v>80</v>
      </c>
      <c r="C310" s="40"/>
      <c r="D310" s="204"/>
      <c r="E310" s="204"/>
      <c r="F310" s="204"/>
      <c r="G310" s="204"/>
      <c r="H310" s="204"/>
      <c r="I310" s="204"/>
      <c r="J310" s="204"/>
      <c r="K310" s="204"/>
      <c r="L310" s="204"/>
      <c r="M310" s="204"/>
      <c r="N310" s="204"/>
      <c r="O310" s="204"/>
      <c r="P310" s="204"/>
      <c r="Q310" s="204"/>
      <c r="R310" s="204"/>
      <c r="S310" s="204"/>
      <c r="T310" s="204"/>
      <c r="U310" s="204"/>
      <c r="V310" s="204"/>
      <c r="W310" s="204"/>
      <c r="X310" s="97">
        <f>SUM(X301:X309)</f>
        <v>2</v>
      </c>
      <c r="Y310" s="198">
        <f>SUM(Y301:Y309)</f>
        <v>1</v>
      </c>
      <c r="Z310" s="98">
        <f>SUM(Z301:Z309)</f>
        <v>216</v>
      </c>
      <c r="AA310" s="198">
        <f>SUM(AA301:AA309)</f>
        <v>1</v>
      </c>
      <c r="AB310" s="40"/>
      <c r="AC310" s="43"/>
      <c r="AD310" s="22"/>
    </row>
    <row r="311" spans="1:30" s="23" customFormat="1" x14ac:dyDescent="0.3">
      <c r="A311" s="47"/>
      <c r="B311" s="40"/>
      <c r="C311" s="40"/>
      <c r="D311" s="204"/>
      <c r="E311" s="204"/>
      <c r="F311" s="204"/>
      <c r="G311" s="204"/>
      <c r="H311" s="204"/>
      <c r="I311" s="204"/>
      <c r="J311" s="204"/>
      <c r="K311" s="204"/>
      <c r="L311" s="204"/>
      <c r="M311" s="204"/>
      <c r="N311" s="204"/>
      <c r="O311" s="204"/>
      <c r="P311" s="204"/>
      <c r="Q311" s="204"/>
      <c r="R311" s="204"/>
      <c r="S311" s="204"/>
      <c r="T311" s="204"/>
      <c r="U311" s="204"/>
      <c r="V311" s="204"/>
      <c r="W311" s="204"/>
      <c r="X311" s="97"/>
      <c r="Y311" s="198"/>
      <c r="Z311" s="98"/>
      <c r="AA311" s="198"/>
      <c r="AB311" s="40"/>
      <c r="AC311" s="43"/>
      <c r="AD311" s="22"/>
    </row>
    <row r="312" spans="1:30" s="23" customFormat="1" x14ac:dyDescent="0.3">
      <c r="A312" s="242"/>
      <c r="B312" s="243" t="s">
        <v>299</v>
      </c>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62" t="s">
        <v>69</v>
      </c>
      <c r="Y312" s="263" t="s">
        <v>70</v>
      </c>
      <c r="Z312" s="262" t="s">
        <v>75</v>
      </c>
      <c r="AA312" s="263" t="s">
        <v>70</v>
      </c>
      <c r="AB312" s="243"/>
      <c r="AC312" s="243"/>
      <c r="AD312" s="22"/>
    </row>
    <row r="313" spans="1:30" s="23" customFormat="1" x14ac:dyDescent="0.3">
      <c r="A313" s="272"/>
      <c r="B313" s="273" t="s">
        <v>295</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275">
        <v>0</v>
      </c>
      <c r="Y313" s="276">
        <f>X313/X320</f>
        <v>0</v>
      </c>
      <c r="Z313" s="277">
        <v>0</v>
      </c>
      <c r="AA313" s="276">
        <f>Z313/Z320</f>
        <v>0</v>
      </c>
      <c r="AB313" s="40"/>
      <c r="AC313" s="43"/>
      <c r="AD313" s="22"/>
    </row>
    <row r="314" spans="1:30" s="23" customFormat="1" x14ac:dyDescent="0.3">
      <c r="A314" s="272"/>
      <c r="B314" s="273" t="s">
        <v>296</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275">
        <v>0</v>
      </c>
      <c r="Y314" s="276">
        <v>0</v>
      </c>
      <c r="Z314" s="277">
        <v>0</v>
      </c>
      <c r="AA314" s="276">
        <v>0</v>
      </c>
      <c r="AB314" s="40"/>
      <c r="AC314" s="43"/>
      <c r="AD314" s="22"/>
    </row>
    <row r="315" spans="1:30" s="23" customFormat="1" x14ac:dyDescent="0.3">
      <c r="A315" s="272"/>
      <c r="B315" s="273" t="s">
        <v>297</v>
      </c>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275">
        <v>0</v>
      </c>
      <c r="Y315" s="276">
        <v>0</v>
      </c>
      <c r="Z315" s="277">
        <v>0</v>
      </c>
      <c r="AA315" s="276">
        <v>0</v>
      </c>
      <c r="AB315" s="40"/>
      <c r="AC315" s="43"/>
      <c r="AD315" s="22"/>
    </row>
    <row r="316" spans="1:30" s="23" customFormat="1" x14ac:dyDescent="0.3">
      <c r="A316" s="272"/>
      <c r="B316" s="273" t="s">
        <v>298</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5">
        <v>0</v>
      </c>
      <c r="Y316" s="276">
        <f>X316/X320</f>
        <v>0</v>
      </c>
      <c r="Z316" s="277">
        <v>0</v>
      </c>
      <c r="AA316" s="276">
        <f>Z316/Z320</f>
        <v>0</v>
      </c>
      <c r="AB316" s="40"/>
      <c r="AC316" s="43"/>
      <c r="AD316" s="22"/>
    </row>
    <row r="317" spans="1:30" s="23" customFormat="1" x14ac:dyDescent="0.3">
      <c r="A317" s="272"/>
      <c r="B317" s="273" t="s">
        <v>368</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5">
        <v>1</v>
      </c>
      <c r="Y317" s="276">
        <f>X317/X320</f>
        <v>0.5</v>
      </c>
      <c r="Z317" s="277">
        <v>62</v>
      </c>
      <c r="AA317" s="276">
        <f>Z317/Z320</f>
        <v>0.28703703703703703</v>
      </c>
      <c r="AB317" s="40"/>
      <c r="AC317" s="43"/>
      <c r="AD317" s="22"/>
    </row>
    <row r="318" spans="1:30" s="23" customFormat="1" x14ac:dyDescent="0.3">
      <c r="A318" s="272"/>
      <c r="B318" s="274" t="s">
        <v>300</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5">
        <v>1</v>
      </c>
      <c r="Y318" s="276">
        <f>X318/X320</f>
        <v>0.5</v>
      </c>
      <c r="Z318" s="277">
        <v>154</v>
      </c>
      <c r="AA318" s="276">
        <f>Z318/Z320</f>
        <v>0.71296296296296291</v>
      </c>
      <c r="AB318" s="40"/>
      <c r="AC318" s="43"/>
      <c r="AD318" s="22"/>
    </row>
    <row r="319" spans="1:30" s="23" customFormat="1" x14ac:dyDescent="0.3">
      <c r="A319" s="272"/>
      <c r="B319" s="273"/>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5"/>
      <c r="Y319" s="276"/>
      <c r="Z319" s="277"/>
      <c r="AA319" s="276"/>
      <c r="AB319" s="40"/>
      <c r="AC319" s="43"/>
      <c r="AD319" s="22"/>
    </row>
    <row r="320" spans="1:30" s="23" customFormat="1" x14ac:dyDescent="0.3">
      <c r="A320" s="272"/>
      <c r="B320" s="273" t="s">
        <v>80</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5">
        <f>SUM(X313:X319)</f>
        <v>2</v>
      </c>
      <c r="Y320" s="276">
        <f>SUM(Y313:Y318)</f>
        <v>1</v>
      </c>
      <c r="Z320" s="277">
        <f>SUM(Z313:Z318)</f>
        <v>216</v>
      </c>
      <c r="AA320" s="276">
        <f>SUM(AA313:AA319)</f>
        <v>1</v>
      </c>
      <c r="AB320" s="40"/>
      <c r="AC320" s="43"/>
      <c r="AD320" s="22"/>
    </row>
    <row r="321" spans="1:30" x14ac:dyDescent="0.3">
      <c r="A321" s="7"/>
      <c r="B321" s="99"/>
      <c r="C321" s="99"/>
      <c r="D321" s="205"/>
      <c r="E321" s="205"/>
      <c r="F321" s="205"/>
      <c r="G321" s="205"/>
      <c r="H321" s="205"/>
      <c r="I321" s="205"/>
      <c r="J321" s="205"/>
      <c r="K321" s="205"/>
      <c r="L321" s="205"/>
      <c r="M321" s="205"/>
      <c r="N321" s="205"/>
      <c r="O321" s="205"/>
      <c r="P321" s="205"/>
      <c r="Q321" s="205"/>
      <c r="R321" s="205"/>
      <c r="S321" s="205"/>
      <c r="T321" s="205"/>
      <c r="U321" s="205"/>
      <c r="V321" s="205"/>
      <c r="W321" s="205"/>
      <c r="X321" s="100"/>
      <c r="Y321" s="206"/>
      <c r="Z321" s="207"/>
      <c r="AA321" s="206"/>
      <c r="AB321" s="99"/>
      <c r="AC321" s="10"/>
      <c r="AD321" s="5"/>
    </row>
    <row r="322" spans="1:30" x14ac:dyDescent="0.3">
      <c r="A322" s="33"/>
      <c r="B322" s="102" t="s">
        <v>106</v>
      </c>
      <c r="C322" s="34"/>
      <c r="D322" s="208"/>
      <c r="E322" s="208"/>
      <c r="F322" s="208"/>
      <c r="G322" s="208"/>
      <c r="H322" s="208"/>
      <c r="I322" s="208"/>
      <c r="J322" s="208"/>
      <c r="K322" s="208"/>
      <c r="L322" s="208"/>
      <c r="M322" s="208"/>
      <c r="N322" s="208"/>
      <c r="O322" s="208"/>
      <c r="P322" s="208"/>
      <c r="Q322" s="208"/>
      <c r="R322" s="208"/>
      <c r="S322" s="208"/>
      <c r="T322" s="208"/>
      <c r="U322" s="208"/>
      <c r="V322" s="208"/>
      <c r="W322" s="208"/>
      <c r="X322" s="154" t="s">
        <v>69</v>
      </c>
      <c r="Y322" s="103" t="s">
        <v>70</v>
      </c>
      <c r="Z322" s="154" t="s">
        <v>75</v>
      </c>
      <c r="AA322" s="103" t="s">
        <v>70</v>
      </c>
      <c r="AB322" s="34"/>
      <c r="AC322" s="36"/>
      <c r="AD322" s="5"/>
    </row>
    <row r="323" spans="1:30" s="23" customFormat="1" x14ac:dyDescent="0.3">
      <c r="A323" s="18"/>
      <c r="B323" s="106" t="s">
        <v>59</v>
      </c>
      <c r="C323" s="37"/>
      <c r="D323" s="209"/>
      <c r="E323" s="209"/>
      <c r="F323" s="209"/>
      <c r="G323" s="209"/>
      <c r="H323" s="209"/>
      <c r="I323" s="209"/>
      <c r="J323" s="209"/>
      <c r="K323" s="209"/>
      <c r="L323" s="209"/>
      <c r="M323" s="209"/>
      <c r="N323" s="209"/>
      <c r="O323" s="209"/>
      <c r="P323" s="209"/>
      <c r="Q323" s="209"/>
      <c r="R323" s="209"/>
      <c r="S323" s="209"/>
      <c r="T323" s="209"/>
      <c r="U323" s="209"/>
      <c r="V323" s="209"/>
      <c r="W323" s="209"/>
      <c r="X323" s="106">
        <v>0</v>
      </c>
      <c r="Y323" s="192">
        <v>0</v>
      </c>
      <c r="Z323" s="107">
        <v>0</v>
      </c>
      <c r="AA323" s="192">
        <v>0</v>
      </c>
      <c r="AB323" s="37"/>
      <c r="AC323" s="21"/>
      <c r="AD323" s="22"/>
    </row>
    <row r="324" spans="1:30" s="23" customFormat="1" x14ac:dyDescent="0.3">
      <c r="A324" s="47"/>
      <c r="B324" s="97" t="s">
        <v>60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97">
        <v>0</v>
      </c>
      <c r="Y324" s="198">
        <v>0</v>
      </c>
      <c r="Z324" s="98">
        <v>0</v>
      </c>
      <c r="AA324" s="198">
        <v>0</v>
      </c>
      <c r="AB324" s="40"/>
      <c r="AC324" s="43"/>
      <c r="AD324" s="22"/>
    </row>
    <row r="325" spans="1:30" s="23" customFormat="1" x14ac:dyDescent="0.3">
      <c r="A325" s="47"/>
      <c r="B325" s="97" t="s">
        <v>61</v>
      </c>
      <c r="C325" s="40"/>
      <c r="D325" s="204"/>
      <c r="E325" s="204"/>
      <c r="F325" s="204"/>
      <c r="G325" s="204"/>
      <c r="H325" s="204"/>
      <c r="I325" s="204"/>
      <c r="J325" s="204"/>
      <c r="K325" s="204"/>
      <c r="L325" s="204"/>
      <c r="M325" s="204"/>
      <c r="N325" s="204"/>
      <c r="O325" s="204"/>
      <c r="P325" s="204"/>
      <c r="Q325" s="204"/>
      <c r="R325" s="204"/>
      <c r="S325" s="204"/>
      <c r="T325" s="204"/>
      <c r="U325" s="204"/>
      <c r="V325" s="204"/>
      <c r="W325" s="204"/>
      <c r="X325" s="97">
        <v>0</v>
      </c>
      <c r="Y325" s="198">
        <v>0</v>
      </c>
      <c r="Z325" s="98">
        <v>0</v>
      </c>
      <c r="AA325" s="198">
        <v>0</v>
      </c>
      <c r="AB325" s="40"/>
      <c r="AC325" s="43"/>
      <c r="AD325" s="22"/>
    </row>
    <row r="326" spans="1:30" s="23" customFormat="1" x14ac:dyDescent="0.3">
      <c r="A326" s="47"/>
      <c r="B326" s="97" t="s">
        <v>100</v>
      </c>
      <c r="C326" s="40"/>
      <c r="D326" s="204"/>
      <c r="E326" s="204"/>
      <c r="F326" s="204"/>
      <c r="G326" s="204"/>
      <c r="H326" s="204"/>
      <c r="I326" s="204"/>
      <c r="J326" s="204"/>
      <c r="K326" s="204"/>
      <c r="L326" s="204"/>
      <c r="M326" s="204"/>
      <c r="N326" s="204"/>
      <c r="O326" s="204"/>
      <c r="P326" s="204"/>
      <c r="Q326" s="204"/>
      <c r="R326" s="204"/>
      <c r="S326" s="204"/>
      <c r="T326" s="204"/>
      <c r="U326" s="204"/>
      <c r="V326" s="204"/>
      <c r="W326" s="204"/>
      <c r="X326" s="97">
        <v>0</v>
      </c>
      <c r="Y326" s="198">
        <v>0</v>
      </c>
      <c r="Z326" s="98">
        <v>0</v>
      </c>
      <c r="AA326" s="198">
        <v>0</v>
      </c>
      <c r="AB326" s="40"/>
      <c r="AC326" s="43"/>
      <c r="AD326" s="22"/>
    </row>
    <row r="327" spans="1:30" s="23" customFormat="1" x14ac:dyDescent="0.3">
      <c r="A327" s="47"/>
      <c r="B327" s="97" t="s">
        <v>101</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102</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103</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104</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c r="Y331" s="198"/>
      <c r="Z331" s="98"/>
      <c r="AA331" s="198"/>
      <c r="AB331" s="40"/>
      <c r="AC331" s="43"/>
      <c r="AD331" s="22"/>
    </row>
    <row r="332" spans="1:30" s="23" customFormat="1" x14ac:dyDescent="0.3">
      <c r="A332" s="47"/>
      <c r="B332" s="40" t="s">
        <v>80</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f>SUM(X323:X330)</f>
        <v>0</v>
      </c>
      <c r="Y332" s="198">
        <f>SUM(Y323:Y330)</f>
        <v>0</v>
      </c>
      <c r="Z332" s="98">
        <f>SUM(Z323:Z330)</f>
        <v>0</v>
      </c>
      <c r="AA332" s="198">
        <f>SUM(AA323:AA330)</f>
        <v>0</v>
      </c>
      <c r="AB332" s="40"/>
      <c r="AC332" s="43"/>
      <c r="AD332" s="22"/>
    </row>
    <row r="333" spans="1:30" s="23" customFormat="1" x14ac:dyDescent="0.3">
      <c r="A333" s="47"/>
      <c r="B333" s="40"/>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c r="Y333" s="198"/>
      <c r="Z333" s="98"/>
      <c r="AA333" s="198"/>
      <c r="AB333" s="40"/>
      <c r="AC333" s="43"/>
      <c r="AD333" s="22"/>
    </row>
    <row r="334" spans="1:30" s="23" customFormat="1" x14ac:dyDescent="0.3">
      <c r="A334" s="47"/>
      <c r="B334" s="44" t="s">
        <v>139</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210">
        <f>X332+X310+X298</f>
        <v>3306</v>
      </c>
      <c r="Y334" s="198"/>
      <c r="Z334" s="211">
        <f>+Z332+Z310+Z298</f>
        <v>624755</v>
      </c>
      <c r="AA334" s="198"/>
      <c r="AB334" s="40"/>
      <c r="AC334" s="43"/>
      <c r="AD334" s="22"/>
    </row>
    <row r="335" spans="1:30" s="23" customFormat="1" x14ac:dyDescent="0.3">
      <c r="A335" s="47"/>
      <c r="B335" s="44" t="s">
        <v>280</v>
      </c>
      <c r="C335" s="44"/>
      <c r="D335" s="212"/>
      <c r="E335" s="212"/>
      <c r="F335" s="212"/>
      <c r="G335" s="212"/>
      <c r="H335" s="212"/>
      <c r="I335" s="212"/>
      <c r="J335" s="212"/>
      <c r="K335" s="212"/>
      <c r="L335" s="212"/>
      <c r="M335" s="212"/>
      <c r="N335" s="212"/>
      <c r="O335" s="212"/>
      <c r="P335" s="212"/>
      <c r="Q335" s="212"/>
      <c r="R335" s="212"/>
      <c r="S335" s="212"/>
      <c r="T335" s="212"/>
      <c r="U335" s="212"/>
      <c r="V335" s="212"/>
      <c r="W335" s="212"/>
      <c r="X335" s="210"/>
      <c r="Y335" s="213"/>
      <c r="Z335" s="211">
        <f>+AB64+AB63</f>
        <v>6</v>
      </c>
      <c r="AA335" s="198"/>
      <c r="AB335" s="40"/>
      <c r="AC335" s="43"/>
      <c r="AD335" s="22"/>
    </row>
    <row r="336" spans="1:30" s="23" customFormat="1" x14ac:dyDescent="0.3">
      <c r="A336" s="47"/>
      <c r="B336" s="44" t="s">
        <v>107</v>
      </c>
      <c r="C336" s="44"/>
      <c r="D336" s="212"/>
      <c r="E336" s="212"/>
      <c r="F336" s="212"/>
      <c r="G336" s="212"/>
      <c r="H336" s="212"/>
      <c r="I336" s="212"/>
      <c r="J336" s="212"/>
      <c r="K336" s="212"/>
      <c r="L336" s="212"/>
      <c r="M336" s="212"/>
      <c r="N336" s="212"/>
      <c r="O336" s="212"/>
      <c r="P336" s="212"/>
      <c r="Q336" s="212"/>
      <c r="R336" s="212"/>
      <c r="S336" s="212"/>
      <c r="T336" s="212"/>
      <c r="U336" s="212"/>
      <c r="V336" s="212"/>
      <c r="W336" s="212"/>
      <c r="X336" s="210"/>
      <c r="Y336" s="213"/>
      <c r="Z336" s="211">
        <f>+Z334+Z335</f>
        <v>624761</v>
      </c>
      <c r="AA336" s="198"/>
      <c r="AB336" s="40"/>
      <c r="AC336" s="43"/>
      <c r="AD336" s="22"/>
    </row>
    <row r="337" spans="1:30" s="23" customFormat="1" x14ac:dyDescent="0.3">
      <c r="A337" s="47"/>
      <c r="B337" s="44" t="s">
        <v>245</v>
      </c>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210"/>
      <c r="Y337" s="198"/>
      <c r="Z337" s="211">
        <f>+AB66</f>
        <v>624761</v>
      </c>
      <c r="AA337" s="198"/>
      <c r="AB337" s="40"/>
      <c r="AC337" s="43"/>
      <c r="AD337" s="22"/>
    </row>
    <row r="338" spans="1:30" s="23" customFormat="1" x14ac:dyDescent="0.3">
      <c r="A338" s="47"/>
      <c r="B338" s="44"/>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c r="Y338" s="198"/>
      <c r="Z338" s="211"/>
      <c r="AA338" s="198"/>
      <c r="AB338" s="40"/>
      <c r="AC338" s="43"/>
      <c r="AD338" s="22"/>
    </row>
    <row r="339" spans="1:30" s="23" customFormat="1" x14ac:dyDescent="0.3">
      <c r="A339" s="47"/>
      <c r="B339" s="44" t="s">
        <v>327</v>
      </c>
      <c r="C339" s="40"/>
      <c r="D339" s="204"/>
      <c r="E339" s="204"/>
      <c r="F339" s="204"/>
      <c r="G339" s="204"/>
      <c r="H339" s="204"/>
      <c r="I339" s="204"/>
      <c r="J339" s="204"/>
      <c r="K339" s="204"/>
      <c r="L339" s="204"/>
      <c r="M339" s="204"/>
      <c r="N339" s="204"/>
      <c r="O339" s="204"/>
      <c r="P339" s="204"/>
      <c r="Q339" s="204"/>
      <c r="R339" s="204"/>
      <c r="S339" s="204"/>
      <c r="T339" s="204"/>
      <c r="U339" s="204"/>
      <c r="V339" s="204"/>
      <c r="W339" s="204"/>
      <c r="X339" s="210"/>
      <c r="Y339" s="198"/>
      <c r="Z339" s="236">
        <f>(F31+H31+J31+L31+N31)/AB31</f>
        <v>1</v>
      </c>
      <c r="AA339" s="198"/>
      <c r="AB339" s="40"/>
      <c r="AC339" s="43"/>
      <c r="AD339" s="22"/>
    </row>
    <row r="340" spans="1:30" s="23" customFormat="1" x14ac:dyDescent="0.3">
      <c r="A340" s="18"/>
      <c r="B340" s="20"/>
      <c r="C340" s="20"/>
      <c r="D340" s="214"/>
      <c r="E340" s="214"/>
      <c r="F340" s="214"/>
      <c r="G340" s="214"/>
      <c r="H340" s="214"/>
      <c r="I340" s="214"/>
      <c r="J340" s="214"/>
      <c r="K340" s="214"/>
      <c r="L340" s="214"/>
      <c r="M340" s="214"/>
      <c r="N340" s="214"/>
      <c r="O340" s="214"/>
      <c r="P340" s="214"/>
      <c r="Q340" s="214"/>
      <c r="R340" s="214"/>
      <c r="S340" s="214"/>
      <c r="T340" s="214"/>
      <c r="U340" s="214"/>
      <c r="V340" s="214"/>
      <c r="W340" s="214"/>
      <c r="X340" s="214"/>
      <c r="Y340" s="214"/>
      <c r="Z340" s="215"/>
      <c r="AA340" s="214"/>
      <c r="AB340" s="20"/>
      <c r="AC340" s="21"/>
      <c r="AD340" s="22"/>
    </row>
    <row r="341" spans="1:30" s="23" customFormat="1" x14ac:dyDescent="0.3">
      <c r="A341" s="18"/>
      <c r="B341" s="19" t="s">
        <v>62</v>
      </c>
      <c r="C341" s="20"/>
      <c r="D341" s="216" t="s">
        <v>66</v>
      </c>
      <c r="E341" s="19"/>
      <c r="F341" s="19" t="s">
        <v>67</v>
      </c>
      <c r="G341" s="20"/>
      <c r="H341" s="19"/>
      <c r="I341" s="20"/>
      <c r="J341" s="20"/>
      <c r="K341" s="20"/>
      <c r="L341" s="20"/>
      <c r="M341" s="20"/>
      <c r="N341" s="20"/>
      <c r="O341" s="20"/>
      <c r="P341" s="20"/>
      <c r="Q341" s="20"/>
      <c r="R341" s="20"/>
      <c r="S341" s="20"/>
      <c r="T341" s="20"/>
      <c r="U341" s="20"/>
      <c r="V341" s="20"/>
      <c r="W341" s="20"/>
      <c r="X341" s="20"/>
      <c r="Y341" s="20"/>
      <c r="Z341" s="20"/>
      <c r="AA341" s="20"/>
      <c r="AB341" s="20"/>
      <c r="AC341" s="21"/>
      <c r="AD341" s="22"/>
    </row>
    <row r="342" spans="1:30" s="23" customFormat="1" x14ac:dyDescent="0.3">
      <c r="A342" s="18"/>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1"/>
      <c r="AD342" s="22"/>
    </row>
    <row r="343" spans="1:30" s="23" customFormat="1" x14ac:dyDescent="0.3">
      <c r="A343" s="18"/>
      <c r="B343" s="19" t="s">
        <v>152</v>
      </c>
      <c r="C343" s="19"/>
      <c r="D343" s="217" t="s">
        <v>122</v>
      </c>
      <c r="E343" s="19"/>
      <c r="F343" s="19" t="s">
        <v>169</v>
      </c>
      <c r="G343" s="19"/>
      <c r="H343" s="19"/>
      <c r="I343" s="20"/>
      <c r="J343" s="20"/>
      <c r="K343" s="20"/>
      <c r="L343" s="20"/>
      <c r="M343" s="20"/>
      <c r="N343" s="20"/>
      <c r="O343" s="20"/>
      <c r="P343" s="20"/>
      <c r="Q343" s="20"/>
      <c r="R343" s="20"/>
      <c r="S343" s="20"/>
      <c r="T343" s="20"/>
      <c r="U343" s="20"/>
      <c r="V343" s="20"/>
      <c r="W343" s="20"/>
      <c r="X343" s="20"/>
      <c r="Y343" s="20"/>
      <c r="Z343" s="20"/>
      <c r="AA343" s="20"/>
      <c r="AB343" s="20"/>
      <c r="AC343" s="21"/>
      <c r="AD343" s="22"/>
    </row>
    <row r="344" spans="1:30" s="23" customFormat="1" x14ac:dyDescent="0.3">
      <c r="A344" s="18"/>
      <c r="B344" s="19" t="s">
        <v>153</v>
      </c>
      <c r="C344" s="19"/>
      <c r="D344" s="217" t="s">
        <v>98</v>
      </c>
      <c r="E344" s="19"/>
      <c r="F344" s="19" t="s">
        <v>170</v>
      </c>
      <c r="G344" s="19"/>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s="23" customFormat="1" x14ac:dyDescent="0.3">
      <c r="A345" s="18"/>
      <c r="B345" s="19"/>
      <c r="C345" s="19"/>
      <c r="D345" s="217"/>
      <c r="E345" s="19"/>
      <c r="F345" s="19"/>
      <c r="G345" s="19"/>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ht="18" x14ac:dyDescent="0.35">
      <c r="A346" s="218"/>
      <c r="B346" s="259" t="s">
        <v>109</v>
      </c>
      <c r="C346" s="219"/>
      <c r="D346" s="220"/>
      <c r="E346" s="220"/>
      <c r="F346" s="220"/>
      <c r="G346" s="220"/>
      <c r="H346" s="220"/>
      <c r="I346" s="220"/>
      <c r="J346" s="220"/>
      <c r="K346" s="220"/>
      <c r="L346" s="220"/>
      <c r="M346" s="220"/>
      <c r="N346" s="220"/>
      <c r="O346" s="220"/>
      <c r="P346" s="260" t="s">
        <v>168</v>
      </c>
      <c r="Q346" s="220"/>
      <c r="R346" s="220"/>
      <c r="S346" s="220"/>
      <c r="T346" s="220"/>
      <c r="U346" s="220"/>
      <c r="V346" s="220"/>
      <c r="W346" s="220"/>
      <c r="X346" s="220"/>
      <c r="Y346" s="220"/>
      <c r="Z346" s="220"/>
      <c r="AA346" s="220"/>
      <c r="AB346" s="220"/>
      <c r="AC346" s="221"/>
      <c r="AD346" s="5"/>
    </row>
    <row r="347" spans="1:30" ht="18" x14ac:dyDescent="0.35">
      <c r="A347" s="218"/>
      <c r="B347" s="259"/>
      <c r="C347" s="219"/>
      <c r="D347" s="220"/>
      <c r="E347" s="220"/>
      <c r="F347" s="220"/>
      <c r="G347" s="220"/>
      <c r="H347" s="220"/>
      <c r="I347" s="220"/>
      <c r="J347" s="220"/>
      <c r="K347" s="220"/>
      <c r="L347" s="220"/>
      <c r="M347" s="220"/>
      <c r="N347" s="220"/>
      <c r="O347" s="220"/>
      <c r="P347" s="260"/>
      <c r="Q347" s="220"/>
      <c r="R347" s="220"/>
      <c r="S347" s="220"/>
      <c r="T347" s="220"/>
      <c r="U347" s="220"/>
      <c r="V347" s="220"/>
      <c r="W347" s="220"/>
      <c r="X347" s="220"/>
      <c r="Y347" s="220"/>
      <c r="Z347" s="220"/>
      <c r="AA347" s="220"/>
      <c r="AB347" s="220"/>
      <c r="AC347" s="221"/>
      <c r="AD347" s="5"/>
    </row>
    <row r="348" spans="1:30" ht="18.600000000000001" thickBot="1" x14ac:dyDescent="0.4">
      <c r="A348" s="218"/>
      <c r="B348" s="222" t="str">
        <f>B234</f>
        <v>PM27 INVESTOR REPORT QUARTER ENDING MARCH 2024</v>
      </c>
      <c r="C348" s="219"/>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c r="AA348" s="220"/>
      <c r="AB348" s="220"/>
      <c r="AC348" s="223"/>
      <c r="AD348" s="5"/>
    </row>
    <row r="349" spans="1:30" x14ac:dyDescent="0.3">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c r="Y349" s="224"/>
      <c r="Z349" s="224"/>
      <c r="AA349" s="224"/>
      <c r="AB349" s="224"/>
      <c r="AC349" s="224"/>
    </row>
    <row r="350" spans="1:30" x14ac:dyDescent="0.3">
      <c r="B350" s="278" t="s">
        <v>351</v>
      </c>
    </row>
    <row r="351" spans="1:30" x14ac:dyDescent="0.3">
      <c r="B351" s="270" t="s">
        <v>352</v>
      </c>
    </row>
    <row r="352" spans="1:30" x14ac:dyDescent="0.3">
      <c r="B352" s="298" t="s">
        <v>353</v>
      </c>
    </row>
    <row r="354" spans="2:2" x14ac:dyDescent="0.3">
      <c r="B354" s="270" t="s">
        <v>374</v>
      </c>
    </row>
    <row r="356" spans="2:2" x14ac:dyDescent="0.3">
      <c r="B356" s="270" t="s">
        <v>372</v>
      </c>
    </row>
    <row r="357" spans="2:2" x14ac:dyDescent="0.3">
      <c r="B357" s="270" t="s">
        <v>364</v>
      </c>
    </row>
  </sheetData>
  <hyperlinks>
    <hyperlink ref="K9" r:id="rId1" display="http://www.paragon-group.co.uk" xr:uid="{41E1AAFA-CAFE-4AF5-8141-D9C1A1F2DD51}"/>
    <hyperlink ref="P346" r:id="rId2" xr:uid="{138BC65A-1442-4C22-891F-BD238E50D5BB}"/>
    <hyperlink ref="P274" r:id="rId3" xr:uid="{2A70356D-EA38-41EA-851F-F79E30889D57}"/>
    <hyperlink ref="B352" r:id="rId4" display="https://investorreporting.paragonbankinggroup.co.uk/bondinvestor_viewer/resources/bondinvestor/pdf/investornews/2021/libor-mortgages-transition-july-19" xr:uid="{4F14B432-C480-4F23-9121-9F5A1A8C2CC5}"/>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1" max="18" man="1"/>
    <brk id="234" max="18" man="1"/>
  </rowBreaks>
  <colBreaks count="1" manualBreakCount="1">
    <brk id="29" max="299" man="1"/>
  </colBreaks>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266C2-3667-4F31-8C08-FF9A599B58E8}">
  <sheetPr>
    <tabColor rgb="FF2D2926"/>
  </sheetPr>
  <dimension ref="A1:JB384"/>
  <sheetViews>
    <sheetView showGridLines="0" showOutlineSymbols="0" zoomScale="70" zoomScaleNormal="70" workbookViewId="0"/>
  </sheetViews>
  <sheetFormatPr defaultColWidth="9.81640625" defaultRowHeight="15.6" x14ac:dyDescent="0.3"/>
  <cols>
    <col min="1" max="1" width="4" style="6" customWidth="1"/>
    <col min="2" max="2" width="71.08984375" style="6" customWidth="1"/>
    <col min="3" max="3" width="2.08984375" style="6" customWidth="1"/>
    <col min="4" max="4" width="16.08984375" style="6" customWidth="1"/>
    <col min="5" max="5" width="2.81640625" style="6" customWidth="1"/>
    <col min="6" max="6" width="16.08984375" style="6" customWidth="1"/>
    <col min="7" max="7" width="2.08984375" style="6" customWidth="1"/>
    <col min="8" max="8" width="17.81640625" style="6" customWidth="1"/>
    <col min="9" max="9" width="2.08984375" style="6" customWidth="1"/>
    <col min="10" max="10" width="14.8164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302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168</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301</v>
      </c>
      <c r="AC14" s="21"/>
      <c r="AD14" s="22"/>
    </row>
    <row r="15" spans="1:30" s="23" customFormat="1" x14ac:dyDescent="0.3">
      <c r="A15" s="18"/>
      <c r="B15" s="19" t="s">
        <v>278</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323</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3.6400000000000002E-2</v>
      </c>
      <c r="Z16" s="29" t="s">
        <v>264</v>
      </c>
      <c r="AA16" s="29">
        <v>0.96360000000000001</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3.5900000000000001E-2</v>
      </c>
      <c r="Z17" s="29" t="s">
        <v>264</v>
      </c>
      <c r="AA17" s="29">
        <v>0.96409999999999996</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6">
        <v>43951</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44127</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304</v>
      </c>
      <c r="G23" s="35"/>
      <c r="H23" s="35" t="s">
        <v>140</v>
      </c>
      <c r="I23" s="35"/>
      <c r="J23" s="35" t="s">
        <v>141</v>
      </c>
      <c r="K23" s="35"/>
      <c r="L23" s="35" t="s">
        <v>171</v>
      </c>
      <c r="M23" s="35"/>
      <c r="N23" s="35" t="s">
        <v>161</v>
      </c>
      <c r="O23" s="35"/>
      <c r="P23" s="35" t="s">
        <v>181</v>
      </c>
      <c r="Q23" s="35"/>
      <c r="R23" s="35" t="s">
        <v>182</v>
      </c>
      <c r="S23" s="35"/>
      <c r="T23" s="35" t="s">
        <v>183</v>
      </c>
      <c r="U23" s="35"/>
      <c r="V23" s="35" t="s">
        <v>184</v>
      </c>
      <c r="W23" s="35"/>
      <c r="X23" s="35" t="s">
        <v>185</v>
      </c>
      <c r="Y23" s="35" t="s">
        <v>186</v>
      </c>
      <c r="Z23" s="35"/>
      <c r="AA23" s="34"/>
      <c r="AB23" s="34"/>
      <c r="AC23" s="36"/>
      <c r="AD23" s="5"/>
    </row>
    <row r="24" spans="1:33" s="23" customFormat="1" x14ac:dyDescent="0.3">
      <c r="A24" s="18"/>
      <c r="B24" s="37" t="s">
        <v>158</v>
      </c>
      <c r="C24" s="38"/>
      <c r="D24" s="228"/>
      <c r="E24" s="228"/>
      <c r="F24" s="228" t="s">
        <v>220</v>
      </c>
      <c r="G24" s="228"/>
      <c r="H24" s="228" t="s">
        <v>221</v>
      </c>
      <c r="I24" s="228"/>
      <c r="J24" s="228" t="s">
        <v>269</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c r="E25" s="227"/>
      <c r="F25" s="227" t="s">
        <v>222</v>
      </c>
      <c r="G25" s="227"/>
      <c r="H25" s="227" t="s">
        <v>223</v>
      </c>
      <c r="I25" s="227"/>
      <c r="J25" s="227" t="s">
        <v>270</v>
      </c>
      <c r="K25" s="227"/>
      <c r="L25" s="227" t="s">
        <v>324</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159</v>
      </c>
      <c r="C26" s="41"/>
      <c r="D26" s="229"/>
      <c r="E26" s="229"/>
      <c r="F26" s="229" t="s">
        <v>220</v>
      </c>
      <c r="G26" s="229"/>
      <c r="H26" s="229" t="s">
        <v>221</v>
      </c>
      <c r="I26" s="229"/>
      <c r="J26" s="229" t="s">
        <v>269</v>
      </c>
      <c r="K26" s="229"/>
      <c r="L26" s="229" t="s">
        <v>271</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c r="E27" s="229"/>
      <c r="F27" s="229" t="s">
        <v>222</v>
      </c>
      <c r="G27" s="229"/>
      <c r="H27" s="229" t="s">
        <v>223</v>
      </c>
      <c r="I27" s="229"/>
      <c r="J27" s="229" t="s">
        <v>270</v>
      </c>
      <c r="K27" s="229"/>
      <c r="L27" s="229" t="s">
        <v>324</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c r="E28" s="227"/>
      <c r="F28" s="227" t="s">
        <v>313</v>
      </c>
      <c r="G28" s="227"/>
      <c r="H28" s="227" t="s">
        <v>314</v>
      </c>
      <c r="I28" s="227"/>
      <c r="J28" s="227" t="s">
        <v>315</v>
      </c>
      <c r="K28" s="227"/>
      <c r="L28" s="227" t="s">
        <v>316</v>
      </c>
      <c r="M28" s="227"/>
      <c r="N28" s="227" t="s">
        <v>317</v>
      </c>
      <c r="O28" s="227"/>
      <c r="P28" s="227" t="s">
        <v>318</v>
      </c>
      <c r="Q28" s="227"/>
      <c r="R28" s="227" t="s">
        <v>83</v>
      </c>
      <c r="S28" s="227"/>
      <c r="T28" s="227" t="s">
        <v>319</v>
      </c>
      <c r="U28" s="227"/>
      <c r="V28" s="227" t="s">
        <v>320</v>
      </c>
      <c r="W28" s="227"/>
      <c r="X28" s="227" t="s">
        <v>321</v>
      </c>
      <c r="Y28" s="227" t="s">
        <v>322</v>
      </c>
      <c r="Z28" s="227"/>
      <c r="AA28" s="49"/>
      <c r="AB28" s="50"/>
      <c r="AC28" s="51"/>
      <c r="AD28" s="22"/>
      <c r="AE28" s="45"/>
      <c r="AG28" s="46"/>
    </row>
    <row r="29" spans="1:33" s="23" customFormat="1" x14ac:dyDescent="0.3">
      <c r="A29" s="39"/>
      <c r="B29" s="40" t="s">
        <v>91</v>
      </c>
      <c r="C29" s="52"/>
      <c r="D29" s="54"/>
      <c r="E29" s="53"/>
      <c r="F29" s="54">
        <v>648307</v>
      </c>
      <c r="G29" s="55"/>
      <c r="H29" s="54">
        <v>41826</v>
      </c>
      <c r="I29" s="55"/>
      <c r="J29" s="54">
        <v>22814</v>
      </c>
      <c r="K29" s="55"/>
      <c r="L29" s="54">
        <v>22814</v>
      </c>
      <c r="M29" s="50"/>
      <c r="N29" s="54">
        <v>24717</v>
      </c>
      <c r="O29" s="54"/>
      <c r="P29" s="231">
        <v>11637</v>
      </c>
      <c r="Q29" s="231"/>
      <c r="R29" s="231">
        <v>4175</v>
      </c>
      <c r="S29" s="54"/>
      <c r="T29" s="54" t="s">
        <v>83</v>
      </c>
      <c r="U29" s="54"/>
      <c r="V29" s="54" t="s">
        <v>83</v>
      </c>
      <c r="W29" s="54"/>
      <c r="X29" s="54" t="s">
        <v>83</v>
      </c>
      <c r="Y29" s="54" t="s">
        <v>83</v>
      </c>
      <c r="Z29" s="54"/>
      <c r="AA29" s="52"/>
      <c r="AB29" s="50">
        <f>SUM(F29:N29)</f>
        <v>760478</v>
      </c>
      <c r="AC29" s="51"/>
      <c r="AD29" s="22"/>
    </row>
    <row r="30" spans="1:33" s="23" customFormat="1" x14ac:dyDescent="0.3">
      <c r="A30" s="47"/>
      <c r="B30" s="40" t="s">
        <v>90</v>
      </c>
      <c r="C30" s="49"/>
      <c r="D30" s="54"/>
      <c r="E30" s="54"/>
      <c r="F30" s="54">
        <f>F29*F33</f>
        <v>647029.83520999993</v>
      </c>
      <c r="G30" s="54"/>
      <c r="H30" s="54">
        <f>H29</f>
        <v>41826</v>
      </c>
      <c r="I30" s="54"/>
      <c r="J30" s="54">
        <f>J29</f>
        <v>22814</v>
      </c>
      <c r="K30" s="54"/>
      <c r="L30" s="54">
        <f>L29</f>
        <v>22814</v>
      </c>
      <c r="M30" s="54"/>
      <c r="N30" s="54">
        <f>N29</f>
        <v>24717</v>
      </c>
      <c r="O30" s="54"/>
      <c r="P30" s="57">
        <f>P29*P33</f>
        <v>11036.06532</v>
      </c>
      <c r="Q30" s="54"/>
      <c r="R30" s="54">
        <v>4024</v>
      </c>
      <c r="S30" s="54"/>
      <c r="T30" s="54" t="s">
        <v>83</v>
      </c>
      <c r="U30" s="54"/>
      <c r="V30" s="54" t="s">
        <v>83</v>
      </c>
      <c r="W30" s="54"/>
      <c r="X30" s="54" t="s">
        <v>83</v>
      </c>
      <c r="Y30" s="54" t="s">
        <v>83</v>
      </c>
      <c r="Z30" s="54"/>
      <c r="AA30" s="49"/>
      <c r="AB30" s="50">
        <f>SUM(F30:N30)</f>
        <v>759200.83520999993</v>
      </c>
      <c r="AC30" s="51"/>
      <c r="AD30" s="22"/>
    </row>
    <row r="31" spans="1:33" s="23" customFormat="1" x14ac:dyDescent="0.3">
      <c r="A31" s="47"/>
      <c r="B31" s="44" t="s">
        <v>92</v>
      </c>
      <c r="C31" s="49"/>
      <c r="D31" s="57"/>
      <c r="E31" s="57"/>
      <c r="F31" s="57">
        <f>F29*F32</f>
        <v>643464.14671</v>
      </c>
      <c r="G31" s="57"/>
      <c r="H31" s="57">
        <f>H29</f>
        <v>41826</v>
      </c>
      <c r="I31" s="57"/>
      <c r="J31" s="57">
        <f>J29</f>
        <v>22814</v>
      </c>
      <c r="K31" s="57"/>
      <c r="L31" s="57">
        <f>L29</f>
        <v>22814</v>
      </c>
      <c r="M31" s="57"/>
      <c r="N31" s="57">
        <f>N29</f>
        <v>24717</v>
      </c>
      <c r="O31" s="57"/>
      <c r="P31" s="57">
        <f>P29*P32</f>
        <v>11016.98064</v>
      </c>
      <c r="Q31" s="57"/>
      <c r="R31" s="57">
        <v>1529</v>
      </c>
      <c r="S31" s="57"/>
      <c r="T31" s="57" t="s">
        <v>83</v>
      </c>
      <c r="U31" s="57"/>
      <c r="V31" s="57" t="s">
        <v>83</v>
      </c>
      <c r="W31" s="57"/>
      <c r="X31" s="57" t="s">
        <v>83</v>
      </c>
      <c r="Y31" s="57" t="s">
        <v>83</v>
      </c>
      <c r="Z31" s="57"/>
      <c r="AA31" s="49"/>
      <c r="AB31" s="56">
        <f>SUM(F31:N31)</f>
        <v>755635.14671</v>
      </c>
      <c r="AC31" s="51"/>
      <c r="AD31" s="22"/>
      <c r="AE31" s="235"/>
    </row>
    <row r="32" spans="1:33" s="65" customFormat="1" x14ac:dyDescent="0.3">
      <c r="A32" s="58"/>
      <c r="B32" s="166" t="s">
        <v>88</v>
      </c>
      <c r="C32" s="61"/>
      <c r="D32" s="60"/>
      <c r="E32" s="60"/>
      <c r="F32" s="60">
        <v>0.99253000000000002</v>
      </c>
      <c r="G32" s="60"/>
      <c r="H32" s="60">
        <v>1</v>
      </c>
      <c r="I32" s="60"/>
      <c r="J32" s="60">
        <v>1</v>
      </c>
      <c r="K32" s="60"/>
      <c r="L32" s="60">
        <v>1</v>
      </c>
      <c r="M32" s="60"/>
      <c r="N32" s="60">
        <v>1</v>
      </c>
      <c r="O32" s="60"/>
      <c r="P32" s="60">
        <v>0.94672000000000001</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c r="E33" s="225"/>
      <c r="F33" s="60">
        <v>0.99802999999999997</v>
      </c>
      <c r="G33" s="225"/>
      <c r="H33" s="225">
        <v>1</v>
      </c>
      <c r="I33" s="225"/>
      <c r="J33" s="225">
        <v>1</v>
      </c>
      <c r="K33" s="225"/>
      <c r="L33" s="225">
        <v>1</v>
      </c>
      <c r="M33" s="225"/>
      <c r="N33" s="225">
        <v>1</v>
      </c>
      <c r="O33" s="225"/>
      <c r="P33" s="60">
        <v>0.94835999999999998</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c r="E34" s="48"/>
      <c r="F34" s="48" t="s">
        <v>305</v>
      </c>
      <c r="G34" s="48"/>
      <c r="H34" s="48" t="s">
        <v>306</v>
      </c>
      <c r="I34" s="48"/>
      <c r="J34" s="48" t="s">
        <v>273</v>
      </c>
      <c r="K34" s="48"/>
      <c r="L34" s="48" t="s">
        <v>307</v>
      </c>
      <c r="M34" s="48"/>
      <c r="N34" s="48" t="s">
        <v>308</v>
      </c>
      <c r="O34" s="48"/>
      <c r="P34" s="48" t="s">
        <v>254</v>
      </c>
      <c r="Q34" s="48"/>
      <c r="R34" s="48" t="s">
        <v>254</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c r="E35" s="241"/>
      <c r="F35" s="241">
        <v>1.1566399999999999E-2</v>
      </c>
      <c r="G35" s="241"/>
      <c r="H35" s="241">
        <v>1.5566399999999999E-2</v>
      </c>
      <c r="I35" s="241"/>
      <c r="J35" s="241">
        <v>1.85664E-2</v>
      </c>
      <c r="K35" s="241"/>
      <c r="L35" s="241">
        <v>2.1566399999999999E-2</v>
      </c>
      <c r="M35" s="241"/>
      <c r="N35" s="241">
        <v>3.1566400000000001E-2</v>
      </c>
      <c r="O35" s="241"/>
      <c r="P35" s="241">
        <v>4.0566400000000002E-2</v>
      </c>
      <c r="Q35" s="241"/>
      <c r="R35" s="241">
        <v>4.0566400000000002E-2</v>
      </c>
      <c r="S35" s="68"/>
      <c r="T35" s="68" t="s">
        <v>83</v>
      </c>
      <c r="U35" s="68"/>
      <c r="V35" s="68" t="s">
        <v>83</v>
      </c>
      <c r="W35" s="68"/>
      <c r="X35" s="68" t="s">
        <v>83</v>
      </c>
      <c r="Y35" s="68" t="s">
        <v>83</v>
      </c>
      <c r="Z35" s="68"/>
      <c r="AA35" s="40"/>
      <c r="AB35" s="67">
        <f>SUMPRODUCT(D35:N35,D30:N30)/AB30</f>
        <v>1.294875095554091E-2</v>
      </c>
      <c r="AC35" s="43"/>
      <c r="AD35" s="22"/>
    </row>
    <row r="36" spans="1:30" s="23" customFormat="1" x14ac:dyDescent="0.3">
      <c r="A36" s="47"/>
      <c r="B36" s="40" t="s">
        <v>10</v>
      </c>
      <c r="C36" s="69"/>
      <c r="D36" s="241"/>
      <c r="E36" s="241"/>
      <c r="F36" s="241">
        <v>1.1656100000000001E-2</v>
      </c>
      <c r="G36" s="241"/>
      <c r="H36" s="241">
        <v>1.5656099999999999E-2</v>
      </c>
      <c r="I36" s="241"/>
      <c r="J36" s="241">
        <v>1.8656099999999998E-2</v>
      </c>
      <c r="K36" s="241"/>
      <c r="L36" s="241">
        <v>2.1656100000000001E-2</v>
      </c>
      <c r="M36" s="241"/>
      <c r="N36" s="241">
        <v>3.16561E-2</v>
      </c>
      <c r="O36" s="241"/>
      <c r="P36" s="241">
        <v>4.0656100000000001E-2</v>
      </c>
      <c r="Q36" s="241"/>
      <c r="R36" s="241">
        <v>4.0656100000000001E-2</v>
      </c>
      <c r="S36" s="68"/>
      <c r="T36" s="68" t="s">
        <v>83</v>
      </c>
      <c r="U36" s="68"/>
      <c r="V36" s="68" t="s">
        <v>83</v>
      </c>
      <c r="W36" s="68"/>
      <c r="X36" s="68" t="s">
        <v>83</v>
      </c>
      <c r="Y36" s="68" t="s">
        <v>83</v>
      </c>
      <c r="Z36" s="68"/>
      <c r="AA36" s="40"/>
      <c r="AB36" s="40"/>
      <c r="AC36" s="43"/>
      <c r="AD36" s="22"/>
    </row>
    <row r="37" spans="1:30" s="23" customFormat="1" x14ac:dyDescent="0.3">
      <c r="A37" s="47"/>
      <c r="B37" s="40" t="s">
        <v>160</v>
      </c>
      <c r="C37" s="40"/>
      <c r="D37" s="69"/>
      <c r="E37" s="69"/>
      <c r="F37" s="69">
        <v>45945</v>
      </c>
      <c r="G37" s="69"/>
      <c r="H37" s="69">
        <v>45945</v>
      </c>
      <c r="I37" s="69"/>
      <c r="J37" s="69">
        <v>45945</v>
      </c>
      <c r="K37" s="69"/>
      <c r="L37" s="69">
        <v>45945</v>
      </c>
      <c r="M37" s="69"/>
      <c r="N37" s="69">
        <v>45945</v>
      </c>
      <c r="O37" s="69"/>
      <c r="P37" s="69">
        <v>45945</v>
      </c>
      <c r="Q37" s="69"/>
      <c r="R37" s="69">
        <v>45945</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c r="E38" s="69"/>
      <c r="F38" s="69">
        <v>45945</v>
      </c>
      <c r="G38" s="48"/>
      <c r="H38" s="69">
        <v>45945</v>
      </c>
      <c r="I38" s="48"/>
      <c r="J38" s="69">
        <v>45945</v>
      </c>
      <c r="K38" s="48"/>
      <c r="L38" s="69">
        <v>45945</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c r="E39" s="48"/>
      <c r="F39" s="48" t="s">
        <v>309</v>
      </c>
      <c r="G39" s="48"/>
      <c r="H39" s="48" t="s">
        <v>272</v>
      </c>
      <c r="I39" s="48"/>
      <c r="J39" s="48" t="s">
        <v>310</v>
      </c>
      <c r="K39" s="48"/>
      <c r="L39" s="48" t="s">
        <v>308</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7" t="s">
        <v>110</v>
      </c>
      <c r="AC40" s="43"/>
      <c r="AD40" s="22"/>
    </row>
    <row r="41" spans="1:30" s="23" customFormat="1" x14ac:dyDescent="0.3">
      <c r="A41" s="47"/>
      <c r="B41" s="40" t="s">
        <v>253</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32">
        <f>SUM(G29:N29)/F29</f>
        <v>0.17302142349226524</v>
      </c>
      <c r="AC41" s="43"/>
      <c r="AD41" s="22"/>
    </row>
    <row r="42" spans="1:30" s="23" customFormat="1" x14ac:dyDescent="0.3">
      <c r="A42" s="47"/>
      <c r="B42" s="40" t="s">
        <v>252</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32">
        <f>SUM(G31:N31)/F31</f>
        <v>0.1743236209406922</v>
      </c>
      <c r="AC42" s="43"/>
      <c r="AD42" s="22"/>
    </row>
    <row r="43" spans="1:30" s="23" customFormat="1" x14ac:dyDescent="0.3">
      <c r="A43" s="47"/>
      <c r="B43" s="40" t="s">
        <v>197</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1"/>
      <c r="AC44" s="43"/>
      <c r="AD44" s="22"/>
    </row>
    <row r="45" spans="1:30" s="23" customFormat="1" x14ac:dyDescent="0.3">
      <c r="A45" s="47"/>
      <c r="B45" s="40" t="s">
        <v>196</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2"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3"/>
      <c r="AA46" s="73"/>
      <c r="AB46" s="74">
        <v>44119</v>
      </c>
      <c r="AC46" s="43"/>
      <c r="AD46" s="22"/>
    </row>
    <row r="47" spans="1:30" s="23" customFormat="1" x14ac:dyDescent="0.3">
      <c r="A47" s="47"/>
      <c r="B47" s="40" t="s">
        <v>85</v>
      </c>
      <c r="C47" s="40"/>
      <c r="D47" s="75"/>
      <c r="E47" s="75"/>
      <c r="F47" s="75"/>
      <c r="G47" s="75"/>
      <c r="H47" s="75"/>
      <c r="I47" s="75"/>
      <c r="J47" s="75"/>
      <c r="K47" s="75"/>
      <c r="L47" s="75"/>
      <c r="M47" s="75"/>
      <c r="N47" s="75"/>
      <c r="O47" s="75"/>
      <c r="P47" s="75"/>
      <c r="Q47" s="75"/>
      <c r="R47" s="75"/>
      <c r="S47" s="75"/>
      <c r="T47" s="75"/>
      <c r="U47" s="75"/>
      <c r="V47" s="75"/>
      <c r="W47" s="75"/>
      <c r="X47" s="280">
        <f>+AB47-Z47+1</f>
        <v>76</v>
      </c>
      <c r="Y47" s="40"/>
      <c r="Z47" s="76">
        <v>43951</v>
      </c>
      <c r="AA47" s="77"/>
      <c r="AB47" s="76">
        <v>44026</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80">
        <f>+AB48-Z48+1</f>
        <v>92</v>
      </c>
      <c r="Y48" s="40"/>
      <c r="Z48" s="76">
        <v>44027</v>
      </c>
      <c r="AA48" s="77"/>
      <c r="AB48" s="76">
        <v>44118</v>
      </c>
      <c r="AC48" s="43"/>
      <c r="AD48" s="22"/>
    </row>
    <row r="49" spans="1:31" s="23" customFormat="1" x14ac:dyDescent="0.3">
      <c r="A49" s="47"/>
      <c r="B49" s="40" t="s">
        <v>187</v>
      </c>
      <c r="C49" s="40"/>
      <c r="D49" s="40"/>
      <c r="E49" s="40"/>
      <c r="F49" s="40"/>
      <c r="G49" s="40"/>
      <c r="H49" s="40"/>
      <c r="I49" s="40"/>
      <c r="J49" s="40"/>
      <c r="K49" s="40"/>
      <c r="L49" s="40"/>
      <c r="M49" s="40"/>
      <c r="N49" s="40"/>
      <c r="O49" s="40"/>
      <c r="P49" s="40"/>
      <c r="Q49" s="40"/>
      <c r="R49" s="40"/>
      <c r="S49" s="40"/>
      <c r="T49" s="40"/>
      <c r="U49" s="40"/>
      <c r="V49" s="40"/>
      <c r="W49" s="40"/>
      <c r="X49" s="40"/>
      <c r="Y49" s="40"/>
      <c r="Z49" s="76"/>
      <c r="AA49" s="77"/>
      <c r="AB49" s="76" t="s">
        <v>99</v>
      </c>
      <c r="AC49" s="43"/>
      <c r="AD49" s="22"/>
      <c r="AE49" s="78"/>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v>44118</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9"/>
      <c r="AA51" s="80"/>
      <c r="AB51" s="79"/>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1"/>
      <c r="AA52" s="82"/>
      <c r="AB52" s="81"/>
      <c r="AC52" s="21"/>
      <c r="AD52" s="22"/>
    </row>
    <row r="53" spans="1:31" s="23" customFormat="1" ht="18.600000000000001" thickBot="1" x14ac:dyDescent="0.4">
      <c r="A53" s="83"/>
      <c r="B53" s="84" t="s">
        <v>340</v>
      </c>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6"/>
      <c r="AC53" s="87"/>
      <c r="AD53" s="22"/>
    </row>
    <row r="54" spans="1:31" x14ac:dyDescent="0.3">
      <c r="A54" s="33"/>
      <c r="B54" s="88" t="s">
        <v>13</v>
      </c>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90"/>
      <c r="AC54" s="89"/>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1"/>
      <c r="AC55" s="10"/>
      <c r="AD55" s="5"/>
    </row>
    <row r="56" spans="1:31" s="65" customFormat="1" ht="46.8" x14ac:dyDescent="0.3">
      <c r="A56" s="92"/>
      <c r="B56" s="93" t="s">
        <v>14</v>
      </c>
      <c r="C56" s="94"/>
      <c r="D56" s="94"/>
      <c r="E56" s="94"/>
      <c r="F56" s="94"/>
      <c r="G56" s="94"/>
      <c r="H56" s="94"/>
      <c r="I56" s="94"/>
      <c r="J56" s="94"/>
      <c r="K56" s="94"/>
      <c r="L56" s="94"/>
      <c r="M56" s="94"/>
      <c r="N56" s="94"/>
      <c r="O56" s="94"/>
      <c r="P56" s="94" t="s">
        <v>63</v>
      </c>
      <c r="Q56" s="94"/>
      <c r="R56" s="94" t="s">
        <v>65</v>
      </c>
      <c r="S56" s="94"/>
      <c r="T56" s="94" t="s">
        <v>135</v>
      </c>
      <c r="U56" s="94"/>
      <c r="V56" s="94" t="s">
        <v>136</v>
      </c>
      <c r="W56" s="94"/>
      <c r="X56" s="94" t="s">
        <v>68</v>
      </c>
      <c r="Y56" s="94"/>
      <c r="Z56" s="94" t="s">
        <v>72</v>
      </c>
      <c r="AA56" s="94"/>
      <c r="AB56" s="95" t="s">
        <v>78</v>
      </c>
      <c r="AC56" s="96"/>
      <c r="AD56" s="64"/>
    </row>
    <row r="57" spans="1:31" s="23" customFormat="1" x14ac:dyDescent="0.3">
      <c r="A57" s="47"/>
      <c r="B57" s="40" t="s">
        <v>15</v>
      </c>
      <c r="C57" s="97"/>
      <c r="D57" s="97"/>
      <c r="E57" s="97"/>
      <c r="F57" s="97"/>
      <c r="G57" s="97"/>
      <c r="H57" s="98"/>
      <c r="I57" s="97"/>
      <c r="J57" s="98"/>
      <c r="K57" s="97"/>
      <c r="L57" s="97"/>
      <c r="M57" s="97"/>
      <c r="N57" s="97"/>
      <c r="O57" s="97"/>
      <c r="P57" s="238">
        <v>759666</v>
      </c>
      <c r="Q57" s="238"/>
      <c r="R57" s="237">
        <v>758460</v>
      </c>
      <c r="S57" s="238"/>
      <c r="T57" s="237">
        <f>290+16</f>
        <v>306</v>
      </c>
      <c r="U57" s="238"/>
      <c r="V57" s="238">
        <v>3260</v>
      </c>
      <c r="W57" s="238"/>
      <c r="X57" s="238">
        <v>110</v>
      </c>
      <c r="Y57" s="238"/>
      <c r="Z57" s="238">
        <v>0</v>
      </c>
      <c r="AA57" s="238"/>
      <c r="AB57" s="237">
        <f>R57-T57-V57+X57-Z57</f>
        <v>755004</v>
      </c>
      <c r="AC57" s="43"/>
      <c r="AD57" s="22"/>
      <c r="AE57" s="271"/>
    </row>
    <row r="58" spans="1:31" s="23" customFormat="1" x14ac:dyDescent="0.3">
      <c r="A58" s="47"/>
      <c r="B58" s="40" t="s">
        <v>16</v>
      </c>
      <c r="C58" s="97"/>
      <c r="D58" s="97"/>
      <c r="E58" s="97"/>
      <c r="F58" s="97"/>
      <c r="G58" s="97"/>
      <c r="H58" s="98"/>
      <c r="I58" s="97"/>
      <c r="J58" s="98"/>
      <c r="K58" s="97"/>
      <c r="L58" s="97"/>
      <c r="M58" s="97"/>
      <c r="N58" s="97"/>
      <c r="O58" s="97"/>
      <c r="P58" s="238">
        <v>0</v>
      </c>
      <c r="Q58" s="238"/>
      <c r="R58" s="237">
        <v>0</v>
      </c>
      <c r="S58" s="238"/>
      <c r="T58" s="237">
        <v>0</v>
      </c>
      <c r="U58" s="238"/>
      <c r="V58" s="238">
        <v>0</v>
      </c>
      <c r="W58" s="238"/>
      <c r="X58" s="238">
        <v>0</v>
      </c>
      <c r="Y58" s="238"/>
      <c r="Z58" s="238">
        <v>0</v>
      </c>
      <c r="AA58" s="238"/>
      <c r="AB58" s="237">
        <f>F58-J58-L58</f>
        <v>0</v>
      </c>
      <c r="AC58" s="43"/>
      <c r="AD58" s="22"/>
    </row>
    <row r="59" spans="1:31" s="23" customFormat="1" x14ac:dyDescent="0.3">
      <c r="A59" s="47"/>
      <c r="B59" s="40"/>
      <c r="C59" s="97"/>
      <c r="D59" s="97"/>
      <c r="E59" s="97"/>
      <c r="F59" s="97"/>
      <c r="G59" s="97"/>
      <c r="H59" s="98"/>
      <c r="I59" s="97"/>
      <c r="J59" s="98"/>
      <c r="K59" s="97"/>
      <c r="L59" s="97"/>
      <c r="M59" s="97"/>
      <c r="N59" s="97"/>
      <c r="O59" s="97"/>
      <c r="P59" s="238"/>
      <c r="Q59" s="238"/>
      <c r="R59" s="237"/>
      <c r="S59" s="238"/>
      <c r="T59" s="237"/>
      <c r="U59" s="238"/>
      <c r="V59" s="238"/>
      <c r="W59" s="238"/>
      <c r="X59" s="238"/>
      <c r="Y59" s="238"/>
      <c r="Z59" s="238"/>
      <c r="AA59" s="238"/>
      <c r="AB59" s="237"/>
      <c r="AC59" s="43"/>
      <c r="AD59" s="22"/>
    </row>
    <row r="60" spans="1:31" s="23" customFormat="1" x14ac:dyDescent="0.3">
      <c r="A60" s="47"/>
      <c r="B60" s="40" t="s">
        <v>17</v>
      </c>
      <c r="C60" s="97"/>
      <c r="D60" s="97"/>
      <c r="E60" s="97"/>
      <c r="F60" s="97"/>
      <c r="G60" s="97"/>
      <c r="H60" s="97"/>
      <c r="I60" s="97"/>
      <c r="J60" s="97"/>
      <c r="K60" s="97"/>
      <c r="L60" s="97"/>
      <c r="M60" s="97"/>
      <c r="N60" s="97"/>
      <c r="O60" s="97"/>
      <c r="P60" s="238">
        <f>SUM(P57:P59)</f>
        <v>759666</v>
      </c>
      <c r="Q60" s="238"/>
      <c r="R60" s="238">
        <f>R57+R58</f>
        <v>758460</v>
      </c>
      <c r="S60" s="238"/>
      <c r="T60" s="238">
        <f>T57+T58</f>
        <v>306</v>
      </c>
      <c r="U60" s="238"/>
      <c r="V60" s="238">
        <f>SUM(V57:V59)</f>
        <v>3260</v>
      </c>
      <c r="W60" s="238"/>
      <c r="X60" s="238">
        <f>SUM(X57:X59)</f>
        <v>110</v>
      </c>
      <c r="Y60" s="238"/>
      <c r="Z60" s="238">
        <f>SUM(Z57:Z59)</f>
        <v>0</v>
      </c>
      <c r="AA60" s="238"/>
      <c r="AB60" s="238">
        <f>SUM(AB57:AB59)</f>
        <v>755004</v>
      </c>
      <c r="AC60" s="43"/>
      <c r="AD60" s="22"/>
    </row>
    <row r="61" spans="1:31" s="23" customFormat="1" ht="32.1" customHeight="1" x14ac:dyDescent="0.3">
      <c r="A61" s="47"/>
      <c r="B61" s="40"/>
      <c r="C61" s="97"/>
      <c r="D61" s="97"/>
      <c r="E61" s="97"/>
      <c r="F61" s="97"/>
      <c r="G61" s="97"/>
      <c r="H61" s="97"/>
      <c r="I61" s="97"/>
      <c r="J61" s="97"/>
      <c r="K61" s="97"/>
      <c r="L61" s="97"/>
      <c r="M61" s="97"/>
      <c r="N61" s="97"/>
      <c r="O61" s="97"/>
      <c r="P61" s="238"/>
      <c r="Q61" s="238"/>
      <c r="R61" s="238"/>
      <c r="S61" s="238"/>
      <c r="T61" s="238"/>
      <c r="U61" s="238"/>
      <c r="V61" s="238"/>
      <c r="W61" s="238"/>
      <c r="X61" s="238"/>
      <c r="Y61" s="238"/>
      <c r="Z61" s="238"/>
      <c r="AA61" s="238"/>
      <c r="AB61" s="238"/>
      <c r="AC61" s="43"/>
      <c r="AD61" s="22"/>
    </row>
    <row r="62" spans="1:31" s="23" customFormat="1" x14ac:dyDescent="0.3">
      <c r="A62" s="47"/>
      <c r="B62" s="40" t="s">
        <v>18</v>
      </c>
      <c r="C62" s="97"/>
      <c r="D62" s="97"/>
      <c r="E62" s="97"/>
      <c r="F62" s="97"/>
      <c r="G62" s="97"/>
      <c r="H62" s="97"/>
      <c r="I62" s="97"/>
      <c r="J62" s="97"/>
      <c r="K62" s="97"/>
      <c r="L62" s="97"/>
      <c r="M62" s="97"/>
      <c r="N62" s="97"/>
      <c r="O62" s="97"/>
      <c r="P62" s="238">
        <v>0</v>
      </c>
      <c r="Q62" s="238"/>
      <c r="R62" s="238">
        <v>0</v>
      </c>
      <c r="S62" s="238"/>
      <c r="T62" s="238"/>
      <c r="U62" s="238"/>
      <c r="V62" s="238"/>
      <c r="W62" s="238"/>
      <c r="X62" s="238"/>
      <c r="Y62" s="238"/>
      <c r="Z62" s="238"/>
      <c r="AA62" s="238"/>
      <c r="AB62" s="237">
        <v>0</v>
      </c>
      <c r="AC62" s="43"/>
      <c r="AD62" s="22"/>
    </row>
    <row r="63" spans="1:31" s="23" customFormat="1" x14ac:dyDescent="0.3">
      <c r="A63" s="47"/>
      <c r="B63" s="40" t="s">
        <v>274</v>
      </c>
      <c r="C63" s="97"/>
      <c r="D63" s="97"/>
      <c r="E63" s="97"/>
      <c r="F63" s="97"/>
      <c r="G63" s="97"/>
      <c r="H63" s="97"/>
      <c r="I63" s="97"/>
      <c r="J63" s="97"/>
      <c r="K63" s="97"/>
      <c r="L63" s="97"/>
      <c r="M63" s="97"/>
      <c r="N63" s="97"/>
      <c r="O63" s="97"/>
      <c r="P63" s="238">
        <v>0</v>
      </c>
      <c r="Q63" s="238"/>
      <c r="R63" s="238">
        <v>2</v>
      </c>
      <c r="S63" s="238"/>
      <c r="T63" s="238">
        <v>0</v>
      </c>
      <c r="U63" s="238"/>
      <c r="V63" s="238">
        <v>0</v>
      </c>
      <c r="W63" s="238"/>
      <c r="X63" s="238"/>
      <c r="Y63" s="238"/>
      <c r="Z63" s="238"/>
      <c r="AA63" s="238"/>
      <c r="AB63" s="238">
        <f>R63+V63</f>
        <v>2</v>
      </c>
      <c r="AC63" s="43"/>
      <c r="AD63" s="22"/>
    </row>
    <row r="64" spans="1:31" s="23" customFormat="1" x14ac:dyDescent="0.3">
      <c r="A64" s="47"/>
      <c r="B64" s="40" t="s">
        <v>172</v>
      </c>
      <c r="C64" s="97"/>
      <c r="D64" s="97"/>
      <c r="E64" s="97"/>
      <c r="F64" s="97"/>
      <c r="G64" s="97"/>
      <c r="H64" s="97"/>
      <c r="I64" s="97"/>
      <c r="J64" s="97"/>
      <c r="K64" s="97"/>
      <c r="L64" s="97"/>
      <c r="M64" s="97"/>
      <c r="N64" s="97"/>
      <c r="O64" s="97"/>
      <c r="P64" s="238">
        <v>812</v>
      </c>
      <c r="Q64" s="238"/>
      <c r="R64" s="238">
        <v>739</v>
      </c>
      <c r="S64" s="238"/>
      <c r="T64" s="238"/>
      <c r="U64" s="238"/>
      <c r="V64" s="238"/>
      <c r="W64" s="238"/>
      <c r="X64" s="238">
        <f>-X57</f>
        <v>-110</v>
      </c>
      <c r="Y64" s="238"/>
      <c r="Z64" s="238"/>
      <c r="AA64" s="238"/>
      <c r="AB64" s="238">
        <f>+R64+X64</f>
        <v>629</v>
      </c>
      <c r="AC64" s="43"/>
      <c r="AD64" s="22"/>
    </row>
    <row r="65" spans="1:30" s="23" customFormat="1" x14ac:dyDescent="0.3">
      <c r="A65" s="47"/>
      <c r="B65" s="40" t="s">
        <v>19</v>
      </c>
      <c r="C65" s="97"/>
      <c r="D65" s="97"/>
      <c r="E65" s="97"/>
      <c r="F65" s="97"/>
      <c r="G65" s="97"/>
      <c r="H65" s="97"/>
      <c r="I65" s="97"/>
      <c r="J65" s="97"/>
      <c r="K65" s="97"/>
      <c r="L65" s="97"/>
      <c r="M65" s="97"/>
      <c r="N65" s="97"/>
      <c r="O65" s="97"/>
      <c r="P65" s="238">
        <v>0</v>
      </c>
      <c r="Q65" s="238"/>
      <c r="R65" s="238">
        <v>0</v>
      </c>
      <c r="S65" s="238"/>
      <c r="T65" s="238"/>
      <c r="U65" s="238"/>
      <c r="V65" s="238"/>
      <c r="W65" s="238"/>
      <c r="X65" s="238"/>
      <c r="Y65" s="238"/>
      <c r="Z65" s="238"/>
      <c r="AA65" s="238"/>
      <c r="AB65" s="238">
        <v>0</v>
      </c>
      <c r="AC65" s="43"/>
      <c r="AD65" s="22"/>
    </row>
    <row r="66" spans="1:30" s="23" customFormat="1" x14ac:dyDescent="0.3">
      <c r="A66" s="47"/>
      <c r="B66" s="40" t="s">
        <v>20</v>
      </c>
      <c r="C66" s="97"/>
      <c r="D66" s="97"/>
      <c r="E66" s="97"/>
      <c r="F66" s="97"/>
      <c r="G66" s="97"/>
      <c r="H66" s="97"/>
      <c r="I66" s="97"/>
      <c r="J66" s="97"/>
      <c r="K66" s="97"/>
      <c r="L66" s="97"/>
      <c r="M66" s="97"/>
      <c r="N66" s="97"/>
      <c r="O66" s="97"/>
      <c r="P66" s="238">
        <f>SUM(P60:P65)</f>
        <v>760478</v>
      </c>
      <c r="Q66" s="238"/>
      <c r="R66" s="238">
        <f>SUM(R60:R65)</f>
        <v>759201</v>
      </c>
      <c r="S66" s="238"/>
      <c r="T66" s="238"/>
      <c r="U66" s="238"/>
      <c r="V66" s="238"/>
      <c r="W66" s="238"/>
      <c r="X66" s="238"/>
      <c r="Y66" s="238"/>
      <c r="Z66" s="238"/>
      <c r="AA66" s="238"/>
      <c r="AB66" s="238">
        <f>SUM(AB60:AB65)</f>
        <v>755635</v>
      </c>
      <c r="AC66" s="43"/>
      <c r="AD66" s="22"/>
    </row>
    <row r="67" spans="1:30" x14ac:dyDescent="0.3">
      <c r="A67" s="7"/>
      <c r="B67" s="99"/>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1"/>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2" t="s">
        <v>21</v>
      </c>
      <c r="C69" s="102"/>
      <c r="D69" s="103"/>
      <c r="E69" s="103"/>
      <c r="F69" s="103"/>
      <c r="G69" s="103"/>
      <c r="H69" s="104"/>
      <c r="I69" s="103"/>
      <c r="J69" s="105"/>
      <c r="K69" s="103"/>
      <c r="L69" s="103"/>
      <c r="M69" s="103"/>
      <c r="N69" s="103"/>
      <c r="O69" s="103"/>
      <c r="P69" s="103"/>
      <c r="Q69" s="103"/>
      <c r="R69" s="104" t="s">
        <v>64</v>
      </c>
      <c r="S69" s="103"/>
      <c r="T69" s="105">
        <f>+Z235</f>
        <v>44104</v>
      </c>
      <c r="U69" s="103"/>
      <c r="V69" s="103"/>
      <c r="W69" s="103"/>
      <c r="X69" s="103"/>
      <c r="Y69" s="103"/>
      <c r="Z69" s="103" t="s">
        <v>73</v>
      </c>
      <c r="AA69" s="103"/>
      <c r="AB69" s="103"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100">
        <f>+R63</f>
        <v>2</v>
      </c>
      <c r="AA70" s="37"/>
      <c r="AB70" s="107">
        <v>0</v>
      </c>
      <c r="AC70" s="21"/>
      <c r="AD70" s="22"/>
    </row>
    <row r="71" spans="1:30" s="23" customFormat="1" x14ac:dyDescent="0.3">
      <c r="A71" s="47"/>
      <c r="B71" s="40" t="s">
        <v>218</v>
      </c>
      <c r="C71" s="40"/>
      <c r="D71" s="70"/>
      <c r="E71" s="70"/>
      <c r="F71" s="70"/>
      <c r="G71" s="108"/>
      <c r="H71" s="70"/>
      <c r="I71" s="40"/>
      <c r="J71" s="109"/>
      <c r="K71" s="40"/>
      <c r="L71" s="40"/>
      <c r="M71" s="40"/>
      <c r="N71" s="40"/>
      <c r="O71" s="40"/>
      <c r="P71" s="40"/>
      <c r="Q71" s="40"/>
      <c r="R71" s="40"/>
      <c r="S71" s="40"/>
      <c r="T71" s="40"/>
      <c r="U71" s="40"/>
      <c r="V71" s="40"/>
      <c r="W71" s="40"/>
      <c r="X71" s="40"/>
      <c r="Y71" s="40"/>
      <c r="Z71" s="238">
        <f>-X64</f>
        <v>110</v>
      </c>
      <c r="AA71" s="40"/>
      <c r="AB71" s="98"/>
      <c r="AC71" s="43"/>
      <c r="AD71" s="22"/>
    </row>
    <row r="72" spans="1:30" s="23" customFormat="1" x14ac:dyDescent="0.3">
      <c r="A72" s="47"/>
      <c r="B72" s="40" t="s">
        <v>217</v>
      </c>
      <c r="C72" s="40"/>
      <c r="D72" s="70"/>
      <c r="E72" s="70"/>
      <c r="F72" s="70"/>
      <c r="G72" s="108"/>
      <c r="H72" s="70"/>
      <c r="I72" s="40"/>
      <c r="J72" s="109"/>
      <c r="K72" s="40"/>
      <c r="L72" s="40"/>
      <c r="M72" s="40"/>
      <c r="N72" s="40"/>
      <c r="O72" s="40"/>
      <c r="P72" s="40"/>
      <c r="Q72" s="40"/>
      <c r="R72" s="40"/>
      <c r="S72" s="40"/>
      <c r="T72" s="40"/>
      <c r="U72" s="40"/>
      <c r="V72" s="40"/>
      <c r="W72" s="40"/>
      <c r="X72" s="40"/>
      <c r="Y72" s="40"/>
      <c r="Z72" s="238">
        <f>-Z209</f>
        <v>-110</v>
      </c>
      <c r="AA72" s="40"/>
      <c r="AB72" s="98"/>
      <c r="AC72" s="43"/>
      <c r="AD72" s="22"/>
    </row>
    <row r="73" spans="1:30" s="23" customFormat="1" x14ac:dyDescent="0.3">
      <c r="A73" s="47"/>
      <c r="B73" s="40" t="s">
        <v>23</v>
      </c>
      <c r="C73" s="40"/>
      <c r="D73" s="70"/>
      <c r="E73" s="70"/>
      <c r="F73" s="70"/>
      <c r="G73" s="108"/>
      <c r="H73" s="70"/>
      <c r="I73" s="40"/>
      <c r="J73" s="109"/>
      <c r="K73" s="40"/>
      <c r="L73" s="40"/>
      <c r="M73" s="40"/>
      <c r="N73" s="40"/>
      <c r="O73" s="40"/>
      <c r="P73" s="40"/>
      <c r="Q73" s="40"/>
      <c r="R73" s="40"/>
      <c r="S73" s="40"/>
      <c r="T73" s="40"/>
      <c r="U73" s="40"/>
      <c r="V73" s="40"/>
      <c r="W73" s="40"/>
      <c r="X73" s="40"/>
      <c r="Y73" s="40"/>
      <c r="Z73" s="238">
        <f>+T57+V57+Z57</f>
        <v>3566</v>
      </c>
      <c r="AA73" s="40"/>
      <c r="AB73" s="98"/>
      <c r="AC73" s="43"/>
      <c r="AD73" s="22"/>
    </row>
    <row r="74" spans="1:30" s="23" customFormat="1" x14ac:dyDescent="0.3">
      <c r="A74" s="47"/>
      <c r="B74" s="40" t="s">
        <v>115</v>
      </c>
      <c r="C74" s="40"/>
      <c r="D74" s="70"/>
      <c r="E74" s="70"/>
      <c r="F74" s="70"/>
      <c r="G74" s="108"/>
      <c r="H74" s="70"/>
      <c r="I74" s="40"/>
      <c r="J74" s="109"/>
      <c r="K74" s="40"/>
      <c r="L74" s="40"/>
      <c r="M74" s="40"/>
      <c r="N74" s="40"/>
      <c r="O74" s="40"/>
      <c r="P74" s="40"/>
      <c r="Q74" s="40"/>
      <c r="R74" s="40"/>
      <c r="S74" s="40"/>
      <c r="T74" s="40"/>
      <c r="U74" s="40"/>
      <c r="V74" s="40"/>
      <c r="W74" s="40"/>
      <c r="X74" s="40"/>
      <c r="Y74" s="40"/>
      <c r="Z74" s="238"/>
      <c r="AA74" s="40"/>
      <c r="AB74" s="98">
        <f>6677+248-307-19</f>
        <v>6599</v>
      </c>
      <c r="AC74" s="43"/>
      <c r="AD74" s="22"/>
    </row>
    <row r="75" spans="1:30" s="23" customFormat="1" x14ac:dyDescent="0.3">
      <c r="A75" s="47"/>
      <c r="B75" s="40" t="s">
        <v>113</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139+13</f>
        <v>152</v>
      </c>
      <c r="AC75" s="43"/>
      <c r="AD75" s="22"/>
    </row>
    <row r="76" spans="1:30" s="23" customFormat="1" x14ac:dyDescent="0.3">
      <c r="A76" s="47"/>
      <c r="B76" s="40" t="s">
        <v>114</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v>0</v>
      </c>
      <c r="AC76" s="43"/>
      <c r="AD76" s="22"/>
    </row>
    <row r="77" spans="1:30" s="23" customFormat="1" x14ac:dyDescent="0.3">
      <c r="A77" s="47"/>
      <c r="B77" s="40" t="s">
        <v>120</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59" t="s">
        <v>224</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19</v>
      </c>
      <c r="AC78" s="43"/>
      <c r="AD78" s="22"/>
    </row>
    <row r="79" spans="1:30" s="23" customFormat="1" x14ac:dyDescent="0.3">
      <c r="A79" s="47"/>
      <c r="B79" s="59" t="s">
        <v>225</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0</v>
      </c>
      <c r="AC79" s="43"/>
      <c r="AD79" s="22"/>
    </row>
    <row r="80" spans="1:30" s="23" customFormat="1" x14ac:dyDescent="0.3">
      <c r="A80" s="47"/>
      <c r="B80" s="40" t="s">
        <v>232</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f>+AB167</f>
        <v>0</v>
      </c>
      <c r="AC80" s="43"/>
      <c r="AD80" s="22"/>
    </row>
    <row r="81" spans="1:30" s="23" customFormat="1" x14ac:dyDescent="0.3">
      <c r="A81" s="47"/>
      <c r="B81" s="40" t="s">
        <v>246</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v>0</v>
      </c>
      <c r="AC81" s="43"/>
      <c r="AD81" s="22"/>
    </row>
    <row r="82" spans="1:30" s="23" customFormat="1" x14ac:dyDescent="0.3">
      <c r="A82" s="47"/>
      <c r="B82" s="59" t="s">
        <v>233</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8">
        <f>SUM(Z70:Z82)</f>
        <v>3568</v>
      </c>
      <c r="AA83" s="40"/>
      <c r="AB83" s="97">
        <f>SUM(AB70:AB82)</f>
        <v>6770</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8">
        <f>-AB84</f>
        <v>0</v>
      </c>
      <c r="AA84" s="40"/>
      <c r="AB84" s="98">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8"/>
      <c r="AA85" s="40"/>
      <c r="AB85" s="98">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8">
        <f>Z83+Z84</f>
        <v>3568</v>
      </c>
      <c r="AA86" s="40"/>
      <c r="AB86" s="97">
        <f>AB83+AB84+AB85</f>
        <v>6770</v>
      </c>
      <c r="AC86" s="43"/>
      <c r="AD86" s="22"/>
    </row>
    <row r="87" spans="1:30" x14ac:dyDescent="0.3">
      <c r="A87" s="110"/>
      <c r="B87" s="111" t="s">
        <v>27</v>
      </c>
      <c r="C87" s="59"/>
      <c r="D87" s="59"/>
      <c r="E87" s="59"/>
      <c r="F87" s="59"/>
      <c r="G87" s="59"/>
      <c r="H87" s="59"/>
      <c r="I87" s="59"/>
      <c r="J87" s="59"/>
      <c r="K87" s="59"/>
      <c r="L87" s="59"/>
      <c r="M87" s="59"/>
      <c r="N87" s="59"/>
      <c r="O87" s="59"/>
      <c r="P87" s="59"/>
      <c r="Q87" s="59"/>
      <c r="R87" s="59"/>
      <c r="S87" s="59"/>
      <c r="T87" s="59"/>
      <c r="U87" s="59"/>
      <c r="V87" s="59"/>
      <c r="W87" s="59"/>
      <c r="X87" s="59"/>
      <c r="Y87" s="59"/>
      <c r="Z87" s="238"/>
      <c r="AA87" s="112"/>
      <c r="AB87" s="113"/>
      <c r="AC87" s="114"/>
      <c r="AD87" s="5"/>
    </row>
    <row r="88" spans="1:30" x14ac:dyDescent="0.3">
      <c r="A88" s="110">
        <v>1</v>
      </c>
      <c r="B88" s="59" t="s">
        <v>138</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98">
        <v>-425</v>
      </c>
      <c r="AC88" s="114"/>
      <c r="AD88" s="5"/>
    </row>
    <row r="89" spans="1:30" x14ac:dyDescent="0.3">
      <c r="A89" s="110">
        <v>2</v>
      </c>
      <c r="B89" s="59" t="s">
        <v>275</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-2</v>
      </c>
      <c r="AC89" s="114"/>
      <c r="AD89" s="5"/>
    </row>
    <row r="90" spans="1:30" x14ac:dyDescent="0.3">
      <c r="A90" s="110">
        <v>3</v>
      </c>
      <c r="B90" s="59" t="s">
        <v>247</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f>-383-1-8</f>
        <v>-392</v>
      </c>
      <c r="AC90" s="114"/>
      <c r="AD90" s="5"/>
    </row>
    <row r="91" spans="1:30" x14ac:dyDescent="0.3">
      <c r="A91" s="110">
        <v>4</v>
      </c>
      <c r="B91" s="59" t="s">
        <v>82</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v>-774</v>
      </c>
      <c r="AC91" s="114"/>
      <c r="AD91" s="5"/>
    </row>
    <row r="92" spans="1:30" x14ac:dyDescent="0.3">
      <c r="A92" s="110">
        <v>5</v>
      </c>
      <c r="B92" s="59" t="s">
        <v>129</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-1887</v>
      </c>
      <c r="AC92" s="114"/>
      <c r="AD92" s="5"/>
    </row>
    <row r="93" spans="1:30" x14ac:dyDescent="0.3">
      <c r="A93" s="110">
        <v>6</v>
      </c>
      <c r="B93" s="59" t="s">
        <v>150</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-164</v>
      </c>
      <c r="AC93" s="114"/>
      <c r="AD93" s="5"/>
    </row>
    <row r="94" spans="1:30" x14ac:dyDescent="0.3">
      <c r="A94" s="110">
        <v>7</v>
      </c>
      <c r="B94" s="59" t="s">
        <v>201</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0</v>
      </c>
      <c r="AC94" s="114"/>
      <c r="AD94" s="5"/>
    </row>
    <row r="95" spans="1:30" x14ac:dyDescent="0.3">
      <c r="A95" s="110">
        <v>8</v>
      </c>
      <c r="B95" s="59" t="s">
        <v>151</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-107</v>
      </c>
      <c r="AC95" s="114"/>
      <c r="AD95" s="5"/>
    </row>
    <row r="96" spans="1:30" x14ac:dyDescent="0.3">
      <c r="A96" s="110">
        <v>9</v>
      </c>
      <c r="B96" s="59" t="s">
        <v>180</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-124</v>
      </c>
      <c r="AC96" s="114"/>
      <c r="AD96" s="5"/>
    </row>
    <row r="97" spans="1:30" x14ac:dyDescent="0.3">
      <c r="A97" s="110">
        <v>10</v>
      </c>
      <c r="B97" s="59" t="s">
        <v>130</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0</v>
      </c>
      <c r="AC97" s="114"/>
      <c r="AD97" s="5"/>
    </row>
    <row r="98" spans="1:30" x14ac:dyDescent="0.3">
      <c r="A98" s="110">
        <v>11</v>
      </c>
      <c r="B98" s="59" t="s">
        <v>200</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0</v>
      </c>
      <c r="AC98" s="114"/>
      <c r="AD98" s="5"/>
    </row>
    <row r="99" spans="1:30" x14ac:dyDescent="0.3">
      <c r="A99" s="110">
        <v>12</v>
      </c>
      <c r="B99" s="59" t="s">
        <v>33</v>
      </c>
      <c r="C99" s="59"/>
      <c r="D99" s="59"/>
      <c r="E99" s="59"/>
      <c r="F99" s="59"/>
      <c r="G99" s="59"/>
      <c r="H99" s="59"/>
      <c r="I99" s="59"/>
      <c r="J99" s="59"/>
      <c r="K99" s="59"/>
      <c r="L99" s="59"/>
      <c r="M99" s="59"/>
      <c r="N99" s="59"/>
      <c r="O99" s="59"/>
      <c r="P99" s="59"/>
      <c r="Q99" s="59"/>
      <c r="R99" s="59"/>
      <c r="S99" s="59"/>
      <c r="T99" s="59"/>
      <c r="U99" s="59"/>
      <c r="V99" s="59"/>
      <c r="W99" s="59"/>
      <c r="X99" s="59"/>
      <c r="Y99" s="59"/>
      <c r="Z99" s="238">
        <f>-AB99</f>
        <v>0</v>
      </c>
      <c r="AA99" s="112"/>
      <c r="AB99" s="98">
        <v>0</v>
      </c>
      <c r="AC99" s="114"/>
      <c r="AD99" s="5"/>
    </row>
    <row r="100" spans="1:30" x14ac:dyDescent="0.3">
      <c r="A100" s="110">
        <v>13</v>
      </c>
      <c r="B100" s="59" t="s">
        <v>276</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14</v>
      </c>
      <c r="B101" s="59" t="s">
        <v>277</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c r="AA101" s="112"/>
      <c r="AB101" s="98">
        <v>0</v>
      </c>
      <c r="AC101" s="114"/>
      <c r="AD101" s="5"/>
    </row>
    <row r="102" spans="1:30" x14ac:dyDescent="0.3">
      <c r="A102" s="110">
        <v>15</v>
      </c>
      <c r="B102" s="59" t="s">
        <v>28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-30</v>
      </c>
      <c r="AC102" s="114"/>
      <c r="AD102" s="5"/>
    </row>
    <row r="103" spans="1:30" x14ac:dyDescent="0.3">
      <c r="A103" s="110">
        <v>16</v>
      </c>
      <c r="B103" s="59" t="s">
        <v>118</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0</v>
      </c>
      <c r="AC103" s="114"/>
      <c r="AD103" s="5"/>
    </row>
    <row r="104" spans="1:30" x14ac:dyDescent="0.3">
      <c r="A104" s="110">
        <v>17</v>
      </c>
      <c r="B104" s="59" t="s">
        <v>188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0</v>
      </c>
      <c r="AC104" s="114"/>
      <c r="AD104" s="5"/>
    </row>
    <row r="105" spans="1:30" x14ac:dyDescent="0.3">
      <c r="A105" s="110">
        <v>18</v>
      </c>
      <c r="B105" s="59" t="s">
        <v>162</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-197</v>
      </c>
      <c r="AC105" s="114"/>
      <c r="AD105" s="5"/>
    </row>
    <row r="106" spans="1:30" x14ac:dyDescent="0.3">
      <c r="A106" s="110">
        <v>19</v>
      </c>
      <c r="B106" s="59" t="s">
        <v>257</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-113</v>
      </c>
      <c r="AC106" s="114"/>
      <c r="AD106" s="5"/>
    </row>
    <row r="107" spans="1:30" x14ac:dyDescent="0.3">
      <c r="A107" s="110">
        <v>20</v>
      </c>
      <c r="B107" s="59" t="s">
        <v>258</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-19</v>
      </c>
      <c r="AC107" s="114"/>
      <c r="AD107" s="5"/>
    </row>
    <row r="108" spans="1:30" x14ac:dyDescent="0.3">
      <c r="A108" s="110">
        <v>21</v>
      </c>
      <c r="B108" s="59" t="s">
        <v>259</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-41</v>
      </c>
      <c r="AC108" s="114"/>
      <c r="AD108" s="5"/>
    </row>
    <row r="109" spans="1:30" x14ac:dyDescent="0.3">
      <c r="A109" s="110">
        <v>22</v>
      </c>
      <c r="B109" s="59" t="s">
        <v>260</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-2495</v>
      </c>
      <c r="AC109" s="114"/>
      <c r="AD109" s="5"/>
    </row>
    <row r="110" spans="1:30" x14ac:dyDescent="0.3">
      <c r="A110" s="110">
        <v>23</v>
      </c>
      <c r="B110" s="59" t="s">
        <v>131</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24</v>
      </c>
      <c r="B111" s="59" t="s">
        <v>137</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v>0</v>
      </c>
      <c r="AC111" s="114"/>
      <c r="AD111" s="5"/>
    </row>
    <row r="112" spans="1:30" x14ac:dyDescent="0.3">
      <c r="A112" s="110">
        <v>25</v>
      </c>
      <c r="B112" s="59" t="s">
        <v>255</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0</v>
      </c>
      <c r="AC112" s="114"/>
      <c r="AD112" s="5"/>
    </row>
    <row r="113" spans="1:30" x14ac:dyDescent="0.3">
      <c r="A113" s="110">
        <v>26</v>
      </c>
      <c r="B113" s="59" t="s">
        <v>226</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0</v>
      </c>
      <c r="AC113" s="114"/>
      <c r="AD113" s="5"/>
    </row>
    <row r="114" spans="1:30" x14ac:dyDescent="0.3">
      <c r="A114" s="110"/>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113"/>
      <c r="AC114" s="114"/>
      <c r="AD114" s="5"/>
    </row>
    <row r="115" spans="1:30" x14ac:dyDescent="0.3">
      <c r="A115" s="110"/>
      <c r="B115" s="111" t="s">
        <v>29</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112"/>
      <c r="AB115" s="116"/>
      <c r="AC115" s="114"/>
      <c r="AD115" s="5"/>
    </row>
    <row r="116" spans="1:30" x14ac:dyDescent="0.3">
      <c r="A116" s="110"/>
      <c r="B116" s="40" t="s">
        <v>227</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v>0</v>
      </c>
      <c r="AA116" s="112"/>
      <c r="AB116" s="116"/>
      <c r="AC116" s="114"/>
      <c r="AD116" s="5"/>
    </row>
    <row r="117" spans="1:30" s="23" customFormat="1" x14ac:dyDescent="0.3">
      <c r="A117" s="47"/>
      <c r="B117" s="40" t="s">
        <v>156</v>
      </c>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238">
        <v>0</v>
      </c>
      <c r="AA117" s="97"/>
      <c r="AB117" s="98"/>
      <c r="AC117" s="43"/>
      <c r="AD117" s="22"/>
    </row>
    <row r="118" spans="1:30" s="23" customFormat="1" x14ac:dyDescent="0.3">
      <c r="A118" s="47"/>
      <c r="B118" s="40" t="s">
        <v>157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8">
        <v>0</v>
      </c>
      <c r="AA118" s="97"/>
      <c r="AB118" s="98"/>
      <c r="AC118" s="43"/>
      <c r="AD118" s="22"/>
    </row>
    <row r="119" spans="1:30" s="23" customFormat="1" x14ac:dyDescent="0.3">
      <c r="A119" s="47"/>
      <c r="B119" s="40" t="s">
        <v>262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263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312</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-3566</v>
      </c>
      <c r="AA121" s="97"/>
      <c r="AB121" s="98"/>
      <c r="AC121" s="43"/>
      <c r="AD121" s="22"/>
    </row>
    <row r="122" spans="1:30" s="23" customFormat="1" x14ac:dyDescent="0.3">
      <c r="A122" s="47"/>
      <c r="B122" s="40" t="s">
        <v>142</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143</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0</v>
      </c>
      <c r="AA123" s="97"/>
      <c r="AB123" s="98"/>
      <c r="AC123" s="43"/>
      <c r="AD123" s="22"/>
    </row>
    <row r="124" spans="1:30" s="23" customFormat="1" x14ac:dyDescent="0.3">
      <c r="A124" s="47"/>
      <c r="B124" s="40" t="s">
        <v>173</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163</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189</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30</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f>SUM(Z116:Z126)</f>
        <v>-3566</v>
      </c>
      <c r="AA127" s="97"/>
      <c r="AB127" s="97">
        <f>SUM(AB87:AB125)</f>
        <v>-6770</v>
      </c>
      <c r="AC127" s="43"/>
      <c r="AD127" s="22"/>
    </row>
    <row r="128" spans="1:30" s="23" customFormat="1" x14ac:dyDescent="0.3">
      <c r="A128" s="47"/>
      <c r="B128" s="40" t="s">
        <v>31</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f>Z86+Z127+Z99</f>
        <v>2</v>
      </c>
      <c r="AA128" s="97"/>
      <c r="AB128" s="97">
        <f>AB86+AB127</f>
        <v>0</v>
      </c>
      <c r="AC128" s="43"/>
      <c r="AD128" s="22"/>
    </row>
    <row r="129" spans="1:30" s="23" customFormat="1" x14ac:dyDescent="0.3">
      <c r="A129" s="18"/>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106"/>
      <c r="AA129" s="106"/>
      <c r="AB129" s="106"/>
      <c r="AC129" s="21"/>
      <c r="AD129" s="22"/>
    </row>
    <row r="130" spans="1:30" s="23" customFormat="1" x14ac:dyDescent="0.3">
      <c r="A130" s="18"/>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117"/>
      <c r="AC130" s="21"/>
      <c r="AD130" s="22"/>
    </row>
    <row r="131" spans="1:30" s="23" customFormat="1" ht="18.600000000000001" thickBot="1" x14ac:dyDescent="0.4">
      <c r="A131" s="83"/>
      <c r="B131" s="84" t="str">
        <f>B53</f>
        <v>PM27 INVESTOR REPORT QUARTER ENDING SEPTEMBER 2020</v>
      </c>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118"/>
      <c r="AC131" s="87"/>
      <c r="AD131" s="22"/>
    </row>
    <row r="132" spans="1:30" x14ac:dyDescent="0.3">
      <c r="A132" s="119"/>
      <c r="B132" s="120" t="s">
        <v>32</v>
      </c>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2"/>
      <c r="AC132" s="123"/>
      <c r="AD132" s="5"/>
    </row>
    <row r="133" spans="1:30" x14ac:dyDescent="0.3">
      <c r="A133" s="7"/>
      <c r="B133" s="124"/>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1"/>
      <c r="AC133" s="10"/>
      <c r="AD133" s="5"/>
    </row>
    <row r="134" spans="1:30" x14ac:dyDescent="0.3">
      <c r="A134" s="7"/>
      <c r="B134" s="125" t="s">
        <v>192</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1"/>
      <c r="AC134" s="10"/>
      <c r="AD134" s="5"/>
    </row>
    <row r="135" spans="1:30" s="23" customFormat="1" x14ac:dyDescent="0.3">
      <c r="A135" s="47"/>
      <c r="B135" s="40" t="s">
        <v>199</v>
      </c>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98">
        <f>SUM(F29:H29)*1.5%</f>
        <v>10351.994999999999</v>
      </c>
      <c r="AC135" s="43"/>
      <c r="AD135" s="22"/>
    </row>
    <row r="136" spans="1:30" s="23" customFormat="1" x14ac:dyDescent="0.3">
      <c r="A136" s="47"/>
      <c r="B136" s="40" t="s">
        <v>204</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8">
        <f>'June 20'!AB143</f>
        <v>10351.994999999999</v>
      </c>
      <c r="AC136" s="43"/>
      <c r="AD136" s="22"/>
    </row>
    <row r="137" spans="1:30" s="23" customFormat="1" x14ac:dyDescent="0.3">
      <c r="A137" s="47"/>
      <c r="B137" s="40" t="s">
        <v>248</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8"/>
      <c r="AC137" s="43"/>
      <c r="AD137" s="22"/>
    </row>
    <row r="138" spans="1:30" s="23" customFormat="1" x14ac:dyDescent="0.3">
      <c r="A138" s="47"/>
      <c r="B138" s="40" t="s">
        <v>250</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v>0</v>
      </c>
      <c r="AC138" s="43"/>
      <c r="AD138" s="22"/>
    </row>
    <row r="139" spans="1:30" s="23" customFormat="1" x14ac:dyDescent="0.3">
      <c r="A139" s="47"/>
      <c r="B139" s="40" t="s">
        <v>198</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v>0</v>
      </c>
      <c r="AC139" s="43"/>
      <c r="AD139" s="22"/>
    </row>
    <row r="140" spans="1:30" s="23" customFormat="1" x14ac:dyDescent="0.3">
      <c r="A140" s="47"/>
      <c r="B140" s="40" t="s">
        <v>150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v>0</v>
      </c>
      <c r="AC140" s="43"/>
      <c r="AD140" s="22"/>
    </row>
    <row r="141" spans="1:30" s="23" customFormat="1" x14ac:dyDescent="0.3">
      <c r="A141" s="47"/>
      <c r="B141" s="40" t="s">
        <v>87</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251</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-19</v>
      </c>
      <c r="AC142" s="43"/>
      <c r="AD142" s="22"/>
    </row>
    <row r="143" spans="1:30" s="23" customFormat="1" x14ac:dyDescent="0.3">
      <c r="A143" s="47"/>
      <c r="B143" s="40" t="s">
        <v>203</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f>SUM(AB136:AB142)</f>
        <v>10332.994999999999</v>
      </c>
      <c r="AC143" s="43"/>
      <c r="AD143" s="22"/>
    </row>
    <row r="144" spans="1:30" x14ac:dyDescent="0.3">
      <c r="A144" s="7"/>
      <c r="B144" s="124"/>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1"/>
      <c r="AC144" s="10"/>
      <c r="AD144" s="5"/>
    </row>
    <row r="145" spans="1:30" x14ac:dyDescent="0.3">
      <c r="A145" s="7"/>
      <c r="B145" s="125" t="s">
        <v>190</v>
      </c>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1"/>
      <c r="AC145" s="10"/>
      <c r="AD145" s="5"/>
    </row>
    <row r="146" spans="1:30" s="23" customFormat="1" x14ac:dyDescent="0.3">
      <c r="A146" s="47"/>
      <c r="B146" s="59" t="s">
        <v>191</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SUM(J29:L29)*1.5%</f>
        <v>684.42</v>
      </c>
      <c r="AC146" s="43"/>
      <c r="AD146" s="22"/>
    </row>
    <row r="147" spans="1:30" s="23" customFormat="1" x14ac:dyDescent="0.3">
      <c r="A147" s="47"/>
      <c r="B147" s="59" t="s">
        <v>205</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8">
        <f>SUM(J29:L29)*0.015</f>
        <v>684.42</v>
      </c>
      <c r="AC147" s="43"/>
      <c r="AD147" s="22"/>
    </row>
    <row r="148" spans="1:30" s="23" customFormat="1" x14ac:dyDescent="0.3">
      <c r="A148" s="47"/>
      <c r="B148" s="59" t="s">
        <v>93</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8"/>
      <c r="AC148" s="43"/>
      <c r="AD148" s="22"/>
    </row>
    <row r="149" spans="1:30" s="23" customFormat="1" x14ac:dyDescent="0.3">
      <c r="A149" s="47"/>
      <c r="B149" s="40" t="s">
        <v>250</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v>0</v>
      </c>
      <c r="AC149" s="43"/>
      <c r="AD149" s="22"/>
    </row>
    <row r="150" spans="1:30" s="23" customFormat="1" x14ac:dyDescent="0.3">
      <c r="A150" s="47"/>
      <c r="B150" s="59" t="s">
        <v>129</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v>0</v>
      </c>
      <c r="AC150" s="43"/>
      <c r="AD150" s="22"/>
    </row>
    <row r="151" spans="1:30" s="23" customFormat="1" x14ac:dyDescent="0.3">
      <c r="A151" s="47"/>
      <c r="B151" s="59" t="s">
        <v>150</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v>0</v>
      </c>
      <c r="AC151" s="43"/>
      <c r="AD151" s="22"/>
    </row>
    <row r="152" spans="1:30" s="23" customFormat="1" x14ac:dyDescent="0.3">
      <c r="A152" s="47"/>
      <c r="B152" s="59" t="s">
        <v>151</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0" s="23" customFormat="1" x14ac:dyDescent="0.3">
      <c r="A153" s="47"/>
      <c r="B153" s="59" t="s">
        <v>180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0" s="23" customFormat="1" x14ac:dyDescent="0.3">
      <c r="A154" s="47"/>
      <c r="B154" s="59" t="s">
        <v>87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0" s="23" customFormat="1" x14ac:dyDescent="0.3">
      <c r="A155" s="47"/>
      <c r="B155" s="40" t="s">
        <v>251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0" s="23" customFormat="1" x14ac:dyDescent="0.3">
      <c r="A156" s="47"/>
      <c r="B156" s="59" t="s">
        <v>202</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f>SUM(AB147:AB155)</f>
        <v>684.42</v>
      </c>
      <c r="AC156" s="43"/>
      <c r="AD156" s="22"/>
    </row>
    <row r="157" spans="1:30" x14ac:dyDescent="0.3">
      <c r="A157" s="7"/>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126"/>
      <c r="AC157" s="10"/>
      <c r="AD157" s="5"/>
    </row>
    <row r="158" spans="1:30" x14ac:dyDescent="0.3">
      <c r="A158" s="7"/>
      <c r="B158" s="125" t="s">
        <v>174</v>
      </c>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8"/>
      <c r="AC158" s="10"/>
      <c r="AD158" s="5"/>
    </row>
    <row r="159" spans="1:30" s="23" customFormat="1" x14ac:dyDescent="0.3">
      <c r="A159" s="129"/>
      <c r="B159" s="230" t="s">
        <v>281</v>
      </c>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1">
        <f>+'June 20'!AB162</f>
        <v>739</v>
      </c>
      <c r="AC159" s="132"/>
      <c r="AD159" s="22"/>
    </row>
    <row r="160" spans="1:30" s="23" customFormat="1" x14ac:dyDescent="0.3">
      <c r="A160" s="129"/>
      <c r="B160" s="230" t="s">
        <v>175</v>
      </c>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1">
        <f>X64</f>
        <v>-110</v>
      </c>
      <c r="AC160" s="132"/>
      <c r="AD160" s="22"/>
    </row>
    <row r="161" spans="1:262" s="23" customFormat="1" x14ac:dyDescent="0.3">
      <c r="A161" s="129"/>
      <c r="B161" s="230" t="s">
        <v>249</v>
      </c>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1">
        <v>0</v>
      </c>
      <c r="AC161" s="132"/>
      <c r="AD161" s="22"/>
    </row>
    <row r="162" spans="1:262" s="23" customFormat="1" x14ac:dyDescent="0.3">
      <c r="A162" s="129"/>
      <c r="B162" s="230" t="s">
        <v>176</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AB159+AB160</f>
        <v>629</v>
      </c>
      <c r="AC162" s="132"/>
      <c r="AD162" s="22"/>
    </row>
    <row r="163" spans="1:262" x14ac:dyDescent="0.3">
      <c r="A163" s="7"/>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126"/>
      <c r="AC163" s="10"/>
      <c r="AD163" s="5"/>
    </row>
    <row r="164" spans="1:262" x14ac:dyDescent="0.3">
      <c r="A164" s="7"/>
      <c r="B164" s="125" t="s">
        <v>34</v>
      </c>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133"/>
      <c r="AC164" s="10"/>
      <c r="AD164" s="5"/>
    </row>
    <row r="165" spans="1:262" s="23" customFormat="1" x14ac:dyDescent="0.3">
      <c r="A165" s="47"/>
      <c r="B165" s="40" t="s">
        <v>35</v>
      </c>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98">
        <v>0</v>
      </c>
      <c r="AC165" s="43"/>
      <c r="AD165" s="22"/>
    </row>
    <row r="166" spans="1:262" s="23" customFormat="1" x14ac:dyDescent="0.3">
      <c r="A166" s="47"/>
      <c r="B166" s="40" t="s">
        <v>36</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8">
        <v>0</v>
      </c>
      <c r="AC166" s="43"/>
      <c r="AD166" s="22"/>
    </row>
    <row r="167" spans="1:262" s="23" customFormat="1" x14ac:dyDescent="0.3">
      <c r="A167" s="47"/>
      <c r="B167" s="40" t="s">
        <v>219</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8">
        <v>0</v>
      </c>
      <c r="AC167" s="43"/>
      <c r="AD167" s="22"/>
    </row>
    <row r="168" spans="1:262" s="23" customFormat="1" x14ac:dyDescent="0.3">
      <c r="A168" s="47"/>
      <c r="B168" s="40" t="s">
        <v>37</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AB166+AB165+AB167</f>
        <v>0</v>
      </c>
      <c r="AC168" s="43"/>
      <c r="AD168" s="22"/>
    </row>
    <row r="169" spans="1:262" s="23" customFormat="1" x14ac:dyDescent="0.3">
      <c r="A169" s="47"/>
      <c r="B169" s="40" t="s">
        <v>268</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f>+AB99</f>
        <v>0</v>
      </c>
      <c r="AC169" s="43"/>
      <c r="AD169" s="22"/>
    </row>
    <row r="170" spans="1:262" s="23" customFormat="1" x14ac:dyDescent="0.3">
      <c r="A170" s="47"/>
      <c r="B170" s="40" t="s">
        <v>38</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f>AB168+AB169</f>
        <v>0</v>
      </c>
      <c r="AC170" s="43"/>
      <c r="AD170" s="22"/>
    </row>
    <row r="171" spans="1:262" s="23" customFormat="1" x14ac:dyDescent="0.3">
      <c r="A171" s="47"/>
      <c r="B171" s="40" t="s">
        <v>124</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-AB85</f>
        <v>0</v>
      </c>
      <c r="AC171" s="43"/>
      <c r="AD171" s="22"/>
    </row>
    <row r="172" spans="1:262" ht="16.2" thickBot="1" x14ac:dyDescent="0.35">
      <c r="A172" s="7"/>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126"/>
      <c r="AC172" s="10"/>
      <c r="AD172" s="5"/>
    </row>
    <row r="173" spans="1:262" x14ac:dyDescent="0.3">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134"/>
      <c r="AC173" s="4"/>
      <c r="AD173" s="5"/>
    </row>
    <row r="174" spans="1:262" s="136" customFormat="1" x14ac:dyDescent="0.3">
      <c r="A174" s="7"/>
      <c r="B174" s="125" t="s">
        <v>193</v>
      </c>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135"/>
      <c r="AC174" s="10"/>
      <c r="AD174" s="5"/>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row>
    <row r="175" spans="1:262" s="137" customFormat="1" x14ac:dyDescent="0.3">
      <c r="A175" s="47"/>
      <c r="B175" s="40" t="s">
        <v>332</v>
      </c>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98">
        <v>0</v>
      </c>
      <c r="AC175" s="43"/>
      <c r="AD175" s="22"/>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row>
    <row r="176" spans="1:262" s="137" customFormat="1" x14ac:dyDescent="0.3">
      <c r="A176" s="47"/>
      <c r="B176" s="40" t="s">
        <v>210</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8">
        <f>+'June 20'!AB179</f>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7" customFormat="1" x14ac:dyDescent="0.3">
      <c r="A177" s="47"/>
      <c r="B177" s="40" t="s">
        <v>234</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8">
        <f>-AB185</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7" customFormat="1" x14ac:dyDescent="0.3">
      <c r="A178" s="47"/>
      <c r="B178" s="40" t="s">
        <v>236</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f>+AB81</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207</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+AB176+AB177-AB178</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9" customFormat="1" ht="16.2" thickBot="1" x14ac:dyDescent="0.35">
      <c r="A180" s="138"/>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126"/>
      <c r="AC180" s="10"/>
      <c r="AD180" s="5"/>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row>
    <row r="181" spans="1:262" x14ac:dyDescent="0.3">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134"/>
      <c r="AC181" s="4"/>
      <c r="AD181" s="5"/>
    </row>
    <row r="182" spans="1:262" s="136" customFormat="1" x14ac:dyDescent="0.3">
      <c r="A182" s="7"/>
      <c r="B182" s="125" t="s">
        <v>206</v>
      </c>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135"/>
      <c r="AC182" s="10"/>
      <c r="AD182" s="5"/>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row>
    <row r="183" spans="1:262" s="137" customFormat="1" x14ac:dyDescent="0.3">
      <c r="A183" s="47"/>
      <c r="B183" s="40" t="s">
        <v>208</v>
      </c>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98">
        <v>300</v>
      </c>
      <c r="AC183" s="43"/>
      <c r="AD183" s="22"/>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row>
    <row r="184" spans="1:262" s="137" customFormat="1" x14ac:dyDescent="0.3">
      <c r="A184" s="47"/>
      <c r="B184" s="40" t="s">
        <v>211</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98">
        <f>+'June 20'!AB187</f>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7" customFormat="1" x14ac:dyDescent="0.3">
      <c r="A185" s="47"/>
      <c r="B185" s="59" t="s">
        <v>228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8">
        <v>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7" customFormat="1" x14ac:dyDescent="0.3">
      <c r="A186" s="47"/>
      <c r="B186" s="59" t="s">
        <v>229</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f>-AB100</f>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209</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AB183-AB185+AB186</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9" customFormat="1" ht="16.2" thickBot="1" x14ac:dyDescent="0.35">
      <c r="A188" s="138"/>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126"/>
      <c r="AC188" s="10"/>
      <c r="AD188" s="5"/>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row>
    <row r="189" spans="1:262" x14ac:dyDescent="0.3">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134"/>
      <c r="AC189" s="4"/>
      <c r="AD189" s="5"/>
    </row>
    <row r="190" spans="1:262" s="136" customFormat="1" x14ac:dyDescent="0.3">
      <c r="A190" s="7"/>
      <c r="B190" s="125" t="s">
        <v>212</v>
      </c>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135"/>
      <c r="AC190" s="10"/>
      <c r="AD190" s="5"/>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row>
    <row r="191" spans="1:262" s="137" customFormat="1" x14ac:dyDescent="0.3">
      <c r="A191" s="47"/>
      <c r="B191" s="40" t="s">
        <v>334</v>
      </c>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98">
        <v>0</v>
      </c>
      <c r="AC191" s="43"/>
      <c r="AD191" s="22"/>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row>
    <row r="192" spans="1:262" s="137" customFormat="1" x14ac:dyDescent="0.3">
      <c r="A192" s="47"/>
      <c r="B192" s="40" t="s">
        <v>213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98">
        <f>+'June 20'!AB195</f>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7" customFormat="1" x14ac:dyDescent="0.3">
      <c r="A193" s="47"/>
      <c r="B193" s="40" t="s">
        <v>235</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8">
        <f>AB201</f>
        <v>0</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7"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f>AB82</f>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346</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AB192+AB193-AB194</f>
        <v>0</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9" customFormat="1" ht="16.2" thickBot="1" x14ac:dyDescent="0.35">
      <c r="A196" s="138"/>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126"/>
      <c r="AC196" s="10"/>
      <c r="AD196" s="5"/>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row>
    <row r="197" spans="1:262" x14ac:dyDescent="0.3">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134"/>
      <c r="AC197" s="4"/>
      <c r="AD197" s="5"/>
    </row>
    <row r="198" spans="1:262" s="136" customFormat="1" x14ac:dyDescent="0.3">
      <c r="A198" s="7"/>
      <c r="B198" s="125" t="s">
        <v>333</v>
      </c>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135"/>
      <c r="AC198" s="10"/>
      <c r="AD198" s="5"/>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row>
    <row r="199" spans="1:262" s="137" customFormat="1" x14ac:dyDescent="0.3">
      <c r="A199" s="47"/>
      <c r="B199" s="40" t="s">
        <v>214</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v>301</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7" customFormat="1" x14ac:dyDescent="0.3">
      <c r="A200" s="47"/>
      <c r="B200" s="40" t="s">
        <v>215</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98">
        <f>+'June 20'!AB203</f>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7" customFormat="1" x14ac:dyDescent="0.3">
      <c r="A201" s="47"/>
      <c r="B201" s="59" t="s">
        <v>256</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8">
        <v>0</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7" customFormat="1" x14ac:dyDescent="0.3">
      <c r="A202" s="47"/>
      <c r="B202" s="59" t="s">
        <v>231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f>-AB101</f>
        <v>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AB199-AB201+AB202</f>
        <v>301</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9" customFormat="1" ht="16.2" thickBot="1" x14ac:dyDescent="0.35">
      <c r="A204" s="138"/>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126"/>
      <c r="AC204" s="10"/>
      <c r="AD204" s="5"/>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row>
    <row r="205" spans="1:262" x14ac:dyDescent="0.3">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134"/>
      <c r="AC205" s="4"/>
      <c r="AD205" s="5"/>
    </row>
    <row r="206" spans="1:262" s="136" customFormat="1" x14ac:dyDescent="0.3">
      <c r="A206" s="7"/>
      <c r="B206" s="125" t="s">
        <v>237</v>
      </c>
      <c r="C206" s="99"/>
      <c r="D206" s="99"/>
      <c r="E206" s="99"/>
      <c r="F206" s="99"/>
      <c r="G206" s="99"/>
      <c r="H206" s="99"/>
      <c r="I206" s="99"/>
      <c r="J206" s="99"/>
      <c r="K206" s="99"/>
      <c r="L206" s="99"/>
      <c r="M206" s="99"/>
      <c r="N206" s="99"/>
      <c r="O206" s="99"/>
      <c r="P206" s="99"/>
      <c r="Q206" s="99"/>
      <c r="R206" s="99"/>
      <c r="S206" s="99"/>
      <c r="T206" s="99"/>
      <c r="U206" s="99"/>
      <c r="V206" s="99"/>
      <c r="W206" s="99"/>
      <c r="X206" s="99"/>
      <c r="Y206" s="233" t="s">
        <v>243</v>
      </c>
      <c r="Z206" s="233" t="s">
        <v>244</v>
      </c>
      <c r="AA206" s="12"/>
      <c r="AB206" s="234" t="s">
        <v>80</v>
      </c>
      <c r="AC206" s="10"/>
      <c r="AD206" s="5"/>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row>
    <row r="207" spans="1:262" s="137" customFormat="1" x14ac:dyDescent="0.3">
      <c r="A207" s="47"/>
      <c r="B207" s="40" t="s">
        <v>238</v>
      </c>
      <c r="C207" s="40"/>
      <c r="D207" s="40"/>
      <c r="E207" s="40"/>
      <c r="F207" s="40"/>
      <c r="G207" s="40"/>
      <c r="H207" s="40"/>
      <c r="I207" s="40"/>
      <c r="J207" s="40"/>
      <c r="K207" s="40"/>
      <c r="L207" s="40"/>
      <c r="M207" s="40"/>
      <c r="N207" s="40"/>
      <c r="O207" s="40"/>
      <c r="P207" s="40"/>
      <c r="Q207" s="40"/>
      <c r="R207" s="40"/>
      <c r="S207" s="40"/>
      <c r="T207" s="40"/>
      <c r="U207" s="40"/>
      <c r="V207" s="40"/>
      <c r="W207" s="40"/>
      <c r="X207" s="40"/>
      <c r="Y207" s="98">
        <f>SUM(F29:R29)*0.16</f>
        <v>124206.40000000001</v>
      </c>
      <c r="Z207" s="70"/>
      <c r="AA207" s="40"/>
      <c r="AB207" s="98"/>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7" customFormat="1" x14ac:dyDescent="0.3">
      <c r="A208" s="47"/>
      <c r="B208" s="40" t="s">
        <v>239</v>
      </c>
      <c r="C208" s="40"/>
      <c r="D208" s="40"/>
      <c r="E208" s="40"/>
      <c r="F208" s="40"/>
      <c r="G208" s="40"/>
      <c r="H208" s="40"/>
      <c r="I208" s="40"/>
      <c r="J208" s="40"/>
      <c r="K208" s="40"/>
      <c r="L208" s="40"/>
      <c r="M208" s="40"/>
      <c r="N208" s="40"/>
      <c r="O208" s="40"/>
      <c r="P208" s="40"/>
      <c r="Q208" s="40"/>
      <c r="R208" s="40"/>
      <c r="S208" s="40"/>
      <c r="T208" s="40"/>
      <c r="U208" s="40"/>
      <c r="V208" s="40"/>
      <c r="W208" s="40"/>
      <c r="X208" s="40"/>
      <c r="Y208" s="98">
        <f>+'June 20'!Y210</f>
        <v>0</v>
      </c>
      <c r="Z208" s="98">
        <f>+'June 20'!Z210</f>
        <v>73</v>
      </c>
      <c r="AA208" s="40"/>
      <c r="AB208" s="98">
        <f>Y208+Z208</f>
        <v>73</v>
      </c>
      <c r="AC208" s="43"/>
      <c r="AD208" s="22"/>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row>
    <row r="209" spans="1:262" s="137" customFormat="1" x14ac:dyDescent="0.3">
      <c r="A209" s="47"/>
      <c r="B209" s="40" t="s">
        <v>240</v>
      </c>
      <c r="C209" s="40"/>
      <c r="D209" s="40"/>
      <c r="E209" s="40"/>
      <c r="F209" s="40"/>
      <c r="G209" s="40"/>
      <c r="H209" s="40"/>
      <c r="I209" s="40"/>
      <c r="J209" s="40"/>
      <c r="K209" s="40"/>
      <c r="L209" s="40"/>
      <c r="M209" s="40"/>
      <c r="N209" s="40"/>
      <c r="O209" s="40"/>
      <c r="P209" s="40"/>
      <c r="Q209" s="40"/>
      <c r="R209" s="40"/>
      <c r="S209" s="40"/>
      <c r="T209" s="40"/>
      <c r="U209" s="40"/>
      <c r="V209" s="40"/>
      <c r="W209" s="40"/>
      <c r="X209" s="40"/>
      <c r="Y209" s="97">
        <v>0</v>
      </c>
      <c r="Z209" s="97">
        <v>110</v>
      </c>
      <c r="AA209" s="40"/>
      <c r="AB209" s="98">
        <f>Y209+Z209</f>
        <v>110</v>
      </c>
      <c r="AC209" s="43"/>
      <c r="AD209" s="22"/>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row>
    <row r="210" spans="1:262" s="137" customFormat="1" x14ac:dyDescent="0.3">
      <c r="A210" s="47"/>
      <c r="B210" s="40" t="s">
        <v>241</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Y208+Y209</f>
        <v>0</v>
      </c>
      <c r="Z210" s="98">
        <f>Z209+Z208</f>
        <v>183</v>
      </c>
      <c r="AA210" s="40"/>
      <c r="AB210" s="98">
        <f>Y210+Z210</f>
        <v>183</v>
      </c>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242</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Y207-Y210-Z210</f>
        <v>124023.40000000001</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9" customFormat="1" ht="16.2" thickBot="1" x14ac:dyDescent="0.35">
      <c r="A212" s="138"/>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126"/>
      <c r="AC212" s="10"/>
      <c r="AD212" s="5"/>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row>
    <row r="213" spans="1:262" x14ac:dyDescent="0.3">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134"/>
      <c r="AC213" s="4"/>
      <c r="AD213" s="5"/>
    </row>
    <row r="214" spans="1:262" s="136" customFormat="1" x14ac:dyDescent="0.3">
      <c r="A214" s="7"/>
      <c r="B214" s="125" t="s">
        <v>267</v>
      </c>
      <c r="C214" s="99"/>
      <c r="D214" s="99"/>
      <c r="E214" s="99"/>
      <c r="F214" s="99"/>
      <c r="G214" s="99"/>
      <c r="H214" s="99"/>
      <c r="I214" s="99"/>
      <c r="J214" s="99"/>
      <c r="K214" s="99"/>
      <c r="L214" s="99"/>
      <c r="M214" s="99"/>
      <c r="N214" s="99"/>
      <c r="O214" s="99"/>
      <c r="P214" s="99"/>
      <c r="Q214" s="99"/>
      <c r="R214" s="99"/>
      <c r="S214" s="99"/>
      <c r="T214" s="99"/>
      <c r="U214" s="99"/>
      <c r="V214" s="99"/>
      <c r="W214" s="99"/>
      <c r="X214" s="99"/>
      <c r="Y214" s="233"/>
      <c r="Z214" s="233"/>
      <c r="AA214" s="12"/>
      <c r="AB214" s="234" t="s">
        <v>80</v>
      </c>
      <c r="AC214" s="10"/>
      <c r="AD214" s="5"/>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row>
    <row r="215" spans="1:262" s="137" customFormat="1" x14ac:dyDescent="0.3">
      <c r="A215" s="47"/>
      <c r="B215" s="40" t="s">
        <v>265</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c r="Z215" s="70"/>
      <c r="AA215" s="40"/>
      <c r="AB215" s="237">
        <v>763000</v>
      </c>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7" customFormat="1" x14ac:dyDescent="0.3">
      <c r="A216" s="47"/>
      <c r="B216" s="40" t="s">
        <v>325</v>
      </c>
      <c r="C216" s="40"/>
      <c r="D216" s="40"/>
      <c r="E216" s="40"/>
      <c r="F216" s="40"/>
      <c r="G216" s="40"/>
      <c r="H216" s="40"/>
      <c r="I216" s="40"/>
      <c r="J216" s="40"/>
      <c r="K216" s="40"/>
      <c r="L216" s="40"/>
      <c r="M216" s="40"/>
      <c r="N216" s="40"/>
      <c r="O216" s="40"/>
      <c r="P216" s="40"/>
      <c r="Q216" s="40"/>
      <c r="R216" s="40"/>
      <c r="S216" s="40"/>
      <c r="T216" s="40"/>
      <c r="U216" s="40"/>
      <c r="V216" s="40"/>
      <c r="W216" s="40"/>
      <c r="X216" s="40"/>
      <c r="Y216" s="98"/>
      <c r="Z216" s="98"/>
      <c r="AA216" s="40"/>
      <c r="AB216" s="237">
        <v>755004</v>
      </c>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7" customFormat="1" x14ac:dyDescent="0.3">
      <c r="A217" s="47"/>
      <c r="B217" s="40" t="s">
        <v>266</v>
      </c>
      <c r="C217" s="40"/>
      <c r="D217" s="40"/>
      <c r="E217" s="40"/>
      <c r="F217" s="40"/>
      <c r="G217" s="40"/>
      <c r="H217" s="40"/>
      <c r="I217" s="40"/>
      <c r="J217" s="40"/>
      <c r="K217" s="40"/>
      <c r="L217" s="40"/>
      <c r="M217" s="40"/>
      <c r="N217" s="40"/>
      <c r="O217" s="40"/>
      <c r="P217" s="40"/>
      <c r="Q217" s="40"/>
      <c r="R217" s="40"/>
      <c r="S217" s="40"/>
      <c r="T217" s="40"/>
      <c r="U217" s="40"/>
      <c r="V217" s="40"/>
      <c r="W217" s="40"/>
      <c r="X217" s="40"/>
      <c r="Y217" s="98"/>
      <c r="Z217" s="98"/>
      <c r="AA217" s="40"/>
      <c r="AB217" s="98">
        <f>AB215-AB216</f>
        <v>7996</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7" customFormat="1" x14ac:dyDescent="0.3">
      <c r="A218" s="47"/>
      <c r="B218" s="40" t="s">
        <v>279</v>
      </c>
      <c r="C218" s="40"/>
      <c r="D218" s="40"/>
      <c r="E218" s="40"/>
      <c r="F218" s="40"/>
      <c r="G218" s="40"/>
      <c r="H218" s="40"/>
      <c r="I218" s="40"/>
      <c r="J218" s="40"/>
      <c r="K218" s="40"/>
      <c r="L218" s="40"/>
      <c r="M218" s="40"/>
      <c r="N218" s="40"/>
      <c r="O218" s="40"/>
      <c r="P218" s="40"/>
      <c r="Q218" s="40"/>
      <c r="R218" s="40"/>
      <c r="S218" s="40"/>
      <c r="T218" s="40"/>
      <c r="U218" s="40"/>
      <c r="V218" s="40"/>
      <c r="W218" s="40"/>
      <c r="X218" s="40"/>
      <c r="Y218" s="97"/>
      <c r="Z218" s="97"/>
      <c r="AA218" s="40"/>
      <c r="AB218" s="240">
        <v>4.5999999999999999E-3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9" customFormat="1" ht="16.2" thickBot="1" x14ac:dyDescent="0.35">
      <c r="A219" s="138"/>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126"/>
      <c r="AC219" s="10"/>
      <c r="AD219" s="5"/>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row>
    <row r="220" spans="1:262" x14ac:dyDescent="0.3">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134"/>
      <c r="AC220" s="4"/>
      <c r="AD220" s="5"/>
    </row>
    <row r="221" spans="1:262" x14ac:dyDescent="0.3">
      <c r="A221" s="7"/>
      <c r="B221" s="125" t="s">
        <v>39</v>
      </c>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140"/>
      <c r="AC221" s="10"/>
      <c r="AD221" s="5"/>
    </row>
    <row r="222" spans="1:262" s="23" customFormat="1" x14ac:dyDescent="0.3">
      <c r="A222" s="47"/>
      <c r="B222" s="40" t="s">
        <v>40</v>
      </c>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142">
        <f>(AB86+AB88+AB89+AB90+AB91)/-AB92</f>
        <v>2.7435082140964493</v>
      </c>
      <c r="AC222" s="43" t="s">
        <v>81</v>
      </c>
      <c r="AD222" s="22"/>
    </row>
    <row r="223" spans="1:262" s="23" customFormat="1" x14ac:dyDescent="0.3">
      <c r="A223" s="47"/>
      <c r="B223" s="40" t="s">
        <v>41</v>
      </c>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142">
        <v>2.36</v>
      </c>
      <c r="AC223" s="43" t="s">
        <v>81</v>
      </c>
      <c r="AD223" s="22"/>
    </row>
    <row r="224" spans="1:262" s="23" customFormat="1" x14ac:dyDescent="0.3">
      <c r="A224" s="47"/>
      <c r="B224" s="40" t="s">
        <v>144</v>
      </c>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141">
        <f>(AB86+AB88+AB89+AB90+AB91+AB92)/-(AB93)</f>
        <v>20.060975609756099</v>
      </c>
      <c r="AC224" s="43" t="s">
        <v>81</v>
      </c>
      <c r="AD224" s="22"/>
    </row>
    <row r="225" spans="1:30" s="23" customFormat="1" x14ac:dyDescent="0.3">
      <c r="A225" s="47"/>
      <c r="B225" s="40" t="s">
        <v>145</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v>15.66</v>
      </c>
      <c r="AC225" s="43" t="s">
        <v>81</v>
      </c>
      <c r="AD225" s="22"/>
    </row>
    <row r="226" spans="1:30" s="23" customFormat="1" x14ac:dyDescent="0.3">
      <c r="A226" s="47"/>
      <c r="B226" s="40" t="s">
        <v>146</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1">
        <f>(AB86+AB88+AB89+AB90+AB91+AB92+AB93)/-(AB95)</f>
        <v>29.214953271028037</v>
      </c>
      <c r="AC226" s="43" t="s">
        <v>81</v>
      </c>
      <c r="AD226" s="22"/>
    </row>
    <row r="227" spans="1:30" s="23" customFormat="1" x14ac:dyDescent="0.3">
      <c r="A227" s="47"/>
      <c r="B227" s="40" t="s">
        <v>147</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22.43</v>
      </c>
      <c r="AC227" s="43" t="s">
        <v>81</v>
      </c>
      <c r="AD227" s="22"/>
    </row>
    <row r="228" spans="1:30" s="23" customFormat="1" x14ac:dyDescent="0.3">
      <c r="A228" s="47"/>
      <c r="B228" s="40" t="s">
        <v>177</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(AB86+AB88+AB89+AB90+AB91+AB92+AB93+AB95)/-(AB96)</f>
        <v>24.346774193548388</v>
      </c>
      <c r="AC228" s="43" t="s">
        <v>81</v>
      </c>
      <c r="AD228" s="22"/>
    </row>
    <row r="229" spans="1:30" s="23" customFormat="1" x14ac:dyDescent="0.3">
      <c r="A229" s="47"/>
      <c r="B229" s="40" t="s">
        <v>178</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18.510000000000002</v>
      </c>
      <c r="AC229" s="43" t="s">
        <v>81</v>
      </c>
      <c r="AD229" s="22"/>
    </row>
    <row r="230" spans="1:30" s="23" customFormat="1" x14ac:dyDescent="0.3">
      <c r="A230" s="47"/>
      <c r="B230" s="40" t="s">
        <v>164</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(AB86+AB88+AB89+AB90+AB91+AB92+AB93+AB95+AB96)/-(AB105)</f>
        <v>14.695431472081218</v>
      </c>
      <c r="AC230" s="43" t="s">
        <v>81</v>
      </c>
      <c r="AD230" s="22"/>
    </row>
    <row r="231" spans="1:30" s="23" customFormat="1" x14ac:dyDescent="0.3">
      <c r="A231" s="47"/>
      <c r="B231" s="40" t="s">
        <v>165</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11.04</v>
      </c>
      <c r="AC231" s="43" t="s">
        <v>81</v>
      </c>
      <c r="AD231" s="22"/>
    </row>
    <row r="232" spans="1:30" s="23" customFormat="1" x14ac:dyDescent="0.3">
      <c r="A232" s="18"/>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21"/>
      <c r="AD232" s="22"/>
    </row>
    <row r="233" spans="1:30" s="23" customFormat="1" x14ac:dyDescent="0.3">
      <c r="A233" s="18"/>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1"/>
      <c r="AD233" s="22"/>
    </row>
    <row r="234" spans="1:30" s="23" customFormat="1" ht="18.600000000000001" thickBot="1" x14ac:dyDescent="0.4">
      <c r="A234" s="83"/>
      <c r="B234" s="84" t="str">
        <f>B131</f>
        <v>PM27 INVESTOR REPORT QUARTER ENDING SEPTEMBER 2020</v>
      </c>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7"/>
      <c r="AD234" s="22"/>
    </row>
    <row r="235" spans="1:30" x14ac:dyDescent="0.3">
      <c r="A235" s="119"/>
      <c r="B235" s="120" t="s">
        <v>42</v>
      </c>
      <c r="C235" s="143"/>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v>44104</v>
      </c>
      <c r="AA235" s="121"/>
      <c r="AB235" s="121"/>
      <c r="AC235" s="123"/>
      <c r="AD235" s="5"/>
    </row>
    <row r="236" spans="1:30" x14ac:dyDescent="0.3">
      <c r="A236" s="145"/>
      <c r="B236" s="146"/>
      <c r="C236" s="147"/>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9"/>
      <c r="AB236" s="9"/>
      <c r="AC236" s="10"/>
      <c r="AD236" s="5"/>
    </row>
    <row r="237" spans="1:30" s="23" customFormat="1" x14ac:dyDescent="0.3">
      <c r="A237" s="47"/>
      <c r="B237" s="40" t="s">
        <v>43</v>
      </c>
      <c r="C237" s="149"/>
      <c r="D237" s="73"/>
      <c r="E237" s="73"/>
      <c r="F237" s="73"/>
      <c r="G237" s="73"/>
      <c r="H237" s="73"/>
      <c r="I237" s="73"/>
      <c r="J237" s="73"/>
      <c r="K237" s="73"/>
      <c r="L237" s="73"/>
      <c r="M237" s="73"/>
      <c r="N237" s="73"/>
      <c r="O237" s="73"/>
      <c r="P237" s="73"/>
      <c r="Q237" s="73"/>
      <c r="R237" s="73"/>
      <c r="S237" s="73"/>
      <c r="T237" s="73"/>
      <c r="U237" s="73"/>
      <c r="V237" s="73"/>
      <c r="W237" s="73"/>
      <c r="X237" s="73"/>
      <c r="Y237" s="73"/>
      <c r="Z237" s="67">
        <v>3.5749999999999997E-2</v>
      </c>
      <c r="AA237" s="40"/>
      <c r="AB237" s="40"/>
      <c r="AC237" s="43"/>
      <c r="AD237" s="22"/>
    </row>
    <row r="238" spans="1:30" s="23" customFormat="1" x14ac:dyDescent="0.3">
      <c r="A238" s="47"/>
      <c r="B238" s="40" t="s">
        <v>132</v>
      </c>
      <c r="C238" s="149"/>
      <c r="D238" s="73"/>
      <c r="E238" s="73"/>
      <c r="F238" s="73"/>
      <c r="G238" s="73"/>
      <c r="H238" s="73"/>
      <c r="I238" s="73"/>
      <c r="J238" s="73"/>
      <c r="K238" s="73"/>
      <c r="L238" s="73"/>
      <c r="M238" s="73"/>
      <c r="N238" s="73"/>
      <c r="O238" s="73"/>
      <c r="P238" s="73"/>
      <c r="Q238" s="73"/>
      <c r="R238" s="73"/>
      <c r="S238" s="73"/>
      <c r="T238" s="73"/>
      <c r="U238" s="73"/>
      <c r="V238" s="73"/>
      <c r="W238" s="73"/>
      <c r="X238" s="73"/>
      <c r="Y238" s="73"/>
      <c r="Z238" s="67">
        <v>1.3036129402559968E-2</v>
      </c>
      <c r="AA238" s="40"/>
      <c r="AB238" s="40"/>
      <c r="AC238" s="43"/>
      <c r="AD238" s="22"/>
    </row>
    <row r="239" spans="1:30" s="23" customFormat="1" x14ac:dyDescent="0.3">
      <c r="A239" s="47"/>
      <c r="B239" s="40" t="s">
        <v>44</v>
      </c>
      <c r="C239" s="149"/>
      <c r="D239" s="73"/>
      <c r="E239" s="73"/>
      <c r="F239" s="73"/>
      <c r="G239" s="73"/>
      <c r="H239" s="73"/>
      <c r="I239" s="73"/>
      <c r="J239" s="73"/>
      <c r="K239" s="73"/>
      <c r="L239" s="73"/>
      <c r="M239" s="73"/>
      <c r="N239" s="73"/>
      <c r="O239" s="73"/>
      <c r="P239" s="73"/>
      <c r="Q239" s="73"/>
      <c r="R239" s="73"/>
      <c r="S239" s="73"/>
      <c r="T239" s="73"/>
      <c r="U239" s="73"/>
      <c r="V239" s="73"/>
      <c r="W239" s="73"/>
      <c r="X239" s="73"/>
      <c r="Y239" s="73"/>
      <c r="Z239" s="67">
        <f>Z237-Z238</f>
        <v>2.2713870597440029E-2</v>
      </c>
      <c r="AA239" s="40"/>
      <c r="AB239" s="40"/>
      <c r="AC239" s="43"/>
      <c r="AD239" s="22"/>
    </row>
    <row r="240" spans="1:30" s="23" customFormat="1" x14ac:dyDescent="0.3">
      <c r="A240" s="47"/>
      <c r="B240" s="40" t="s">
        <v>45</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3.576E-2</v>
      </c>
      <c r="AA240" s="40"/>
      <c r="AB240" s="40"/>
      <c r="AC240" s="43"/>
      <c r="AD240" s="22"/>
    </row>
    <row r="241" spans="1:30" s="23" customFormat="1" x14ac:dyDescent="0.3">
      <c r="A241" s="47"/>
      <c r="B241" s="40" t="s">
        <v>133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f>+AB35</f>
        <v>1.294875095554091E-2</v>
      </c>
      <c r="AA241" s="40"/>
      <c r="AB241" s="40"/>
      <c r="AC241" s="43"/>
      <c r="AD241" s="22"/>
    </row>
    <row r="242" spans="1:30" s="23" customFormat="1" x14ac:dyDescent="0.3">
      <c r="A242" s="47"/>
      <c r="B242" s="40" t="s">
        <v>46</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2.2811249044459088E-2</v>
      </c>
      <c r="AA242" s="40"/>
      <c r="AB242" s="40"/>
      <c r="AC242" s="43"/>
      <c r="AD242" s="22"/>
    </row>
    <row r="243" spans="1:30" s="23" customFormat="1" x14ac:dyDescent="0.3">
      <c r="A243" s="47"/>
      <c r="B243" s="40" t="s">
        <v>119</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(+AB86+AB88)/R66</f>
        <v>8.3574705512769343E-3</v>
      </c>
      <c r="AA243" s="40"/>
      <c r="AB243" s="40"/>
      <c r="AC243" s="43"/>
      <c r="AD243" s="22"/>
    </row>
    <row r="244" spans="1:30" s="23" customFormat="1" x14ac:dyDescent="0.3">
      <c r="A244" s="47"/>
      <c r="B244" s="40" t="s">
        <v>112</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150">
        <v>53797</v>
      </c>
      <c r="AA244" s="40"/>
      <c r="AB244" s="40"/>
      <c r="AC244" s="43"/>
      <c r="AD244" s="22"/>
    </row>
    <row r="245" spans="1:30" s="23" customFormat="1" x14ac:dyDescent="0.3">
      <c r="A245" s="47"/>
      <c r="B245" s="40" t="s">
        <v>148</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150">
        <v>53797</v>
      </c>
      <c r="AA245" s="40"/>
      <c r="AB245" s="40"/>
      <c r="AC245" s="43"/>
      <c r="AD245" s="22"/>
    </row>
    <row r="246" spans="1:30" s="23" customFormat="1" x14ac:dyDescent="0.3">
      <c r="A246" s="47"/>
      <c r="B246" s="40" t="s">
        <v>149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150">
        <v>53797</v>
      </c>
      <c r="AA246" s="40"/>
      <c r="AB246" s="40"/>
      <c r="AC246" s="43"/>
      <c r="AD246" s="22"/>
    </row>
    <row r="247" spans="1:30" s="23" customFormat="1" x14ac:dyDescent="0.3">
      <c r="A247" s="47"/>
      <c r="B247" s="40" t="s">
        <v>179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53797</v>
      </c>
      <c r="AA247" s="40"/>
      <c r="AB247" s="40"/>
      <c r="AC247" s="43"/>
      <c r="AD247" s="22"/>
    </row>
    <row r="248" spans="1:30" s="23" customFormat="1" x14ac:dyDescent="0.3">
      <c r="A248" s="47"/>
      <c r="B248" s="40" t="s">
        <v>166</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53797</v>
      </c>
      <c r="AA248" s="40"/>
      <c r="AB248" s="40"/>
      <c r="AC248" s="43"/>
      <c r="AD248" s="22"/>
    </row>
    <row r="249" spans="1:30" s="23" customFormat="1" x14ac:dyDescent="0.3">
      <c r="A249" s="47"/>
      <c r="B249" s="40" t="s">
        <v>194</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53797</v>
      </c>
      <c r="AA249" s="40"/>
      <c r="AB249" s="40"/>
      <c r="AC249" s="43"/>
      <c r="AD249" s="22"/>
    </row>
    <row r="250" spans="1:30" s="23" customFormat="1" x14ac:dyDescent="0.3">
      <c r="A250" s="47"/>
      <c r="B250" s="40" t="s">
        <v>195</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53797</v>
      </c>
      <c r="AA250" s="40"/>
      <c r="AB250" s="40"/>
      <c r="AC250" s="43"/>
      <c r="AD250" s="22"/>
    </row>
    <row r="251" spans="1:30" s="23" customFormat="1" x14ac:dyDescent="0.3">
      <c r="A251" s="47"/>
      <c r="B251" s="40" t="s">
        <v>47</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71">
        <v>21.18</v>
      </c>
      <c r="AA251" s="40" t="s">
        <v>76</v>
      </c>
      <c r="AB251" s="40"/>
      <c r="AC251" s="43"/>
      <c r="AD251" s="22"/>
    </row>
    <row r="252" spans="1:30" s="23" customFormat="1" x14ac:dyDescent="0.3">
      <c r="A252" s="47"/>
      <c r="B252" s="40" t="s">
        <v>48</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71">
        <v>20.78</v>
      </c>
      <c r="AA252" s="40" t="s">
        <v>76</v>
      </c>
      <c r="AB252" s="40"/>
      <c r="AC252" s="43"/>
      <c r="AD252" s="22"/>
    </row>
    <row r="253" spans="1:30" s="23" customFormat="1" x14ac:dyDescent="0.3">
      <c r="A253" s="47"/>
      <c r="B253" s="40" t="s">
        <v>49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67">
        <f>(+T57+V57+Z57)/(R57+R63+R64)</f>
        <v>4.6970433389840107E-3</v>
      </c>
      <c r="AA253" s="40"/>
      <c r="AB253" s="40"/>
      <c r="AC253" s="43"/>
      <c r="AD253" s="22"/>
    </row>
    <row r="254" spans="1:30" s="23" customFormat="1" x14ac:dyDescent="0.3">
      <c r="A254" s="47"/>
      <c r="B254" s="40" t="s">
        <v>50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67">
        <v>1.3899999999999999E-2</v>
      </c>
      <c r="AA254" s="40"/>
      <c r="AB254" s="40"/>
      <c r="AC254" s="43"/>
      <c r="AD254" s="22"/>
    </row>
    <row r="255" spans="1:30" x14ac:dyDescent="0.3">
      <c r="A255" s="145"/>
      <c r="B255" s="151"/>
      <c r="C255" s="151"/>
      <c r="D255" s="99"/>
      <c r="E255" s="99"/>
      <c r="F255" s="99"/>
      <c r="G255" s="99"/>
      <c r="H255" s="99"/>
      <c r="I255" s="99"/>
      <c r="J255" s="99"/>
      <c r="K255" s="99"/>
      <c r="L255" s="99"/>
      <c r="M255" s="99"/>
      <c r="N255" s="99"/>
      <c r="O255" s="99"/>
      <c r="P255" s="99"/>
      <c r="Q255" s="99"/>
      <c r="R255" s="99"/>
      <c r="S255" s="99"/>
      <c r="T255" s="99"/>
      <c r="U255" s="99"/>
      <c r="V255" s="99"/>
      <c r="W255" s="99"/>
      <c r="X255" s="99"/>
      <c r="Y255" s="99"/>
      <c r="Z255" s="126"/>
      <c r="AA255" s="99"/>
      <c r="AB255" s="152"/>
      <c r="AC255" s="10"/>
      <c r="AD255" s="5"/>
    </row>
    <row r="256" spans="1:30" x14ac:dyDescent="0.3">
      <c r="A256" s="153"/>
      <c r="B256" s="102" t="s">
        <v>51</v>
      </c>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t="s">
        <v>69</v>
      </c>
      <c r="Z256" s="154" t="s">
        <v>74</v>
      </c>
      <c r="AA256" s="34"/>
      <c r="AB256" s="34"/>
      <c r="AC256" s="36"/>
      <c r="AD256" s="5"/>
    </row>
    <row r="257" spans="1:30" s="23" customFormat="1" x14ac:dyDescent="0.3">
      <c r="A257" s="155"/>
      <c r="B257" s="37" t="s">
        <v>52</v>
      </c>
      <c r="C257" s="10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v>0</v>
      </c>
      <c r="Z257" s="157">
        <v>0</v>
      </c>
      <c r="AA257" s="37"/>
      <c r="AB257" s="158"/>
      <c r="AC257" s="159"/>
      <c r="AD257" s="22"/>
    </row>
    <row r="258" spans="1:30" s="23" customFormat="1" x14ac:dyDescent="0.3">
      <c r="A258" s="160"/>
      <c r="B258" s="40" t="s">
        <v>97</v>
      </c>
      <c r="C258" s="97"/>
      <c r="D258" s="48"/>
      <c r="E258" s="48"/>
      <c r="F258" s="48"/>
      <c r="G258" s="48"/>
      <c r="H258" s="48"/>
      <c r="I258" s="48"/>
      <c r="J258" s="48"/>
      <c r="K258" s="48"/>
      <c r="L258" s="48"/>
      <c r="M258" s="48"/>
      <c r="N258" s="48"/>
      <c r="O258" s="48"/>
      <c r="P258" s="48"/>
      <c r="Q258" s="48"/>
      <c r="R258" s="48"/>
      <c r="S258" s="48"/>
      <c r="T258" s="48"/>
      <c r="U258" s="48"/>
      <c r="V258" s="48"/>
      <c r="W258" s="48"/>
      <c r="X258" s="48"/>
      <c r="Y258" s="161">
        <f>+X310</f>
        <v>0</v>
      </c>
      <c r="Z258" s="162">
        <f>+Z310</f>
        <v>0</v>
      </c>
      <c r="AA258" s="40"/>
      <c r="AB258" s="163"/>
      <c r="AC258" s="164"/>
      <c r="AD258" s="22"/>
    </row>
    <row r="259" spans="1:30" s="23" customFormat="1" x14ac:dyDescent="0.3">
      <c r="A259" s="160"/>
      <c r="B259" s="40" t="s">
        <v>53</v>
      </c>
      <c r="C259" s="97"/>
      <c r="D259" s="48"/>
      <c r="E259" s="48"/>
      <c r="F259" s="48"/>
      <c r="G259" s="48"/>
      <c r="H259" s="48"/>
      <c r="I259" s="48"/>
      <c r="J259" s="48"/>
      <c r="K259" s="48"/>
      <c r="L259" s="48"/>
      <c r="M259" s="48"/>
      <c r="N259" s="48"/>
      <c r="O259" s="48"/>
      <c r="P259" s="48"/>
      <c r="Q259" s="48"/>
      <c r="R259" s="48"/>
      <c r="S259" s="48"/>
      <c r="T259" s="48"/>
      <c r="U259" s="48"/>
      <c r="V259" s="48"/>
      <c r="W259" s="48"/>
      <c r="X259" s="48"/>
      <c r="Y259" s="161">
        <f>+X332</f>
        <v>0</v>
      </c>
      <c r="Z259" s="162">
        <f>+Z332</f>
        <v>0</v>
      </c>
      <c r="AA259" s="40"/>
      <c r="AB259" s="163"/>
      <c r="AC259" s="164"/>
      <c r="AD259" s="22"/>
    </row>
    <row r="260" spans="1:30" x14ac:dyDescent="0.3">
      <c r="A260" s="165"/>
      <c r="B260" s="166" t="s">
        <v>167</v>
      </c>
      <c r="C260" s="167"/>
      <c r="D260" s="59"/>
      <c r="E260" s="59"/>
      <c r="F260" s="59"/>
      <c r="G260" s="59"/>
      <c r="H260" s="59"/>
      <c r="I260" s="59"/>
      <c r="J260" s="59"/>
      <c r="K260" s="59"/>
      <c r="L260" s="59"/>
      <c r="M260" s="59"/>
      <c r="N260" s="59"/>
      <c r="O260" s="59"/>
      <c r="P260" s="59"/>
      <c r="Q260" s="59"/>
      <c r="R260" s="59"/>
      <c r="S260" s="59"/>
      <c r="T260" s="59"/>
      <c r="U260" s="59"/>
      <c r="V260" s="59"/>
      <c r="W260" s="59"/>
      <c r="X260" s="59"/>
      <c r="Y260" s="112"/>
      <c r="Z260" s="162">
        <f>Z57</f>
        <v>0</v>
      </c>
      <c r="AA260" s="59"/>
      <c r="AB260" s="168"/>
      <c r="AC260" s="169"/>
      <c r="AD260" s="5"/>
    </row>
    <row r="261" spans="1:30" x14ac:dyDescent="0.3">
      <c r="A261" s="165"/>
      <c r="B261" s="166" t="s">
        <v>261</v>
      </c>
      <c r="C261" s="167"/>
      <c r="D261" s="59"/>
      <c r="E261" s="59"/>
      <c r="F261" s="59"/>
      <c r="G261" s="59"/>
      <c r="H261" s="59"/>
      <c r="I261" s="59"/>
      <c r="J261" s="59"/>
      <c r="K261" s="59"/>
      <c r="L261" s="59"/>
      <c r="M261" s="59"/>
      <c r="N261" s="59"/>
      <c r="O261" s="59"/>
      <c r="P261" s="59"/>
      <c r="Q261" s="59"/>
      <c r="R261" s="59"/>
      <c r="S261" s="59"/>
      <c r="T261" s="59"/>
      <c r="U261" s="59"/>
      <c r="V261" s="59"/>
      <c r="W261" s="59"/>
      <c r="X261" s="59"/>
      <c r="Y261" s="112"/>
      <c r="Z261" s="162">
        <f>-T63</f>
        <v>0</v>
      </c>
      <c r="AA261" s="59"/>
      <c r="AB261" s="168"/>
      <c r="AC261" s="169"/>
      <c r="AD261" s="5"/>
    </row>
    <row r="262" spans="1:30" x14ac:dyDescent="0.3">
      <c r="A262" s="170"/>
      <c r="B262" s="166" t="s">
        <v>54</v>
      </c>
      <c r="C262" s="171"/>
      <c r="D262" s="59"/>
      <c r="E262" s="59"/>
      <c r="F262" s="59"/>
      <c r="G262" s="59"/>
      <c r="H262" s="59"/>
      <c r="I262" s="59"/>
      <c r="J262" s="59"/>
      <c r="K262" s="59"/>
      <c r="L262" s="59"/>
      <c r="M262" s="59"/>
      <c r="N262" s="59"/>
      <c r="O262" s="59"/>
      <c r="P262" s="59"/>
      <c r="Q262" s="59"/>
      <c r="R262" s="59"/>
      <c r="S262" s="59"/>
      <c r="T262" s="59"/>
      <c r="U262" s="59"/>
      <c r="V262" s="59"/>
      <c r="W262" s="59"/>
      <c r="X262" s="59"/>
      <c r="Y262" s="112"/>
      <c r="Z262" s="172"/>
      <c r="AA262" s="59"/>
      <c r="AB262" s="168"/>
      <c r="AC262" s="173"/>
      <c r="AD262" s="5"/>
    </row>
    <row r="263" spans="1:30" s="23" customFormat="1" x14ac:dyDescent="0.3">
      <c r="A263" s="174"/>
      <c r="B263" s="40" t="s">
        <v>55</v>
      </c>
      <c r="C263" s="40"/>
      <c r="D263" s="40"/>
      <c r="E263" s="40"/>
      <c r="F263" s="40"/>
      <c r="G263" s="40"/>
      <c r="H263" s="40"/>
      <c r="I263" s="40"/>
      <c r="J263" s="40"/>
      <c r="K263" s="40"/>
      <c r="L263" s="40"/>
      <c r="M263" s="40"/>
      <c r="N263" s="40"/>
      <c r="O263" s="40"/>
      <c r="P263" s="40"/>
      <c r="Q263" s="40"/>
      <c r="R263" s="40"/>
      <c r="S263" s="40"/>
      <c r="T263" s="40"/>
      <c r="U263" s="40"/>
      <c r="V263" s="40"/>
      <c r="W263" s="40"/>
      <c r="X263" s="40"/>
      <c r="Y263" s="48"/>
      <c r="Z263" s="162">
        <f>AB166</f>
        <v>0</v>
      </c>
      <c r="AA263" s="40"/>
      <c r="AB263" s="163"/>
      <c r="AC263" s="175"/>
      <c r="AD263" s="22"/>
    </row>
    <row r="264" spans="1:30" s="23" customFormat="1" x14ac:dyDescent="0.3">
      <c r="A264" s="160"/>
      <c r="B264" s="40" t="s">
        <v>56</v>
      </c>
      <c r="C264" s="97"/>
      <c r="D264" s="40"/>
      <c r="E264" s="40"/>
      <c r="F264" s="40"/>
      <c r="G264" s="40"/>
      <c r="H264" s="40"/>
      <c r="I264" s="40"/>
      <c r="J264" s="40"/>
      <c r="K264" s="40"/>
      <c r="L264" s="40"/>
      <c r="M264" s="40"/>
      <c r="N264" s="40"/>
      <c r="O264" s="40"/>
      <c r="P264" s="40"/>
      <c r="Q264" s="40"/>
      <c r="R264" s="40"/>
      <c r="S264" s="40"/>
      <c r="T264" s="40"/>
      <c r="U264" s="40"/>
      <c r="V264" s="40"/>
      <c r="W264" s="40"/>
      <c r="X264" s="40"/>
      <c r="Y264" s="48"/>
      <c r="Z264" s="162">
        <f>Z263+'June 20'!Z264</f>
        <v>0</v>
      </c>
      <c r="AA264" s="40"/>
      <c r="AB264" s="163"/>
      <c r="AC264" s="175"/>
      <c r="AD264" s="22"/>
    </row>
    <row r="265" spans="1:30" x14ac:dyDescent="0.3">
      <c r="A265" s="170"/>
      <c r="B265" s="166" t="s">
        <v>125</v>
      </c>
      <c r="C265" s="171"/>
      <c r="D265" s="59"/>
      <c r="E265" s="59"/>
      <c r="F265" s="59"/>
      <c r="G265" s="59"/>
      <c r="H265" s="59"/>
      <c r="I265" s="59"/>
      <c r="J265" s="59"/>
      <c r="K265" s="59"/>
      <c r="L265" s="59"/>
      <c r="M265" s="59"/>
      <c r="N265" s="59"/>
      <c r="O265" s="59"/>
      <c r="P265" s="59"/>
      <c r="Q265" s="59"/>
      <c r="R265" s="59"/>
      <c r="S265" s="59"/>
      <c r="T265" s="59"/>
      <c r="U265" s="59"/>
      <c r="V265" s="59"/>
      <c r="W265" s="59"/>
      <c r="X265" s="59"/>
      <c r="Y265" s="176"/>
      <c r="Z265" s="172"/>
      <c r="AA265" s="59"/>
      <c r="AB265" s="168"/>
      <c r="AC265" s="173"/>
      <c r="AD265" s="5"/>
    </row>
    <row r="266" spans="1:30" s="23" customFormat="1" x14ac:dyDescent="0.3">
      <c r="A266" s="174"/>
      <c r="B266" s="40" t="s">
        <v>134</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v>0</v>
      </c>
      <c r="Z266" s="162">
        <v>0</v>
      </c>
      <c r="AA266" s="40"/>
      <c r="AB266" s="163"/>
      <c r="AC266" s="175"/>
      <c r="AD266" s="22"/>
    </row>
    <row r="267" spans="1:30" s="23" customFormat="1" x14ac:dyDescent="0.3">
      <c r="A267" s="160"/>
      <c r="B267" s="40" t="s">
        <v>57</v>
      </c>
      <c r="C267" s="70"/>
      <c r="D267" s="40"/>
      <c r="E267" s="40"/>
      <c r="F267" s="40"/>
      <c r="G267" s="40"/>
      <c r="H267" s="40"/>
      <c r="I267" s="40"/>
      <c r="J267" s="40"/>
      <c r="K267" s="40"/>
      <c r="L267" s="40"/>
      <c r="M267" s="40"/>
      <c r="N267" s="40"/>
      <c r="O267" s="40"/>
      <c r="P267" s="40"/>
      <c r="Q267" s="40"/>
      <c r="R267" s="40"/>
      <c r="S267" s="40"/>
      <c r="T267" s="40"/>
      <c r="U267" s="40"/>
      <c r="V267" s="40"/>
      <c r="W267" s="40"/>
      <c r="X267" s="40"/>
      <c r="Y267" s="40"/>
      <c r="Z267" s="177">
        <v>0</v>
      </c>
      <c r="AA267" s="40"/>
      <c r="AB267" s="163"/>
      <c r="AC267" s="175"/>
      <c r="AD267" s="22"/>
    </row>
    <row r="268" spans="1:30" s="23" customFormat="1" x14ac:dyDescent="0.3">
      <c r="A268" s="160"/>
      <c r="B268" s="40" t="s">
        <v>58</v>
      </c>
      <c r="C268" s="70"/>
      <c r="D268" s="40"/>
      <c r="E268" s="40"/>
      <c r="F268" s="40"/>
      <c r="G268" s="40"/>
      <c r="H268" s="40"/>
      <c r="I268" s="40"/>
      <c r="J268" s="40"/>
      <c r="K268" s="40"/>
      <c r="L268" s="40"/>
      <c r="M268" s="40"/>
      <c r="N268" s="40"/>
      <c r="O268" s="40"/>
      <c r="P268" s="40"/>
      <c r="Q268" s="40"/>
      <c r="R268" s="40"/>
      <c r="S268" s="40"/>
      <c r="T268" s="40"/>
      <c r="U268" s="40"/>
      <c r="V268" s="40"/>
      <c r="W268" s="40"/>
      <c r="X268" s="40"/>
      <c r="Y268" s="40"/>
      <c r="Z268" s="177">
        <v>0</v>
      </c>
      <c r="AA268" s="40"/>
      <c r="AB268" s="163"/>
      <c r="AC268" s="175"/>
      <c r="AD268" s="22"/>
    </row>
    <row r="269" spans="1:30" x14ac:dyDescent="0.3">
      <c r="A269" s="165"/>
      <c r="B269" s="166" t="s">
        <v>116</v>
      </c>
      <c r="C269" s="178"/>
      <c r="D269" s="59"/>
      <c r="E269" s="59"/>
      <c r="F269" s="59"/>
      <c r="G269" s="59"/>
      <c r="H269" s="59"/>
      <c r="I269" s="59"/>
      <c r="J269" s="59"/>
      <c r="K269" s="59"/>
      <c r="L269" s="59"/>
      <c r="M269" s="59"/>
      <c r="N269" s="59"/>
      <c r="O269" s="59"/>
      <c r="P269" s="59"/>
      <c r="Q269" s="59"/>
      <c r="R269" s="59"/>
      <c r="S269" s="59"/>
      <c r="T269" s="59"/>
      <c r="U269" s="59"/>
      <c r="V269" s="59"/>
      <c r="W269" s="59"/>
      <c r="X269" s="59"/>
      <c r="Y269" s="112"/>
      <c r="Z269" s="179"/>
      <c r="AA269" s="59"/>
      <c r="AB269" s="168"/>
      <c r="AC269" s="173"/>
      <c r="AD269" s="5"/>
    </row>
    <row r="270" spans="1:30" s="23" customFormat="1" x14ac:dyDescent="0.3">
      <c r="A270" s="160"/>
      <c r="B270" s="40" t="s">
        <v>134</v>
      </c>
      <c r="C270" s="7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0" s="23" customFormat="1" x14ac:dyDescent="0.3">
      <c r="A271" s="160"/>
      <c r="B271" s="40" t="s">
        <v>117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71"/>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x14ac:dyDescent="0.3">
      <c r="A273" s="165"/>
      <c r="B273" s="171"/>
      <c r="C273" s="178"/>
      <c r="D273" s="59"/>
      <c r="E273" s="59"/>
      <c r="F273" s="59"/>
      <c r="G273" s="59"/>
      <c r="H273" s="59"/>
      <c r="I273" s="59"/>
      <c r="J273" s="59"/>
      <c r="K273" s="59"/>
      <c r="L273" s="59"/>
      <c r="M273" s="59"/>
      <c r="N273" s="59"/>
      <c r="O273" s="59"/>
      <c r="P273" s="59"/>
      <c r="Q273" s="59"/>
      <c r="R273" s="59"/>
      <c r="S273" s="59"/>
      <c r="T273" s="59"/>
      <c r="U273" s="59"/>
      <c r="V273" s="59"/>
      <c r="W273" s="59"/>
      <c r="X273" s="59"/>
      <c r="Y273" s="59"/>
      <c r="Z273" s="180"/>
      <c r="AA273" s="59"/>
      <c r="AB273" s="168"/>
      <c r="AC273" s="173"/>
      <c r="AD273" s="5"/>
    </row>
    <row r="274" spans="1:30" ht="18" x14ac:dyDescent="0.35">
      <c r="A274" s="165"/>
      <c r="B274" s="181" t="s">
        <v>109</v>
      </c>
      <c r="C274" s="178"/>
      <c r="D274" s="59"/>
      <c r="E274" s="59"/>
      <c r="F274" s="59"/>
      <c r="G274" s="59"/>
      <c r="H274" s="59"/>
      <c r="I274" s="59"/>
      <c r="J274" s="59"/>
      <c r="K274" s="59"/>
      <c r="L274" s="182"/>
      <c r="M274" s="182"/>
      <c r="N274" s="182"/>
      <c r="O274" s="182"/>
      <c r="P274" s="261" t="s">
        <v>168</v>
      </c>
      <c r="Q274" s="182"/>
      <c r="R274" s="182"/>
      <c r="S274" s="182"/>
      <c r="T274" s="182"/>
      <c r="U274" s="182"/>
      <c r="V274" s="182"/>
      <c r="W274" s="59"/>
      <c r="X274" s="183"/>
      <c r="Y274" s="182"/>
      <c r="Z274" s="180"/>
      <c r="AA274" s="59"/>
      <c r="AB274" s="168"/>
      <c r="AC274" s="173"/>
      <c r="AD274" s="5"/>
    </row>
    <row r="275" spans="1:30" ht="18" x14ac:dyDescent="0.35">
      <c r="A275" s="184"/>
      <c r="B275" s="185"/>
      <c r="C275" s="186"/>
      <c r="D275" s="99"/>
      <c r="E275" s="99"/>
      <c r="F275" s="99"/>
      <c r="G275" s="99"/>
      <c r="H275" s="99"/>
      <c r="I275" s="99"/>
      <c r="J275" s="99"/>
      <c r="K275" s="99"/>
      <c r="L275" s="187"/>
      <c r="M275" s="187"/>
      <c r="N275" s="187"/>
      <c r="O275" s="187"/>
      <c r="P275" s="187"/>
      <c r="Q275" s="187"/>
      <c r="R275" s="187"/>
      <c r="S275" s="187"/>
      <c r="T275" s="187"/>
      <c r="U275" s="187"/>
      <c r="V275" s="187"/>
      <c r="W275" s="99"/>
      <c r="X275" s="99"/>
      <c r="Y275" s="99"/>
      <c r="Z275" s="188"/>
      <c r="AA275" s="99"/>
      <c r="AB275" s="152"/>
      <c r="AC275" s="189"/>
      <c r="AD275" s="5"/>
    </row>
    <row r="276" spans="1:30" x14ac:dyDescent="0.3">
      <c r="A276" s="33"/>
      <c r="B276" s="102" t="s">
        <v>126</v>
      </c>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54" t="s">
        <v>69</v>
      </c>
      <c r="Y276" s="103" t="s">
        <v>70</v>
      </c>
      <c r="Z276" s="154" t="s">
        <v>75</v>
      </c>
      <c r="AA276" s="103" t="s">
        <v>70</v>
      </c>
      <c r="AB276" s="34"/>
      <c r="AC276" s="190"/>
      <c r="AD276" s="5"/>
    </row>
    <row r="277" spans="1:30" s="23" customFormat="1" x14ac:dyDescent="0.3">
      <c r="A277" s="18"/>
      <c r="B277" s="106" t="s">
        <v>59</v>
      </c>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06">
        <f t="shared" ref="X277:X284" si="0">+X289+X301+X323</f>
        <v>4062</v>
      </c>
      <c r="Y277" s="192">
        <f>X277/$X$286</f>
        <v>1</v>
      </c>
      <c r="Z277" s="107">
        <f t="shared" ref="Z277:Z284" si="1">+Z289+Z301+Z323</f>
        <v>755004</v>
      </c>
      <c r="AA277" s="192">
        <f>Z277/$Z$286</f>
        <v>1</v>
      </c>
      <c r="AB277" s="158"/>
      <c r="AC277" s="193"/>
      <c r="AD277" s="22"/>
    </row>
    <row r="278" spans="1:30" s="23" customFormat="1" x14ac:dyDescent="0.3">
      <c r="A278" s="47"/>
      <c r="B278" s="97" t="s">
        <v>60</v>
      </c>
      <c r="C278" s="194"/>
      <c r="D278" s="194"/>
      <c r="E278" s="194"/>
      <c r="F278" s="194"/>
      <c r="G278" s="194"/>
      <c r="H278" s="194"/>
      <c r="I278" s="194"/>
      <c r="J278" s="194"/>
      <c r="K278" s="194"/>
      <c r="L278" s="194"/>
      <c r="M278" s="194"/>
      <c r="N278" s="194"/>
      <c r="O278" s="194"/>
      <c r="P278" s="194"/>
      <c r="Q278" s="194"/>
      <c r="R278" s="194"/>
      <c r="S278" s="194"/>
      <c r="T278" s="194"/>
      <c r="U278" s="194"/>
      <c r="V278" s="194"/>
      <c r="W278" s="194"/>
      <c r="X278" s="195">
        <f t="shared" si="0"/>
        <v>0</v>
      </c>
      <c r="Y278" s="196">
        <f t="shared" ref="Y278:Y284" si="2">X278/$X$286</f>
        <v>0</v>
      </c>
      <c r="Z278" s="197">
        <f t="shared" si="1"/>
        <v>0</v>
      </c>
      <c r="AA278" s="198">
        <f>Z278/$Z$286</f>
        <v>0</v>
      </c>
      <c r="AB278" s="163"/>
      <c r="AC278" s="175"/>
      <c r="AD278" s="22"/>
    </row>
    <row r="279" spans="1:30" s="23" customFormat="1" x14ac:dyDescent="0.3">
      <c r="A279" s="47"/>
      <c r="B279" s="97" t="s">
        <v>61</v>
      </c>
      <c r="C279" s="194"/>
      <c r="D279" s="194"/>
      <c r="E279" s="194"/>
      <c r="F279" s="194"/>
      <c r="G279" s="194"/>
      <c r="H279" s="194"/>
      <c r="I279" s="194"/>
      <c r="J279" s="194"/>
      <c r="K279" s="194"/>
      <c r="L279" s="194"/>
      <c r="M279" s="194"/>
      <c r="N279" s="194"/>
      <c r="O279" s="194"/>
      <c r="P279" s="194"/>
      <c r="Q279" s="194"/>
      <c r="R279" s="194"/>
      <c r="S279" s="194"/>
      <c r="T279" s="194"/>
      <c r="U279" s="194"/>
      <c r="V279" s="194"/>
      <c r="W279" s="194"/>
      <c r="X279" s="199">
        <f t="shared" si="0"/>
        <v>0</v>
      </c>
      <c r="Y279" s="200">
        <f t="shared" si="2"/>
        <v>0</v>
      </c>
      <c r="Z279" s="131">
        <f t="shared" si="1"/>
        <v>0</v>
      </c>
      <c r="AA279" s="198">
        <f t="shared" ref="AA279:AA284" si="3">Z279/$Z$286</f>
        <v>0</v>
      </c>
      <c r="AB279" s="163"/>
      <c r="AC279" s="175"/>
      <c r="AD279" s="22"/>
    </row>
    <row r="280" spans="1:30" s="23" customFormat="1" x14ac:dyDescent="0.3">
      <c r="A280" s="47"/>
      <c r="B280" s="97" t="s">
        <v>100</v>
      </c>
      <c r="C280" s="194"/>
      <c r="D280" s="194"/>
      <c r="E280" s="194"/>
      <c r="F280" s="194"/>
      <c r="G280" s="194"/>
      <c r="H280" s="194"/>
      <c r="I280" s="194"/>
      <c r="J280" s="194"/>
      <c r="K280" s="194"/>
      <c r="L280" s="194"/>
      <c r="M280" s="194"/>
      <c r="N280" s="194"/>
      <c r="O280" s="194"/>
      <c r="P280" s="194"/>
      <c r="Q280" s="194"/>
      <c r="R280" s="194"/>
      <c r="S280" s="194"/>
      <c r="T280" s="194"/>
      <c r="U280" s="194"/>
      <c r="V280" s="194"/>
      <c r="W280" s="194"/>
      <c r="X280" s="199">
        <f t="shared" si="0"/>
        <v>0</v>
      </c>
      <c r="Y280" s="200">
        <f t="shared" si="2"/>
        <v>0</v>
      </c>
      <c r="Z280" s="131">
        <f t="shared" si="1"/>
        <v>0</v>
      </c>
      <c r="AA280" s="198">
        <f t="shared" si="3"/>
        <v>0</v>
      </c>
      <c r="AB280" s="163"/>
      <c r="AC280" s="175"/>
      <c r="AD280" s="22"/>
    </row>
    <row r="281" spans="1:30" s="23" customFormat="1" x14ac:dyDescent="0.3">
      <c r="A281" s="47"/>
      <c r="B281" s="97" t="s">
        <v>101</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9">
        <f t="shared" si="0"/>
        <v>0</v>
      </c>
      <c r="Y281" s="200">
        <f t="shared" si="2"/>
        <v>0</v>
      </c>
      <c r="Z281" s="131">
        <f t="shared" si="1"/>
        <v>0</v>
      </c>
      <c r="AA281" s="198">
        <f t="shared" si="3"/>
        <v>0</v>
      </c>
      <c r="AB281" s="163"/>
      <c r="AC281" s="175"/>
      <c r="AD281" s="22"/>
    </row>
    <row r="282" spans="1:30" s="23" customFormat="1" x14ac:dyDescent="0.3">
      <c r="A282" s="47"/>
      <c r="B282" s="97" t="s">
        <v>102</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0"/>
        <v>0</v>
      </c>
      <c r="Y282" s="200">
        <f t="shared" si="2"/>
        <v>0</v>
      </c>
      <c r="Z282" s="131">
        <f t="shared" si="1"/>
        <v>0</v>
      </c>
      <c r="AA282" s="198">
        <f t="shared" si="3"/>
        <v>0</v>
      </c>
      <c r="AB282" s="163"/>
      <c r="AC282" s="175"/>
      <c r="AD282" s="22"/>
    </row>
    <row r="283" spans="1:30" s="23" customFormat="1" x14ac:dyDescent="0.3">
      <c r="A283" s="47"/>
      <c r="B283" s="97" t="s">
        <v>103</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201">
        <f t="shared" si="0"/>
        <v>0</v>
      </c>
      <c r="Y283" s="202">
        <f t="shared" si="2"/>
        <v>0</v>
      </c>
      <c r="Z283" s="203">
        <f t="shared" si="1"/>
        <v>0</v>
      </c>
      <c r="AA283" s="198">
        <f t="shared" si="3"/>
        <v>0</v>
      </c>
      <c r="AB283" s="163"/>
      <c r="AC283" s="175"/>
      <c r="AD283" s="22"/>
    </row>
    <row r="284" spans="1:30" s="23" customFormat="1" x14ac:dyDescent="0.3">
      <c r="A284" s="47"/>
      <c r="B284" s="97" t="s">
        <v>104</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06">
        <f t="shared" si="0"/>
        <v>0</v>
      </c>
      <c r="Y284" s="198">
        <f t="shared" si="2"/>
        <v>0</v>
      </c>
      <c r="Z284" s="107">
        <f t="shared" si="1"/>
        <v>0</v>
      </c>
      <c r="AA284" s="198">
        <f t="shared" si="3"/>
        <v>0</v>
      </c>
      <c r="AB284" s="163"/>
      <c r="AC284" s="175"/>
      <c r="AD284" s="22"/>
    </row>
    <row r="285" spans="1:30" s="23" customFormat="1" x14ac:dyDescent="0.3">
      <c r="A285" s="47"/>
      <c r="B285" s="97"/>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97"/>
      <c r="Y285" s="198"/>
      <c r="Z285" s="98"/>
      <c r="AA285" s="198"/>
      <c r="AB285" s="163"/>
      <c r="AC285" s="175"/>
      <c r="AD285" s="22"/>
    </row>
    <row r="286" spans="1:30" s="23" customFormat="1" x14ac:dyDescent="0.3">
      <c r="A286" s="47"/>
      <c r="B286" s="40" t="s">
        <v>80</v>
      </c>
      <c r="C286" s="40"/>
      <c r="D286" s="204"/>
      <c r="E286" s="204"/>
      <c r="F286" s="204"/>
      <c r="G286" s="204"/>
      <c r="H286" s="204"/>
      <c r="I286" s="204"/>
      <c r="J286" s="204"/>
      <c r="K286" s="204"/>
      <c r="L286" s="204"/>
      <c r="M286" s="204"/>
      <c r="N286" s="204"/>
      <c r="O286" s="204"/>
      <c r="P286" s="204"/>
      <c r="Q286" s="204"/>
      <c r="R286" s="204"/>
      <c r="S286" s="204"/>
      <c r="T286" s="204"/>
      <c r="U286" s="204"/>
      <c r="V286" s="204"/>
      <c r="W286" s="204"/>
      <c r="X286" s="97">
        <f>SUM(X277:X285)</f>
        <v>4062</v>
      </c>
      <c r="Y286" s="198">
        <f>SUM(Y277:Y285)</f>
        <v>1</v>
      </c>
      <c r="Z286" s="98">
        <f>SUM(Z277:Z285)</f>
        <v>755004</v>
      </c>
      <c r="AA286" s="198">
        <f>SUM(AA277:AA285)</f>
        <v>1</v>
      </c>
      <c r="AB286" s="40"/>
      <c r="AC286" s="43"/>
      <c r="AD286" s="22"/>
    </row>
    <row r="287" spans="1:30" x14ac:dyDescent="0.3">
      <c r="A287" s="7"/>
      <c r="B287" s="151"/>
      <c r="C287" s="186"/>
      <c r="D287" s="99"/>
      <c r="E287" s="99"/>
      <c r="F287" s="99"/>
      <c r="G287" s="99"/>
      <c r="H287" s="99"/>
      <c r="I287" s="99"/>
      <c r="J287" s="99"/>
      <c r="K287" s="99"/>
      <c r="L287" s="99"/>
      <c r="M287" s="99"/>
      <c r="N287" s="99"/>
      <c r="O287" s="99"/>
      <c r="P287" s="99"/>
      <c r="Q287" s="99"/>
      <c r="R287" s="99"/>
      <c r="S287" s="99"/>
      <c r="T287" s="99"/>
      <c r="U287" s="99"/>
      <c r="V287" s="99"/>
      <c r="W287" s="99"/>
      <c r="X287" s="99"/>
      <c r="Y287" s="99"/>
      <c r="Z287" s="188"/>
      <c r="AA287" s="99"/>
      <c r="AB287" s="99"/>
      <c r="AC287" s="10"/>
      <c r="AD287" s="5"/>
    </row>
    <row r="288" spans="1:30" x14ac:dyDescent="0.3">
      <c r="A288" s="33"/>
      <c r="B288" s="102" t="s">
        <v>105</v>
      </c>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54" t="s">
        <v>69</v>
      </c>
      <c r="Y288" s="103" t="s">
        <v>70</v>
      </c>
      <c r="Z288" s="154" t="s">
        <v>75</v>
      </c>
      <c r="AA288" s="103" t="s">
        <v>70</v>
      </c>
      <c r="AB288" s="34"/>
      <c r="AC288" s="190"/>
      <c r="AD288" s="5"/>
    </row>
    <row r="289" spans="1:31" s="23" customFormat="1" x14ac:dyDescent="0.3">
      <c r="A289" s="18"/>
      <c r="B289" s="106" t="s">
        <v>59</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06">
        <v>4062</v>
      </c>
      <c r="Y289" s="192">
        <f>X289/$X$298</f>
        <v>1</v>
      </c>
      <c r="Z289" s="107">
        <v>755004</v>
      </c>
      <c r="AA289" s="192">
        <f>Z289/$Z$298</f>
        <v>1</v>
      </c>
      <c r="AB289" s="158"/>
      <c r="AC289" s="193"/>
      <c r="AD289" s="22"/>
    </row>
    <row r="290" spans="1:31" s="23" customFormat="1" x14ac:dyDescent="0.3">
      <c r="A290" s="47"/>
      <c r="B290" s="97" t="s">
        <v>60</v>
      </c>
      <c r="C290" s="194"/>
      <c r="D290" s="194"/>
      <c r="E290" s="194"/>
      <c r="F290" s="194"/>
      <c r="G290" s="194"/>
      <c r="H290" s="194"/>
      <c r="I290" s="194"/>
      <c r="J290" s="194"/>
      <c r="K290" s="194"/>
      <c r="L290" s="194"/>
      <c r="M290" s="194"/>
      <c r="N290" s="194"/>
      <c r="O290" s="194"/>
      <c r="P290" s="194"/>
      <c r="Q290" s="194"/>
      <c r="R290" s="194"/>
      <c r="S290" s="194"/>
      <c r="T290" s="194"/>
      <c r="U290" s="194"/>
      <c r="V290" s="194"/>
      <c r="W290" s="194"/>
      <c r="X290" s="97">
        <v>0</v>
      </c>
      <c r="Y290" s="198">
        <f t="shared" ref="Y290:Y296" si="4">X290/$X$298</f>
        <v>0</v>
      </c>
      <c r="Z290" s="98">
        <v>0</v>
      </c>
      <c r="AA290" s="198">
        <f t="shared" ref="AA290:AA296" si="5">Z290/$Z$298</f>
        <v>0</v>
      </c>
      <c r="AB290" s="163"/>
      <c r="AC290" s="175"/>
      <c r="AD290" s="22"/>
      <c r="AE290" s="115"/>
    </row>
    <row r="291" spans="1:31" s="23" customFormat="1" x14ac:dyDescent="0.3">
      <c r="A291" s="47"/>
      <c r="B291" s="97" t="s">
        <v>61</v>
      </c>
      <c r="C291" s="194"/>
      <c r="D291" s="194"/>
      <c r="E291" s="194"/>
      <c r="F291" s="194"/>
      <c r="G291" s="194"/>
      <c r="H291" s="194"/>
      <c r="I291" s="194"/>
      <c r="J291" s="194"/>
      <c r="K291" s="194"/>
      <c r="L291" s="194"/>
      <c r="M291" s="194"/>
      <c r="N291" s="194"/>
      <c r="O291" s="194"/>
      <c r="P291" s="194"/>
      <c r="Q291" s="194"/>
      <c r="R291" s="194"/>
      <c r="S291" s="194"/>
      <c r="T291" s="194"/>
      <c r="U291" s="194"/>
      <c r="V291" s="194"/>
      <c r="W291" s="194"/>
      <c r="X291" s="97">
        <v>0</v>
      </c>
      <c r="Y291" s="198">
        <f t="shared" si="4"/>
        <v>0</v>
      </c>
      <c r="Z291" s="98">
        <v>0</v>
      </c>
      <c r="AA291" s="198">
        <f t="shared" si="5"/>
        <v>0</v>
      </c>
      <c r="AB291" s="163"/>
      <c r="AC291" s="175"/>
      <c r="AD291" s="22"/>
    </row>
    <row r="292" spans="1:31" s="23" customFormat="1" x14ac:dyDescent="0.3">
      <c r="A292" s="47"/>
      <c r="B292" s="97" t="s">
        <v>100</v>
      </c>
      <c r="C292" s="194"/>
      <c r="D292" s="194"/>
      <c r="E292" s="194"/>
      <c r="F292" s="194"/>
      <c r="G292" s="194"/>
      <c r="H292" s="194"/>
      <c r="I292" s="194"/>
      <c r="J292" s="194"/>
      <c r="K292" s="194"/>
      <c r="L292" s="194"/>
      <c r="M292" s="194"/>
      <c r="N292" s="194"/>
      <c r="O292" s="194"/>
      <c r="P292" s="194"/>
      <c r="Q292" s="194"/>
      <c r="R292" s="194"/>
      <c r="S292" s="194"/>
      <c r="T292" s="194"/>
      <c r="U292" s="194"/>
      <c r="V292" s="194"/>
      <c r="W292" s="194"/>
      <c r="X292" s="97">
        <v>0</v>
      </c>
      <c r="Y292" s="198">
        <f t="shared" si="4"/>
        <v>0</v>
      </c>
      <c r="Z292" s="98">
        <v>0</v>
      </c>
      <c r="AA292" s="198">
        <f t="shared" si="5"/>
        <v>0</v>
      </c>
      <c r="AB292" s="163"/>
      <c r="AC292" s="175"/>
      <c r="AD292" s="22"/>
      <c r="AE292" s="115"/>
    </row>
    <row r="293" spans="1:31" s="23" customFormat="1" x14ac:dyDescent="0.3">
      <c r="A293" s="47"/>
      <c r="B293" s="97" t="s">
        <v>101</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0</v>
      </c>
      <c r="Y293" s="198">
        <f t="shared" si="4"/>
        <v>0</v>
      </c>
      <c r="Z293" s="98">
        <v>0</v>
      </c>
      <c r="AA293" s="198">
        <f t="shared" si="5"/>
        <v>0</v>
      </c>
      <c r="AB293" s="163"/>
      <c r="AC293" s="175"/>
      <c r="AD293" s="22"/>
    </row>
    <row r="294" spans="1:31" s="23" customFormat="1" x14ac:dyDescent="0.3">
      <c r="A294" s="47"/>
      <c r="B294" s="97" t="s">
        <v>102</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4"/>
        <v>0</v>
      </c>
      <c r="Z294" s="98">
        <v>0</v>
      </c>
      <c r="AA294" s="198">
        <f t="shared" si="5"/>
        <v>0</v>
      </c>
      <c r="AB294" s="163"/>
      <c r="AC294" s="175"/>
      <c r="AD294" s="22"/>
      <c r="AE294" s="115"/>
    </row>
    <row r="295" spans="1:31" s="23" customFormat="1" x14ac:dyDescent="0.3">
      <c r="A295" s="47"/>
      <c r="B295" s="97" t="s">
        <v>103</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0</v>
      </c>
      <c r="Y295" s="198">
        <f>X295/$X$298</f>
        <v>0</v>
      </c>
      <c r="Z295" s="98">
        <v>0</v>
      </c>
      <c r="AA295" s="198">
        <f t="shared" si="5"/>
        <v>0</v>
      </c>
      <c r="AB295" s="163"/>
      <c r="AC295" s="175"/>
      <c r="AD295" s="22"/>
    </row>
    <row r="296" spans="1:31" s="23" customFormat="1" x14ac:dyDescent="0.3">
      <c r="A296" s="47"/>
      <c r="B296" s="97" t="s">
        <v>104</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4"/>
        <v>0</v>
      </c>
      <c r="Z296" s="98">
        <v>0</v>
      </c>
      <c r="AA296" s="198">
        <f t="shared" si="5"/>
        <v>0</v>
      </c>
      <c r="AB296" s="163"/>
      <c r="AC296" s="175"/>
      <c r="AD296" s="22"/>
      <c r="AE296" s="115"/>
    </row>
    <row r="297" spans="1:31" s="23" customFormat="1" x14ac:dyDescent="0.3">
      <c r="A297" s="47"/>
      <c r="B297" s="97"/>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c r="Y297" s="198"/>
      <c r="Z297" s="98"/>
      <c r="AA297" s="198"/>
      <c r="AB297" s="163"/>
      <c r="AC297" s="175"/>
      <c r="AD297" s="22"/>
    </row>
    <row r="298" spans="1:31" s="23" customFormat="1" x14ac:dyDescent="0.3">
      <c r="A298" s="47"/>
      <c r="B298" s="40" t="s">
        <v>80</v>
      </c>
      <c r="C298" s="40"/>
      <c r="D298" s="204"/>
      <c r="E298" s="204"/>
      <c r="F298" s="204"/>
      <c r="G298" s="204"/>
      <c r="H298" s="204"/>
      <c r="I298" s="204"/>
      <c r="J298" s="204"/>
      <c r="K298" s="204"/>
      <c r="L298" s="204"/>
      <c r="M298" s="204"/>
      <c r="N298" s="204"/>
      <c r="O298" s="204"/>
      <c r="P298" s="204"/>
      <c r="Q298" s="204"/>
      <c r="R298" s="204"/>
      <c r="S298" s="204"/>
      <c r="T298" s="204"/>
      <c r="U298" s="204"/>
      <c r="V298" s="204"/>
      <c r="W298" s="204"/>
      <c r="X298" s="97">
        <f>SUM(X289:X297)</f>
        <v>4062</v>
      </c>
      <c r="Y298" s="198">
        <f>SUM(Y289:Y297)</f>
        <v>1</v>
      </c>
      <c r="Z298" s="98">
        <f>SUM(Z289:Z297)</f>
        <v>755004</v>
      </c>
      <c r="AA298" s="198">
        <f>SUM(AA289:AA297)</f>
        <v>1</v>
      </c>
      <c r="AB298" s="40"/>
      <c r="AC298" s="43"/>
      <c r="AD298" s="22"/>
    </row>
    <row r="299" spans="1:31" x14ac:dyDescent="0.3">
      <c r="A299" s="7"/>
      <c r="B299" s="99"/>
      <c r="C299" s="99"/>
      <c r="D299" s="205"/>
      <c r="E299" s="205"/>
      <c r="F299" s="205"/>
      <c r="G299" s="205"/>
      <c r="H299" s="205"/>
      <c r="I299" s="205"/>
      <c r="J299" s="205"/>
      <c r="K299" s="205"/>
      <c r="L299" s="205"/>
      <c r="M299" s="205"/>
      <c r="N299" s="205"/>
      <c r="O299" s="205"/>
      <c r="P299" s="205"/>
      <c r="Q299" s="205"/>
      <c r="R299" s="205"/>
      <c r="S299" s="205"/>
      <c r="T299" s="205"/>
      <c r="U299" s="205"/>
      <c r="V299" s="205"/>
      <c r="W299" s="205"/>
      <c r="X299" s="100"/>
      <c r="Y299" s="206"/>
      <c r="Z299" s="207"/>
      <c r="AA299" s="206"/>
      <c r="AB299" s="99"/>
      <c r="AC299" s="10"/>
      <c r="AD299" s="5"/>
    </row>
    <row r="300" spans="1:31" x14ac:dyDescent="0.3">
      <c r="A300" s="33"/>
      <c r="B300" s="102" t="s">
        <v>121</v>
      </c>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54" t="s">
        <v>69</v>
      </c>
      <c r="Y300" s="103" t="s">
        <v>70</v>
      </c>
      <c r="Z300" s="154" t="s">
        <v>75</v>
      </c>
      <c r="AA300" s="103" t="s">
        <v>70</v>
      </c>
      <c r="AB300" s="34"/>
      <c r="AC300" s="36"/>
      <c r="AD300" s="5"/>
    </row>
    <row r="301" spans="1:31" s="23" customFormat="1" x14ac:dyDescent="0.3">
      <c r="A301" s="18"/>
      <c r="B301" s="106" t="s">
        <v>59</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06">
        <v>0</v>
      </c>
      <c r="Y301" s="192">
        <v>0</v>
      </c>
      <c r="Z301" s="107">
        <v>0</v>
      </c>
      <c r="AA301" s="192">
        <v>0</v>
      </c>
      <c r="AB301" s="37"/>
      <c r="AC301" s="21"/>
      <c r="AD301" s="22"/>
    </row>
    <row r="302" spans="1:31" s="23" customFormat="1" x14ac:dyDescent="0.3">
      <c r="A302" s="47"/>
      <c r="B302" s="97" t="s">
        <v>60</v>
      </c>
      <c r="C302" s="194"/>
      <c r="D302" s="194"/>
      <c r="E302" s="194"/>
      <c r="F302" s="194"/>
      <c r="G302" s="194"/>
      <c r="H302" s="194"/>
      <c r="I302" s="194"/>
      <c r="J302" s="194"/>
      <c r="K302" s="194"/>
      <c r="L302" s="194"/>
      <c r="M302" s="194"/>
      <c r="N302" s="194"/>
      <c r="O302" s="194"/>
      <c r="P302" s="194"/>
      <c r="Q302" s="194"/>
      <c r="R302" s="194"/>
      <c r="S302" s="194"/>
      <c r="T302" s="194"/>
      <c r="U302" s="194"/>
      <c r="V302" s="194"/>
      <c r="W302" s="194"/>
      <c r="X302" s="97">
        <v>0</v>
      </c>
      <c r="Y302" s="198">
        <v>0</v>
      </c>
      <c r="Z302" s="98">
        <v>0</v>
      </c>
      <c r="AA302" s="198">
        <v>0</v>
      </c>
      <c r="AB302" s="40"/>
      <c r="AC302" s="43"/>
      <c r="AD302" s="22"/>
    </row>
    <row r="303" spans="1:31" s="23" customFormat="1" x14ac:dyDescent="0.3">
      <c r="A303" s="47"/>
      <c r="B303" s="97" t="s">
        <v>61</v>
      </c>
      <c r="C303" s="194"/>
      <c r="D303" s="194"/>
      <c r="E303" s="194"/>
      <c r="F303" s="194"/>
      <c r="G303" s="194"/>
      <c r="H303" s="194"/>
      <c r="I303" s="194"/>
      <c r="J303" s="194"/>
      <c r="K303" s="194"/>
      <c r="L303" s="194"/>
      <c r="M303" s="194"/>
      <c r="N303" s="194"/>
      <c r="O303" s="194"/>
      <c r="P303" s="194"/>
      <c r="Q303" s="194"/>
      <c r="R303" s="194"/>
      <c r="S303" s="194"/>
      <c r="T303" s="194"/>
      <c r="U303" s="194"/>
      <c r="V303" s="194"/>
      <c r="W303" s="194"/>
      <c r="X303" s="97">
        <v>0</v>
      </c>
      <c r="Y303" s="198">
        <v>0</v>
      </c>
      <c r="Z303" s="98">
        <v>0</v>
      </c>
      <c r="AA303" s="198">
        <v>0</v>
      </c>
      <c r="AB303" s="40"/>
      <c r="AC303" s="43"/>
      <c r="AD303" s="22"/>
    </row>
    <row r="304" spans="1:31" s="23" customFormat="1" x14ac:dyDescent="0.3">
      <c r="A304" s="47"/>
      <c r="B304" s="97" t="s">
        <v>100</v>
      </c>
      <c r="C304" s="194"/>
      <c r="D304" s="194"/>
      <c r="E304" s="194"/>
      <c r="F304" s="194"/>
      <c r="G304" s="194"/>
      <c r="H304" s="194"/>
      <c r="I304" s="194"/>
      <c r="J304" s="194"/>
      <c r="K304" s="194"/>
      <c r="L304" s="194"/>
      <c r="M304" s="194"/>
      <c r="N304" s="194"/>
      <c r="O304" s="194"/>
      <c r="P304" s="194"/>
      <c r="Q304" s="194"/>
      <c r="R304" s="194"/>
      <c r="S304" s="194"/>
      <c r="T304" s="194"/>
      <c r="U304" s="194"/>
      <c r="V304" s="194"/>
      <c r="W304" s="194"/>
      <c r="X304" s="97">
        <v>0</v>
      </c>
      <c r="Y304" s="198">
        <v>0</v>
      </c>
      <c r="Z304" s="98">
        <v>0</v>
      </c>
      <c r="AA304" s="198">
        <v>0</v>
      </c>
      <c r="AB304" s="40"/>
      <c r="AC304" s="43"/>
      <c r="AD304" s="22"/>
    </row>
    <row r="305" spans="1:30" s="23" customFormat="1" x14ac:dyDescent="0.3">
      <c r="A305" s="47"/>
      <c r="B305" s="97" t="s">
        <v>101</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102</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103</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104</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c r="Y309" s="198"/>
      <c r="Z309" s="98"/>
      <c r="AA309" s="198"/>
      <c r="AB309" s="40"/>
      <c r="AC309" s="43"/>
      <c r="AD309" s="22"/>
    </row>
    <row r="310" spans="1:30" s="23" customFormat="1" x14ac:dyDescent="0.3">
      <c r="A310" s="47"/>
      <c r="B310" s="40" t="s">
        <v>80</v>
      </c>
      <c r="C310" s="40"/>
      <c r="D310" s="204"/>
      <c r="E310" s="204"/>
      <c r="F310" s="204"/>
      <c r="G310" s="204"/>
      <c r="H310" s="204"/>
      <c r="I310" s="204"/>
      <c r="J310" s="204"/>
      <c r="K310" s="204"/>
      <c r="L310" s="204"/>
      <c r="M310" s="204"/>
      <c r="N310" s="204"/>
      <c r="O310" s="204"/>
      <c r="P310" s="204"/>
      <c r="Q310" s="204"/>
      <c r="R310" s="204"/>
      <c r="S310" s="204"/>
      <c r="T310" s="204"/>
      <c r="U310" s="204"/>
      <c r="V310" s="204"/>
      <c r="W310" s="204"/>
      <c r="X310" s="97">
        <f>SUM(X301:X309)</f>
        <v>0</v>
      </c>
      <c r="Y310" s="198">
        <f>SUM(Y301:Y309)</f>
        <v>0</v>
      </c>
      <c r="Z310" s="98">
        <f>SUM(Z301:Z309)</f>
        <v>0</v>
      </c>
      <c r="AA310" s="198">
        <f>SUM(AA301:AA309)</f>
        <v>0</v>
      </c>
      <c r="AB310" s="40"/>
      <c r="AC310" s="43"/>
      <c r="AD310" s="22"/>
    </row>
    <row r="311" spans="1:30" s="23" customFormat="1" x14ac:dyDescent="0.3">
      <c r="A311" s="47"/>
      <c r="B311" s="40"/>
      <c r="C311" s="40"/>
      <c r="D311" s="204"/>
      <c r="E311" s="204"/>
      <c r="F311" s="204"/>
      <c r="G311" s="204"/>
      <c r="H311" s="204"/>
      <c r="I311" s="204"/>
      <c r="J311" s="204"/>
      <c r="K311" s="204"/>
      <c r="L311" s="204"/>
      <c r="M311" s="204"/>
      <c r="N311" s="204"/>
      <c r="O311" s="204"/>
      <c r="P311" s="204"/>
      <c r="Q311" s="204"/>
      <c r="R311" s="204"/>
      <c r="S311" s="204"/>
      <c r="T311" s="204"/>
      <c r="U311" s="204"/>
      <c r="V311" s="204"/>
      <c r="W311" s="204"/>
      <c r="X311" s="97"/>
      <c r="Y311" s="198"/>
      <c r="Z311" s="98"/>
      <c r="AA311" s="198"/>
      <c r="AB311" s="40"/>
      <c r="AC311" s="43"/>
      <c r="AD311" s="22"/>
    </row>
    <row r="312" spans="1:30" s="23" customFormat="1" x14ac:dyDescent="0.3">
      <c r="A312" s="242"/>
      <c r="B312" s="243" t="s">
        <v>299</v>
      </c>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62" t="s">
        <v>69</v>
      </c>
      <c r="Y312" s="263" t="s">
        <v>70</v>
      </c>
      <c r="Z312" s="262" t="s">
        <v>75</v>
      </c>
      <c r="AA312" s="263" t="s">
        <v>70</v>
      </c>
      <c r="AB312" s="243"/>
      <c r="AC312" s="243"/>
      <c r="AD312" s="22"/>
    </row>
    <row r="313" spans="1:30" s="23" customFormat="1" x14ac:dyDescent="0.3">
      <c r="A313" s="272"/>
      <c r="B313" s="273" t="s">
        <v>295</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275">
        <v>0</v>
      </c>
      <c r="Y313" s="276">
        <v>0</v>
      </c>
      <c r="Z313" s="277">
        <v>0</v>
      </c>
      <c r="AA313" s="276">
        <v>0</v>
      </c>
      <c r="AB313" s="40"/>
      <c r="AC313" s="43"/>
      <c r="AD313" s="22"/>
    </row>
    <row r="314" spans="1:30" s="23" customFormat="1" x14ac:dyDescent="0.3">
      <c r="A314" s="272"/>
      <c r="B314" s="273" t="s">
        <v>296</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275">
        <v>0</v>
      </c>
      <c r="Y314" s="276">
        <v>0</v>
      </c>
      <c r="Z314" s="277">
        <v>0</v>
      </c>
      <c r="AA314" s="276">
        <v>0</v>
      </c>
      <c r="AB314" s="40"/>
      <c r="AC314" s="43"/>
      <c r="AD314" s="22"/>
    </row>
    <row r="315" spans="1:30" s="23" customFormat="1" x14ac:dyDescent="0.3">
      <c r="A315" s="272"/>
      <c r="B315" s="273" t="s">
        <v>297</v>
      </c>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275">
        <v>0</v>
      </c>
      <c r="Y315" s="276">
        <v>0</v>
      </c>
      <c r="Z315" s="277">
        <v>0</v>
      </c>
      <c r="AA315" s="276">
        <v>0</v>
      </c>
      <c r="AB315" s="40"/>
      <c r="AC315" s="43"/>
      <c r="AD315" s="22"/>
    </row>
    <row r="316" spans="1:30" s="23" customFormat="1" x14ac:dyDescent="0.3">
      <c r="A316" s="272"/>
      <c r="B316" s="273" t="s">
        <v>298</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5">
        <v>0</v>
      </c>
      <c r="Y316" s="276">
        <v>0</v>
      </c>
      <c r="Z316" s="277">
        <v>0</v>
      </c>
      <c r="AA316" s="276">
        <v>0</v>
      </c>
      <c r="AB316" s="40"/>
      <c r="AC316" s="43"/>
      <c r="AD316" s="22"/>
    </row>
    <row r="317" spans="1:30" s="23" customFormat="1" x14ac:dyDescent="0.3">
      <c r="A317" s="272"/>
      <c r="B317" s="273" t="s">
        <v>368</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5">
        <v>0</v>
      </c>
      <c r="Y317" s="276">
        <v>0</v>
      </c>
      <c r="Z317" s="277">
        <v>0</v>
      </c>
      <c r="AA317" s="276">
        <v>0</v>
      </c>
      <c r="AB317" s="40"/>
      <c r="AC317" s="43"/>
      <c r="AD317" s="22"/>
    </row>
    <row r="318" spans="1:30" s="23" customFormat="1" x14ac:dyDescent="0.3">
      <c r="A318" s="272"/>
      <c r="B318" s="274" t="s">
        <v>300</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5">
        <v>0</v>
      </c>
      <c r="Y318" s="276">
        <v>0</v>
      </c>
      <c r="Z318" s="277">
        <v>0</v>
      </c>
      <c r="AA318" s="276">
        <v>0</v>
      </c>
      <c r="AB318" s="40"/>
      <c r="AC318" s="43"/>
      <c r="AD318" s="22"/>
    </row>
    <row r="319" spans="1:30" s="23" customFormat="1" x14ac:dyDescent="0.3">
      <c r="A319" s="272"/>
      <c r="B319" s="273"/>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5"/>
      <c r="Y319" s="276"/>
      <c r="Z319" s="277"/>
      <c r="AA319" s="276"/>
      <c r="AB319" s="40"/>
      <c r="AC319" s="43"/>
      <c r="AD319" s="22"/>
    </row>
    <row r="320" spans="1:30" s="23" customFormat="1" x14ac:dyDescent="0.3">
      <c r="A320" s="272"/>
      <c r="B320" s="273" t="s">
        <v>80</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5">
        <f>SUM(X313:X319)</f>
        <v>0</v>
      </c>
      <c r="Y320" s="276">
        <f>SUM(Y313:Y318)</f>
        <v>0</v>
      </c>
      <c r="Z320" s="277">
        <f>SUM(Z313:Z318)</f>
        <v>0</v>
      </c>
      <c r="AA320" s="276">
        <f>SUM(AA313:AA319)</f>
        <v>0</v>
      </c>
      <c r="AB320" s="40"/>
      <c r="AC320" s="43"/>
      <c r="AD320" s="22"/>
    </row>
    <row r="321" spans="1:30" x14ac:dyDescent="0.3">
      <c r="A321" s="7"/>
      <c r="B321" s="99"/>
      <c r="C321" s="99"/>
      <c r="D321" s="205"/>
      <c r="E321" s="205"/>
      <c r="F321" s="205"/>
      <c r="G321" s="205"/>
      <c r="H321" s="205"/>
      <c r="I321" s="205"/>
      <c r="J321" s="205"/>
      <c r="K321" s="205"/>
      <c r="L321" s="205"/>
      <c r="M321" s="205"/>
      <c r="N321" s="205"/>
      <c r="O321" s="205"/>
      <c r="P321" s="205"/>
      <c r="Q321" s="205"/>
      <c r="R321" s="205"/>
      <c r="S321" s="205"/>
      <c r="T321" s="205"/>
      <c r="U321" s="205"/>
      <c r="V321" s="205"/>
      <c r="W321" s="205"/>
      <c r="X321" s="100"/>
      <c r="Y321" s="206"/>
      <c r="Z321" s="207"/>
      <c r="AA321" s="206"/>
      <c r="AB321" s="99"/>
      <c r="AC321" s="10"/>
      <c r="AD321" s="5"/>
    </row>
    <row r="322" spans="1:30" x14ac:dyDescent="0.3">
      <c r="A322" s="33"/>
      <c r="B322" s="102" t="s">
        <v>106</v>
      </c>
      <c r="C322" s="34"/>
      <c r="D322" s="208"/>
      <c r="E322" s="208"/>
      <c r="F322" s="208"/>
      <c r="G322" s="208"/>
      <c r="H322" s="208"/>
      <c r="I322" s="208"/>
      <c r="J322" s="208"/>
      <c r="K322" s="208"/>
      <c r="L322" s="208"/>
      <c r="M322" s="208"/>
      <c r="N322" s="208"/>
      <c r="O322" s="208"/>
      <c r="P322" s="208"/>
      <c r="Q322" s="208"/>
      <c r="R322" s="208"/>
      <c r="S322" s="208"/>
      <c r="T322" s="208"/>
      <c r="U322" s="208"/>
      <c r="V322" s="208"/>
      <c r="W322" s="208"/>
      <c r="X322" s="154" t="s">
        <v>69</v>
      </c>
      <c r="Y322" s="103" t="s">
        <v>70</v>
      </c>
      <c r="Z322" s="154" t="s">
        <v>75</v>
      </c>
      <c r="AA322" s="103" t="s">
        <v>70</v>
      </c>
      <c r="AB322" s="34"/>
      <c r="AC322" s="36"/>
      <c r="AD322" s="5"/>
    </row>
    <row r="323" spans="1:30" s="23" customFormat="1" x14ac:dyDescent="0.3">
      <c r="A323" s="18"/>
      <c r="B323" s="106" t="s">
        <v>59</v>
      </c>
      <c r="C323" s="37"/>
      <c r="D323" s="209"/>
      <c r="E323" s="209"/>
      <c r="F323" s="209"/>
      <c r="G323" s="209"/>
      <c r="H323" s="209"/>
      <c r="I323" s="209"/>
      <c r="J323" s="209"/>
      <c r="K323" s="209"/>
      <c r="L323" s="209"/>
      <c r="M323" s="209"/>
      <c r="N323" s="209"/>
      <c r="O323" s="209"/>
      <c r="P323" s="209"/>
      <c r="Q323" s="209"/>
      <c r="R323" s="209"/>
      <c r="S323" s="209"/>
      <c r="T323" s="209"/>
      <c r="U323" s="209"/>
      <c r="V323" s="209"/>
      <c r="W323" s="209"/>
      <c r="X323" s="106">
        <v>0</v>
      </c>
      <c r="Y323" s="192">
        <v>0</v>
      </c>
      <c r="Z323" s="107">
        <v>0</v>
      </c>
      <c r="AA323" s="192">
        <v>0</v>
      </c>
      <c r="AB323" s="37"/>
      <c r="AC323" s="21"/>
      <c r="AD323" s="22"/>
    </row>
    <row r="324" spans="1:30" s="23" customFormat="1" x14ac:dyDescent="0.3">
      <c r="A324" s="47"/>
      <c r="B324" s="97" t="s">
        <v>60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97">
        <v>0</v>
      </c>
      <c r="Y324" s="198">
        <v>0</v>
      </c>
      <c r="Z324" s="98">
        <v>0</v>
      </c>
      <c r="AA324" s="198">
        <v>0</v>
      </c>
      <c r="AB324" s="40"/>
      <c r="AC324" s="43"/>
      <c r="AD324" s="22"/>
    </row>
    <row r="325" spans="1:30" s="23" customFormat="1" x14ac:dyDescent="0.3">
      <c r="A325" s="47"/>
      <c r="B325" s="97" t="s">
        <v>61</v>
      </c>
      <c r="C325" s="40"/>
      <c r="D325" s="204"/>
      <c r="E325" s="204"/>
      <c r="F325" s="204"/>
      <c r="G325" s="204"/>
      <c r="H325" s="204"/>
      <c r="I325" s="204"/>
      <c r="J325" s="204"/>
      <c r="K325" s="204"/>
      <c r="L325" s="204"/>
      <c r="M325" s="204"/>
      <c r="N325" s="204"/>
      <c r="O325" s="204"/>
      <c r="P325" s="204"/>
      <c r="Q325" s="204"/>
      <c r="R325" s="204"/>
      <c r="S325" s="204"/>
      <c r="T325" s="204"/>
      <c r="U325" s="204"/>
      <c r="V325" s="204"/>
      <c r="W325" s="204"/>
      <c r="X325" s="97">
        <v>0</v>
      </c>
      <c r="Y325" s="198">
        <v>0</v>
      </c>
      <c r="Z325" s="98">
        <v>0</v>
      </c>
      <c r="AA325" s="198">
        <v>0</v>
      </c>
      <c r="AB325" s="40"/>
      <c r="AC325" s="43"/>
      <c r="AD325" s="22"/>
    </row>
    <row r="326" spans="1:30" s="23" customFormat="1" x14ac:dyDescent="0.3">
      <c r="A326" s="47"/>
      <c r="B326" s="97" t="s">
        <v>100</v>
      </c>
      <c r="C326" s="40"/>
      <c r="D326" s="204"/>
      <c r="E326" s="204"/>
      <c r="F326" s="204"/>
      <c r="G326" s="204"/>
      <c r="H326" s="204"/>
      <c r="I326" s="204"/>
      <c r="J326" s="204"/>
      <c r="K326" s="204"/>
      <c r="L326" s="204"/>
      <c r="M326" s="204"/>
      <c r="N326" s="204"/>
      <c r="O326" s="204"/>
      <c r="P326" s="204"/>
      <c r="Q326" s="204"/>
      <c r="R326" s="204"/>
      <c r="S326" s="204"/>
      <c r="T326" s="204"/>
      <c r="U326" s="204"/>
      <c r="V326" s="204"/>
      <c r="W326" s="204"/>
      <c r="X326" s="97">
        <v>0</v>
      </c>
      <c r="Y326" s="198">
        <v>0</v>
      </c>
      <c r="Z326" s="98">
        <v>0</v>
      </c>
      <c r="AA326" s="198">
        <v>0</v>
      </c>
      <c r="AB326" s="40"/>
      <c r="AC326" s="43"/>
      <c r="AD326" s="22"/>
    </row>
    <row r="327" spans="1:30" s="23" customFormat="1" x14ac:dyDescent="0.3">
      <c r="A327" s="47"/>
      <c r="B327" s="97" t="s">
        <v>101</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102</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103</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104</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c r="Y331" s="198"/>
      <c r="Z331" s="98"/>
      <c r="AA331" s="198"/>
      <c r="AB331" s="40"/>
      <c r="AC331" s="43"/>
      <c r="AD331" s="22"/>
    </row>
    <row r="332" spans="1:30" s="23" customFormat="1" x14ac:dyDescent="0.3">
      <c r="A332" s="47"/>
      <c r="B332" s="40" t="s">
        <v>80</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f>SUM(X323:X330)</f>
        <v>0</v>
      </c>
      <c r="Y332" s="198">
        <f>SUM(Y323:Y330)</f>
        <v>0</v>
      </c>
      <c r="Z332" s="98">
        <f>SUM(Z323:Z330)</f>
        <v>0</v>
      </c>
      <c r="AA332" s="198">
        <f>SUM(AA323:AA330)</f>
        <v>0</v>
      </c>
      <c r="AB332" s="40"/>
      <c r="AC332" s="43"/>
      <c r="AD332" s="22"/>
    </row>
    <row r="333" spans="1:30" s="23" customFormat="1" x14ac:dyDescent="0.3">
      <c r="A333" s="47"/>
      <c r="B333" s="40"/>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c r="Y333" s="198"/>
      <c r="Z333" s="98"/>
      <c r="AA333" s="198"/>
      <c r="AB333" s="40"/>
      <c r="AC333" s="43"/>
      <c r="AD333" s="22"/>
    </row>
    <row r="334" spans="1:30" s="23" customFormat="1" x14ac:dyDescent="0.3">
      <c r="A334" s="242" t="s">
        <v>282</v>
      </c>
      <c r="B334" s="243" t="s">
        <v>283</v>
      </c>
      <c r="C334" s="244"/>
      <c r="D334" s="244"/>
      <c r="E334" s="244"/>
      <c r="F334" s="244"/>
      <c r="G334" s="244"/>
      <c r="H334" s="245"/>
      <c r="I334" s="245"/>
      <c r="J334" s="245"/>
      <c r="K334" s="245"/>
      <c r="L334" s="245"/>
      <c r="M334" s="245"/>
      <c r="N334" s="245"/>
      <c r="O334" s="245"/>
      <c r="P334" s="246"/>
      <c r="Q334" s="246"/>
      <c r="R334" s="246"/>
      <c r="S334" s="246"/>
      <c r="T334" s="246"/>
      <c r="U334" s="246"/>
      <c r="V334" s="246"/>
      <c r="W334" s="246"/>
      <c r="X334" s="262" t="s">
        <v>69</v>
      </c>
      <c r="Y334" s="263" t="s">
        <v>70</v>
      </c>
      <c r="Z334" s="262" t="s">
        <v>75</v>
      </c>
      <c r="AA334" s="263" t="s">
        <v>70</v>
      </c>
      <c r="AB334" s="282" t="s">
        <v>335</v>
      </c>
      <c r="AC334" s="284"/>
      <c r="AD334" s="22"/>
    </row>
    <row r="335" spans="1:30" s="23" customFormat="1" x14ac:dyDescent="0.3">
      <c r="A335" s="247"/>
      <c r="B335" s="248" t="s">
        <v>59</v>
      </c>
      <c r="C335" s="249"/>
      <c r="D335" s="249"/>
      <c r="E335" s="249"/>
      <c r="F335" s="249"/>
      <c r="G335" s="249"/>
      <c r="H335" s="250"/>
      <c r="I335" s="250"/>
      <c r="J335" s="250"/>
      <c r="K335" s="250"/>
      <c r="L335" s="250"/>
      <c r="M335" s="250"/>
      <c r="N335" s="250"/>
      <c r="O335" s="250"/>
      <c r="P335" s="251"/>
      <c r="Q335" s="269"/>
      <c r="R335" s="269"/>
      <c r="S335" s="269"/>
      <c r="T335" s="269"/>
      <c r="U335" s="269"/>
      <c r="V335" s="269"/>
      <c r="W335" s="269"/>
      <c r="X335" s="264">
        <v>85</v>
      </c>
      <c r="Y335" s="265">
        <f>+X335/X344</f>
        <v>1</v>
      </c>
      <c r="Z335" s="215">
        <v>19316</v>
      </c>
      <c r="AA335" s="265">
        <f>+Z335/Z344</f>
        <v>1</v>
      </c>
      <c r="AB335" s="281"/>
      <c r="AC335" s="283"/>
      <c r="AD335" s="22"/>
    </row>
    <row r="336" spans="1:30" s="23" customFormat="1" x14ac:dyDescent="0.3">
      <c r="A336" s="252"/>
      <c r="B336" s="253" t="s">
        <v>60</v>
      </c>
      <c r="C336" s="254"/>
      <c r="D336" s="254"/>
      <c r="E336" s="254"/>
      <c r="F336" s="254"/>
      <c r="G336" s="254"/>
      <c r="H336" s="255"/>
      <c r="I336" s="255"/>
      <c r="J336" s="255"/>
      <c r="K336" s="255"/>
      <c r="L336" s="255"/>
      <c r="M336" s="255"/>
      <c r="N336" s="255"/>
      <c r="O336" s="255"/>
      <c r="P336" s="256"/>
      <c r="Q336" s="204"/>
      <c r="R336" s="204"/>
      <c r="S336" s="204"/>
      <c r="T336" s="204"/>
      <c r="U336" s="204"/>
      <c r="V336" s="204"/>
      <c r="W336" s="204"/>
      <c r="X336" s="266">
        <v>0</v>
      </c>
      <c r="Y336" s="267">
        <f>+X336/X344</f>
        <v>0</v>
      </c>
      <c r="Z336" s="98">
        <v>0</v>
      </c>
      <c r="AA336" s="268">
        <f>+Z336/Z344</f>
        <v>0</v>
      </c>
      <c r="AB336" s="40"/>
      <c r="AC336" s="43"/>
      <c r="AD336" s="22"/>
    </row>
    <row r="337" spans="1:30" s="23" customFormat="1" x14ac:dyDescent="0.3">
      <c r="A337" s="252"/>
      <c r="B337" s="253" t="s">
        <v>61</v>
      </c>
      <c r="C337" s="254"/>
      <c r="D337" s="254"/>
      <c r="E337" s="254"/>
      <c r="F337" s="254"/>
      <c r="G337" s="254"/>
      <c r="H337" s="255"/>
      <c r="I337" s="255"/>
      <c r="J337" s="255"/>
      <c r="K337" s="255"/>
      <c r="L337" s="255"/>
      <c r="M337" s="255"/>
      <c r="N337" s="255"/>
      <c r="O337" s="255"/>
      <c r="P337" s="256"/>
      <c r="Q337" s="204"/>
      <c r="R337" s="204"/>
      <c r="S337" s="204"/>
      <c r="T337" s="204"/>
      <c r="U337" s="204"/>
      <c r="V337" s="204"/>
      <c r="W337" s="204"/>
      <c r="X337" s="266">
        <v>0</v>
      </c>
      <c r="Y337" s="267">
        <f>+X337/X344</f>
        <v>0</v>
      </c>
      <c r="Z337" s="98">
        <v>0</v>
      </c>
      <c r="AA337" s="268">
        <f>+Z337/Z344</f>
        <v>0</v>
      </c>
      <c r="AB337" s="40"/>
      <c r="AC337" s="43"/>
      <c r="AD337" s="22"/>
    </row>
    <row r="338" spans="1:30" s="23" customFormat="1" x14ac:dyDescent="0.3">
      <c r="A338" s="252"/>
      <c r="B338" s="253" t="s">
        <v>100</v>
      </c>
      <c r="C338" s="254"/>
      <c r="D338" s="254"/>
      <c r="E338" s="254"/>
      <c r="F338" s="254"/>
      <c r="G338" s="254"/>
      <c r="H338" s="255"/>
      <c r="I338" s="255"/>
      <c r="J338" s="255"/>
      <c r="K338" s="255"/>
      <c r="L338" s="255"/>
      <c r="M338" s="255"/>
      <c r="N338" s="255"/>
      <c r="O338" s="255"/>
      <c r="P338" s="256"/>
      <c r="Q338" s="204"/>
      <c r="R338" s="204"/>
      <c r="S338" s="204"/>
      <c r="T338" s="204"/>
      <c r="U338" s="204"/>
      <c r="V338" s="204"/>
      <c r="W338" s="204"/>
      <c r="X338" s="266">
        <v>0</v>
      </c>
      <c r="Y338" s="267">
        <f>+X338/X344</f>
        <v>0</v>
      </c>
      <c r="Z338" s="98">
        <v>0</v>
      </c>
      <c r="AA338" s="268">
        <f>+Z338/Z344</f>
        <v>0</v>
      </c>
      <c r="AB338" s="40"/>
      <c r="AC338" s="43"/>
      <c r="AD338" s="22"/>
    </row>
    <row r="339" spans="1:30" s="23" customFormat="1" x14ac:dyDescent="0.3">
      <c r="A339" s="252"/>
      <c r="B339" s="253" t="s">
        <v>101</v>
      </c>
      <c r="C339" s="254"/>
      <c r="D339" s="254"/>
      <c r="E339" s="254"/>
      <c r="F339" s="254"/>
      <c r="G339" s="254"/>
      <c r="H339" s="255"/>
      <c r="I339" s="255"/>
      <c r="J339" s="255"/>
      <c r="K339" s="255"/>
      <c r="L339" s="255"/>
      <c r="M339" s="255"/>
      <c r="N339" s="255"/>
      <c r="O339" s="255"/>
      <c r="P339" s="256"/>
      <c r="Q339" s="204"/>
      <c r="R339" s="204"/>
      <c r="S339" s="204"/>
      <c r="T339" s="204"/>
      <c r="U339" s="204"/>
      <c r="V339" s="204"/>
      <c r="W339" s="204"/>
      <c r="X339" s="266">
        <v>0</v>
      </c>
      <c r="Y339" s="267">
        <f>+X339/X344</f>
        <v>0</v>
      </c>
      <c r="Z339" s="98">
        <v>0</v>
      </c>
      <c r="AA339" s="268">
        <f>+Z339/Z344</f>
        <v>0</v>
      </c>
      <c r="AB339" s="40"/>
      <c r="AC339" s="43"/>
      <c r="AD339" s="22"/>
    </row>
    <row r="340" spans="1:30" s="23" customFormat="1" x14ac:dyDescent="0.3">
      <c r="A340" s="252"/>
      <c r="B340" s="253" t="s">
        <v>102</v>
      </c>
      <c r="C340" s="254"/>
      <c r="D340" s="254"/>
      <c r="E340" s="254"/>
      <c r="F340" s="254"/>
      <c r="G340" s="254"/>
      <c r="H340" s="255"/>
      <c r="I340" s="255"/>
      <c r="J340" s="255"/>
      <c r="K340" s="255"/>
      <c r="L340" s="255"/>
      <c r="M340" s="255"/>
      <c r="N340" s="255"/>
      <c r="O340" s="255"/>
      <c r="P340" s="256"/>
      <c r="Q340" s="204"/>
      <c r="R340" s="204"/>
      <c r="S340" s="204"/>
      <c r="T340" s="204"/>
      <c r="U340" s="204"/>
      <c r="V340" s="204"/>
      <c r="W340" s="204"/>
      <c r="X340" s="266">
        <v>0</v>
      </c>
      <c r="Y340" s="267">
        <f>+X340/X344</f>
        <v>0</v>
      </c>
      <c r="Z340" s="98">
        <v>0</v>
      </c>
      <c r="AA340" s="268">
        <f>+Z340/Z344</f>
        <v>0</v>
      </c>
      <c r="AB340" s="40"/>
      <c r="AC340" s="43"/>
      <c r="AD340" s="22"/>
    </row>
    <row r="341" spans="1:30" s="23" customFormat="1" x14ac:dyDescent="0.3">
      <c r="A341" s="252"/>
      <c r="B341" s="253" t="s">
        <v>103</v>
      </c>
      <c r="C341" s="254"/>
      <c r="D341" s="254"/>
      <c r="E341" s="254"/>
      <c r="F341" s="254"/>
      <c r="G341" s="254"/>
      <c r="H341" s="255"/>
      <c r="I341" s="255"/>
      <c r="J341" s="255"/>
      <c r="K341" s="255"/>
      <c r="L341" s="255"/>
      <c r="M341" s="255"/>
      <c r="N341" s="255"/>
      <c r="O341" s="255"/>
      <c r="P341" s="256"/>
      <c r="Q341" s="204"/>
      <c r="R341" s="204"/>
      <c r="S341" s="204"/>
      <c r="T341" s="204"/>
      <c r="U341" s="204"/>
      <c r="V341" s="204"/>
      <c r="W341" s="204"/>
      <c r="X341" s="266">
        <v>0</v>
      </c>
      <c r="Y341" s="267">
        <f>+X341/X344</f>
        <v>0</v>
      </c>
      <c r="Z341" s="98">
        <v>0</v>
      </c>
      <c r="AA341" s="268">
        <f>+Z341/Z344</f>
        <v>0</v>
      </c>
      <c r="AB341" s="40"/>
      <c r="AC341" s="43"/>
      <c r="AD341" s="22"/>
    </row>
    <row r="342" spans="1:30" s="23" customFormat="1" x14ac:dyDescent="0.3">
      <c r="A342" s="252"/>
      <c r="B342" s="253" t="s">
        <v>104</v>
      </c>
      <c r="C342" s="254"/>
      <c r="D342" s="254"/>
      <c r="E342" s="254"/>
      <c r="F342" s="254"/>
      <c r="G342" s="254"/>
      <c r="H342" s="255"/>
      <c r="I342" s="255"/>
      <c r="J342" s="255"/>
      <c r="K342" s="255"/>
      <c r="L342" s="255"/>
      <c r="M342" s="255"/>
      <c r="N342" s="255"/>
      <c r="O342" s="255"/>
      <c r="P342" s="256"/>
      <c r="Q342" s="204"/>
      <c r="R342" s="204"/>
      <c r="S342" s="204"/>
      <c r="T342" s="204"/>
      <c r="U342" s="204"/>
      <c r="V342" s="204"/>
      <c r="W342" s="204"/>
      <c r="X342" s="266">
        <v>0</v>
      </c>
      <c r="Y342" s="265">
        <f>+X342/X344</f>
        <v>0</v>
      </c>
      <c r="Z342" s="98">
        <v>0</v>
      </c>
      <c r="AA342" s="268">
        <f>+Z342/Z344</f>
        <v>0</v>
      </c>
      <c r="AB342" s="40"/>
      <c r="AC342" s="43"/>
      <c r="AD342" s="22"/>
    </row>
    <row r="343" spans="1:30" s="23" customFormat="1" x14ac:dyDescent="0.3">
      <c r="A343" s="252"/>
      <c r="B343" s="253"/>
      <c r="C343" s="254"/>
      <c r="D343" s="254"/>
      <c r="E343" s="254"/>
      <c r="F343" s="254"/>
      <c r="G343" s="254"/>
      <c r="H343" s="255"/>
      <c r="I343" s="255"/>
      <c r="J343" s="255"/>
      <c r="K343" s="255"/>
      <c r="L343" s="255"/>
      <c r="M343" s="255"/>
      <c r="N343" s="255"/>
      <c r="O343" s="255"/>
      <c r="P343" s="256"/>
      <c r="Q343" s="204"/>
      <c r="R343" s="204"/>
      <c r="S343" s="204"/>
      <c r="T343" s="204"/>
      <c r="U343" s="204"/>
      <c r="V343" s="204"/>
      <c r="W343" s="204"/>
      <c r="X343" s="266"/>
      <c r="Y343" s="268"/>
      <c r="Z343" s="98"/>
      <c r="AA343" s="268"/>
      <c r="AB343" s="40"/>
      <c r="AC343" s="43"/>
      <c r="AD343" s="22"/>
    </row>
    <row r="344" spans="1:30" s="23" customFormat="1" x14ac:dyDescent="0.3">
      <c r="A344" s="252"/>
      <c r="B344" s="254" t="s">
        <v>80</v>
      </c>
      <c r="C344" s="254"/>
      <c r="D344" s="254"/>
      <c r="E344" s="254"/>
      <c r="F344" s="254"/>
      <c r="G344" s="254"/>
      <c r="H344" s="255"/>
      <c r="I344" s="255"/>
      <c r="J344" s="255"/>
      <c r="K344" s="255"/>
      <c r="L344" s="255"/>
      <c r="M344" s="255"/>
      <c r="N344" s="255"/>
      <c r="O344" s="255"/>
      <c r="P344" s="256"/>
      <c r="Q344" s="204"/>
      <c r="R344" s="204"/>
      <c r="S344" s="204"/>
      <c r="T344" s="204"/>
      <c r="U344" s="204"/>
      <c r="V344" s="204"/>
      <c r="W344" s="204"/>
      <c r="X344" s="266">
        <f>SUM(X335:X342)</f>
        <v>85</v>
      </c>
      <c r="Y344" s="268">
        <f>SUM(Y335:Y342)</f>
        <v>1</v>
      </c>
      <c r="Z344" s="98">
        <f>SUM(Z335:Z342)</f>
        <v>19316</v>
      </c>
      <c r="AA344" s="268">
        <f>SUM(AA335:AA342)</f>
        <v>1</v>
      </c>
      <c r="AB344" s="40"/>
      <c r="AC344" s="43"/>
      <c r="AD344" s="22"/>
    </row>
    <row r="345" spans="1:30" s="23" customFormat="1" ht="16.2" thickBot="1" x14ac:dyDescent="0.35">
      <c r="A345" s="252"/>
      <c r="B345" s="254" t="s">
        <v>294</v>
      </c>
      <c r="C345" s="254"/>
      <c r="D345" s="254"/>
      <c r="E345" s="254"/>
      <c r="F345" s="254"/>
      <c r="G345" s="254"/>
      <c r="H345" s="255"/>
      <c r="I345" s="255"/>
      <c r="J345" s="255"/>
      <c r="K345" s="255"/>
      <c r="L345" s="255"/>
      <c r="M345" s="255"/>
      <c r="N345" s="255"/>
      <c r="O345" s="255"/>
      <c r="P345" s="256"/>
      <c r="Q345" s="204"/>
      <c r="R345" s="204"/>
      <c r="S345" s="204"/>
      <c r="T345" s="204"/>
      <c r="U345" s="204"/>
      <c r="V345" s="204"/>
      <c r="W345" s="204"/>
      <c r="X345" s="285"/>
      <c r="Y345" s="285">
        <f>+X344/X349</f>
        <v>2.0925652387986212E-2</v>
      </c>
      <c r="Z345" s="286"/>
      <c r="AA345" s="285">
        <f>+Z344/Z349</f>
        <v>2.5583970416050775E-2</v>
      </c>
      <c r="AB345" s="287"/>
      <c r="AC345" s="43"/>
      <c r="AD345" s="22"/>
    </row>
    <row r="346" spans="1:30" s="23" customFormat="1" ht="16.2" thickTop="1" x14ac:dyDescent="0.3">
      <c r="A346" s="252"/>
      <c r="B346" s="254" t="s">
        <v>336</v>
      </c>
      <c r="C346" s="254"/>
      <c r="D346" s="254"/>
      <c r="E346" s="254"/>
      <c r="F346" s="254"/>
      <c r="G346" s="254"/>
      <c r="H346" s="255"/>
      <c r="I346" s="255"/>
      <c r="J346" s="255"/>
      <c r="K346" s="255"/>
      <c r="L346" s="255"/>
      <c r="M346" s="255"/>
      <c r="N346" s="255"/>
      <c r="O346" s="255"/>
      <c r="P346" s="256"/>
      <c r="Q346" s="204"/>
      <c r="R346" s="204"/>
      <c r="S346" s="204"/>
      <c r="T346" s="204"/>
      <c r="U346" s="204"/>
      <c r="V346" s="204"/>
      <c r="W346" s="204"/>
      <c r="X346" s="290">
        <v>9</v>
      </c>
      <c r="Y346" s="291">
        <f>X346/X344</f>
        <v>0.10588235294117647</v>
      </c>
      <c r="Z346" s="292">
        <v>1466</v>
      </c>
      <c r="AA346" s="291">
        <f>Z346/Z344</f>
        <v>7.5895630565334438E-2</v>
      </c>
      <c r="AB346" s="293">
        <v>0.59677419354838712</v>
      </c>
      <c r="AC346" s="43"/>
      <c r="AD346" s="22"/>
    </row>
    <row r="347" spans="1:30" s="23" customFormat="1" ht="16.2" thickBot="1" x14ac:dyDescent="0.35">
      <c r="A347" s="252"/>
      <c r="B347" s="254" t="s">
        <v>337</v>
      </c>
      <c r="C347" s="254"/>
      <c r="D347" s="254"/>
      <c r="E347" s="254"/>
      <c r="F347" s="254"/>
      <c r="G347" s="254"/>
      <c r="H347" s="255"/>
      <c r="I347" s="255"/>
      <c r="J347" s="255"/>
      <c r="K347" s="255"/>
      <c r="L347" s="255"/>
      <c r="M347" s="255"/>
      <c r="N347" s="255"/>
      <c r="O347" s="255"/>
      <c r="P347" s="256"/>
      <c r="Q347" s="204"/>
      <c r="R347" s="204"/>
      <c r="S347" s="204"/>
      <c r="T347" s="204"/>
      <c r="U347" s="204"/>
      <c r="V347" s="204"/>
      <c r="W347" s="204"/>
      <c r="X347" s="294">
        <v>76</v>
      </c>
      <c r="Y347" s="295">
        <f>X347/X344</f>
        <v>0.89411764705882357</v>
      </c>
      <c r="Z347" s="296">
        <v>17850</v>
      </c>
      <c r="AA347" s="295">
        <f>Z347/Z344</f>
        <v>0.92410436943466556</v>
      </c>
      <c r="AB347" s="297">
        <v>0.35314091680814941</v>
      </c>
      <c r="AC347" s="43"/>
      <c r="AD347" s="22"/>
    </row>
    <row r="348" spans="1:30" s="23" customFormat="1" ht="16.2" thickTop="1" x14ac:dyDescent="0.3">
      <c r="A348" s="252"/>
      <c r="B348" s="254"/>
      <c r="C348" s="254"/>
      <c r="D348" s="254"/>
      <c r="E348" s="254"/>
      <c r="F348" s="254"/>
      <c r="G348" s="254"/>
      <c r="H348" s="255"/>
      <c r="I348" s="255"/>
      <c r="J348" s="255"/>
      <c r="K348" s="255"/>
      <c r="L348" s="255"/>
      <c r="M348" s="255"/>
      <c r="N348" s="255"/>
      <c r="O348" s="255"/>
      <c r="P348" s="256"/>
      <c r="Q348" s="204"/>
      <c r="R348" s="204"/>
      <c r="S348" s="204"/>
      <c r="T348" s="204"/>
      <c r="U348" s="204"/>
      <c r="V348" s="204"/>
      <c r="W348" s="204"/>
      <c r="X348" s="288"/>
      <c r="Y348" s="202"/>
      <c r="Z348" s="289"/>
      <c r="AA348" s="202"/>
      <c r="AB348" s="281"/>
      <c r="AC348" s="43"/>
      <c r="AD348" s="22"/>
    </row>
    <row r="349" spans="1:30" s="23" customFormat="1" x14ac:dyDescent="0.3">
      <c r="A349" s="47"/>
      <c r="B349" s="44" t="s">
        <v>139</v>
      </c>
      <c r="C349" s="40"/>
      <c r="D349" s="204"/>
      <c r="E349" s="204"/>
      <c r="F349" s="204"/>
      <c r="G349" s="204"/>
      <c r="H349" s="204"/>
      <c r="I349" s="204"/>
      <c r="J349" s="204"/>
      <c r="K349" s="204"/>
      <c r="L349" s="204"/>
      <c r="M349" s="204"/>
      <c r="N349" s="204"/>
      <c r="O349" s="204"/>
      <c r="P349" s="204"/>
      <c r="Q349" s="204"/>
      <c r="R349" s="204"/>
      <c r="S349" s="204"/>
      <c r="T349" s="204"/>
      <c r="U349" s="204"/>
      <c r="V349" s="204"/>
      <c r="W349" s="204"/>
      <c r="X349" s="210">
        <f>X332+X310+X298</f>
        <v>4062</v>
      </c>
      <c r="Y349" s="198"/>
      <c r="Z349" s="211">
        <f>+Z332+Z310+Z298</f>
        <v>755004</v>
      </c>
      <c r="AA349" s="198"/>
      <c r="AB349" s="40"/>
      <c r="AC349" s="43"/>
      <c r="AD349" s="22"/>
    </row>
    <row r="350" spans="1:30" s="23" customFormat="1" x14ac:dyDescent="0.3">
      <c r="A350" s="47"/>
      <c r="B350" s="44" t="s">
        <v>280</v>
      </c>
      <c r="C350" s="44"/>
      <c r="D350" s="212"/>
      <c r="E350" s="212"/>
      <c r="F350" s="212"/>
      <c r="G350" s="212"/>
      <c r="H350" s="212"/>
      <c r="I350" s="212"/>
      <c r="J350" s="212"/>
      <c r="K350" s="212"/>
      <c r="L350" s="212"/>
      <c r="M350" s="212"/>
      <c r="N350" s="212"/>
      <c r="O350" s="212"/>
      <c r="P350" s="212"/>
      <c r="Q350" s="212"/>
      <c r="R350" s="212"/>
      <c r="S350" s="212"/>
      <c r="T350" s="212"/>
      <c r="U350" s="212"/>
      <c r="V350" s="212"/>
      <c r="W350" s="212"/>
      <c r="X350" s="210"/>
      <c r="Y350" s="213"/>
      <c r="Z350" s="211">
        <f>+AB64+AB63</f>
        <v>631</v>
      </c>
      <c r="AA350" s="198"/>
      <c r="AB350" s="40"/>
      <c r="AC350" s="43"/>
      <c r="AD350" s="22"/>
    </row>
    <row r="351" spans="1:30" s="23" customFormat="1" x14ac:dyDescent="0.3">
      <c r="A351" s="47"/>
      <c r="B351" s="44" t="s">
        <v>107</v>
      </c>
      <c r="C351" s="44"/>
      <c r="D351" s="212"/>
      <c r="E351" s="212"/>
      <c r="F351" s="212"/>
      <c r="G351" s="212"/>
      <c r="H351" s="212"/>
      <c r="I351" s="212"/>
      <c r="J351" s="212"/>
      <c r="K351" s="212"/>
      <c r="L351" s="212"/>
      <c r="M351" s="212"/>
      <c r="N351" s="212"/>
      <c r="O351" s="212"/>
      <c r="P351" s="212"/>
      <c r="Q351" s="212"/>
      <c r="R351" s="212"/>
      <c r="S351" s="212"/>
      <c r="T351" s="212"/>
      <c r="U351" s="212"/>
      <c r="V351" s="212"/>
      <c r="W351" s="212"/>
      <c r="X351" s="210"/>
      <c r="Y351" s="213"/>
      <c r="Z351" s="211">
        <f>+Z349+Z350</f>
        <v>755635</v>
      </c>
      <c r="AA351" s="198"/>
      <c r="AB351" s="40"/>
      <c r="AC351" s="43"/>
      <c r="AD351" s="22"/>
    </row>
    <row r="352" spans="1:30" s="23" customFormat="1" x14ac:dyDescent="0.3">
      <c r="A352" s="47"/>
      <c r="B352" s="44" t="s">
        <v>245</v>
      </c>
      <c r="C352" s="40"/>
      <c r="D352" s="204"/>
      <c r="E352" s="204"/>
      <c r="F352" s="204"/>
      <c r="G352" s="204"/>
      <c r="H352" s="204"/>
      <c r="I352" s="204"/>
      <c r="J352" s="204"/>
      <c r="K352" s="204"/>
      <c r="L352" s="204"/>
      <c r="M352" s="204"/>
      <c r="N352" s="204"/>
      <c r="O352" s="204"/>
      <c r="P352" s="204"/>
      <c r="Q352" s="204"/>
      <c r="R352" s="204"/>
      <c r="S352" s="204"/>
      <c r="T352" s="204"/>
      <c r="U352" s="204"/>
      <c r="V352" s="204"/>
      <c r="W352" s="204"/>
      <c r="X352" s="210"/>
      <c r="Y352" s="198"/>
      <c r="Z352" s="211">
        <f>+AB66</f>
        <v>755635</v>
      </c>
      <c r="AA352" s="198"/>
      <c r="AB352" s="40"/>
      <c r="AC352" s="43"/>
      <c r="AD352" s="22"/>
    </row>
    <row r="353" spans="1:30" s="23" customFormat="1" x14ac:dyDescent="0.3">
      <c r="A353" s="47"/>
      <c r="B353" s="44"/>
      <c r="C353" s="40"/>
      <c r="D353" s="204"/>
      <c r="E353" s="204"/>
      <c r="F353" s="204"/>
      <c r="G353" s="204"/>
      <c r="H353" s="204"/>
      <c r="I353" s="204"/>
      <c r="J353" s="204"/>
      <c r="K353" s="204"/>
      <c r="L353" s="204"/>
      <c r="M353" s="204"/>
      <c r="N353" s="204"/>
      <c r="O353" s="204"/>
      <c r="P353" s="204"/>
      <c r="Q353" s="204"/>
      <c r="R353" s="204"/>
      <c r="S353" s="204"/>
      <c r="T353" s="204"/>
      <c r="U353" s="204"/>
      <c r="V353" s="204"/>
      <c r="W353" s="204"/>
      <c r="X353" s="210"/>
      <c r="Y353" s="198"/>
      <c r="Z353" s="211"/>
      <c r="AA353" s="198"/>
      <c r="AB353" s="40"/>
      <c r="AC353" s="43"/>
      <c r="AD353" s="22"/>
    </row>
    <row r="354" spans="1:30" s="23" customFormat="1" x14ac:dyDescent="0.3">
      <c r="A354" s="47"/>
      <c r="B354" s="44" t="s">
        <v>327</v>
      </c>
      <c r="C354" s="40"/>
      <c r="D354" s="204"/>
      <c r="E354" s="204"/>
      <c r="F354" s="204"/>
      <c r="G354" s="204"/>
      <c r="H354" s="204"/>
      <c r="I354" s="204"/>
      <c r="J354" s="204"/>
      <c r="K354" s="204"/>
      <c r="L354" s="204"/>
      <c r="M354" s="204"/>
      <c r="N354" s="204"/>
      <c r="O354" s="204"/>
      <c r="P354" s="204"/>
      <c r="Q354" s="204"/>
      <c r="R354" s="204"/>
      <c r="S354" s="204"/>
      <c r="T354" s="204"/>
      <c r="U354" s="204"/>
      <c r="V354" s="204"/>
      <c r="W354" s="204"/>
      <c r="X354" s="210"/>
      <c r="Y354" s="198"/>
      <c r="Z354" s="236">
        <f>(F31+H31+J31+L31+N31)/AB31</f>
        <v>1</v>
      </c>
      <c r="AA354" s="198"/>
      <c r="AB354" s="40"/>
      <c r="AC354" s="43"/>
      <c r="AD354" s="22"/>
    </row>
    <row r="355" spans="1:30" s="23" customFormat="1" x14ac:dyDescent="0.3">
      <c r="A355" s="18"/>
      <c r="B355" s="20"/>
      <c r="C355" s="20"/>
      <c r="D355" s="214"/>
      <c r="E355" s="214"/>
      <c r="F355" s="214"/>
      <c r="G355" s="214"/>
      <c r="H355" s="214"/>
      <c r="I355" s="214"/>
      <c r="J355" s="214"/>
      <c r="K355" s="214"/>
      <c r="L355" s="214"/>
      <c r="M355" s="214"/>
      <c r="N355" s="214"/>
      <c r="O355" s="214"/>
      <c r="P355" s="214"/>
      <c r="Q355" s="214"/>
      <c r="R355" s="214"/>
      <c r="S355" s="214"/>
      <c r="T355" s="214"/>
      <c r="U355" s="214"/>
      <c r="V355" s="214"/>
      <c r="W355" s="214"/>
      <c r="X355" s="214"/>
      <c r="Y355" s="214"/>
      <c r="Z355" s="215"/>
      <c r="AA355" s="214"/>
      <c r="AB355" s="20"/>
      <c r="AC355" s="21"/>
      <c r="AD355" s="22"/>
    </row>
    <row r="356" spans="1:30" s="23" customFormat="1" x14ac:dyDescent="0.3">
      <c r="A356" s="18"/>
      <c r="B356" s="19" t="s">
        <v>62</v>
      </c>
      <c r="C356" s="20"/>
      <c r="D356" s="216" t="s">
        <v>66</v>
      </c>
      <c r="E356" s="19"/>
      <c r="F356" s="19" t="s">
        <v>67</v>
      </c>
      <c r="G356" s="20"/>
      <c r="H356" s="19"/>
      <c r="I356" s="20"/>
      <c r="J356" s="20"/>
      <c r="K356" s="20"/>
      <c r="L356" s="20"/>
      <c r="M356" s="20"/>
      <c r="N356" s="20"/>
      <c r="O356" s="20"/>
      <c r="P356" s="20"/>
      <c r="Q356" s="20"/>
      <c r="R356" s="20"/>
      <c r="S356" s="20"/>
      <c r="T356" s="20"/>
      <c r="U356" s="20"/>
      <c r="V356" s="20"/>
      <c r="W356" s="20"/>
      <c r="X356" s="20"/>
      <c r="Y356" s="20"/>
      <c r="Z356" s="20"/>
      <c r="AA356" s="20"/>
      <c r="AB356" s="20"/>
      <c r="AC356" s="21"/>
      <c r="AD356" s="22"/>
    </row>
    <row r="357" spans="1:30" s="23" customFormat="1" x14ac:dyDescent="0.3">
      <c r="A357" s="18"/>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1"/>
      <c r="AD357" s="22"/>
    </row>
    <row r="358" spans="1:30" s="23" customFormat="1" x14ac:dyDescent="0.3">
      <c r="A358" s="18"/>
      <c r="B358" s="19" t="s">
        <v>152</v>
      </c>
      <c r="C358" s="19"/>
      <c r="D358" s="217" t="s">
        <v>122</v>
      </c>
      <c r="E358" s="19"/>
      <c r="F358" s="19" t="s">
        <v>169</v>
      </c>
      <c r="G358" s="19"/>
      <c r="H358" s="19"/>
      <c r="I358" s="20"/>
      <c r="J358" s="20"/>
      <c r="K358" s="20"/>
      <c r="L358" s="20"/>
      <c r="M358" s="20"/>
      <c r="N358" s="20"/>
      <c r="O358" s="20"/>
      <c r="P358" s="20"/>
      <c r="Q358" s="20"/>
      <c r="R358" s="20"/>
      <c r="S358" s="20"/>
      <c r="T358" s="20"/>
      <c r="U358" s="20"/>
      <c r="V358" s="20"/>
      <c r="W358" s="20"/>
      <c r="X358" s="20"/>
      <c r="Y358" s="20"/>
      <c r="Z358" s="20"/>
      <c r="AA358" s="20"/>
      <c r="AB358" s="20"/>
      <c r="AC358" s="21"/>
      <c r="AD358" s="22"/>
    </row>
    <row r="359" spans="1:30" s="23" customFormat="1" x14ac:dyDescent="0.3">
      <c r="A359" s="18"/>
      <c r="B359" s="19" t="s">
        <v>153</v>
      </c>
      <c r="C359" s="19"/>
      <c r="D359" s="217" t="s">
        <v>98</v>
      </c>
      <c r="E359" s="19"/>
      <c r="F359" s="19" t="s">
        <v>170</v>
      </c>
      <c r="G359" s="19"/>
      <c r="H359" s="19"/>
      <c r="I359" s="20"/>
      <c r="J359" s="20"/>
      <c r="K359" s="20"/>
      <c r="L359" s="20"/>
      <c r="M359" s="20"/>
      <c r="N359" s="20"/>
      <c r="O359" s="20"/>
      <c r="P359" s="20"/>
      <c r="Q359" s="20"/>
      <c r="R359" s="20"/>
      <c r="S359" s="20"/>
      <c r="T359" s="20"/>
      <c r="U359" s="20"/>
      <c r="V359" s="20"/>
      <c r="W359" s="20"/>
      <c r="X359" s="20"/>
      <c r="Y359" s="20"/>
      <c r="Z359" s="20"/>
      <c r="AA359" s="20"/>
      <c r="AB359" s="20"/>
      <c r="AC359" s="21"/>
      <c r="AD359" s="22"/>
    </row>
    <row r="360" spans="1:30" s="23" customFormat="1" x14ac:dyDescent="0.3">
      <c r="A360" s="18"/>
      <c r="B360" s="19"/>
      <c r="C360" s="19"/>
      <c r="D360" s="217"/>
      <c r="E360" s="19"/>
      <c r="F360" s="19"/>
      <c r="G360" s="19"/>
      <c r="H360" s="19"/>
      <c r="I360" s="20"/>
      <c r="J360" s="20"/>
      <c r="K360" s="20"/>
      <c r="L360" s="20"/>
      <c r="M360" s="20"/>
      <c r="N360" s="20"/>
      <c r="O360" s="20"/>
      <c r="P360" s="20"/>
      <c r="Q360" s="20"/>
      <c r="R360" s="20"/>
      <c r="S360" s="20"/>
      <c r="T360" s="20"/>
      <c r="U360" s="20"/>
      <c r="V360" s="20"/>
      <c r="W360" s="20"/>
      <c r="X360" s="20"/>
      <c r="Y360" s="20"/>
      <c r="Z360" s="20"/>
      <c r="AA360" s="20"/>
      <c r="AB360" s="20"/>
      <c r="AC360" s="21"/>
      <c r="AD360" s="22"/>
    </row>
    <row r="361" spans="1:30" s="23" customFormat="1" x14ac:dyDescent="0.3">
      <c r="A361" s="18"/>
      <c r="B361" s="257" t="s">
        <v>326</v>
      </c>
      <c r="C361" s="19"/>
      <c r="D361" s="217"/>
      <c r="E361" s="19"/>
      <c r="F361" s="19"/>
      <c r="G361" s="19"/>
      <c r="H361" s="19"/>
      <c r="I361" s="20"/>
      <c r="J361" s="20"/>
      <c r="K361" s="20"/>
      <c r="L361" s="20"/>
      <c r="M361" s="20"/>
      <c r="N361" s="20"/>
      <c r="O361" s="20"/>
      <c r="P361" s="20"/>
      <c r="Q361" s="20"/>
      <c r="R361" s="20"/>
      <c r="S361" s="20"/>
      <c r="T361" s="20"/>
      <c r="U361" s="20"/>
      <c r="V361" s="20"/>
      <c r="W361" s="20"/>
      <c r="X361" s="20"/>
      <c r="Y361" s="20"/>
      <c r="Z361" s="20"/>
      <c r="AA361" s="20"/>
      <c r="AB361" s="20"/>
      <c r="AC361" s="21"/>
      <c r="AD361" s="22"/>
    </row>
    <row r="362" spans="1:30" x14ac:dyDescent="0.3">
      <c r="A362" s="218"/>
      <c r="B362" s="258"/>
      <c r="C362" s="219"/>
      <c r="D362" s="220"/>
      <c r="E362" s="220"/>
      <c r="F362" s="220"/>
      <c r="G362" s="220"/>
      <c r="H362" s="220"/>
      <c r="I362" s="220"/>
      <c r="J362" s="220"/>
      <c r="K362" s="220"/>
      <c r="L362" s="220"/>
      <c r="M362" s="220"/>
      <c r="N362" s="220"/>
      <c r="O362" s="220"/>
      <c r="P362" s="220"/>
      <c r="Q362" s="220"/>
      <c r="R362" s="220"/>
      <c r="S362" s="220"/>
      <c r="T362" s="220"/>
      <c r="U362" s="220"/>
      <c r="V362" s="220"/>
      <c r="W362" s="220"/>
      <c r="X362" s="220"/>
      <c r="Y362" s="220"/>
      <c r="Z362" s="220"/>
      <c r="AA362" s="220"/>
      <c r="AB362" s="220"/>
      <c r="AC362" s="221"/>
      <c r="AD362" s="5"/>
    </row>
    <row r="363" spans="1:30" ht="18" x14ac:dyDescent="0.35">
      <c r="A363" s="218"/>
      <c r="B363" s="259" t="s">
        <v>109</v>
      </c>
      <c r="C363" s="219"/>
      <c r="D363" s="220"/>
      <c r="E363" s="220"/>
      <c r="F363" s="220"/>
      <c r="G363" s="220"/>
      <c r="H363" s="220"/>
      <c r="I363" s="220"/>
      <c r="J363" s="220"/>
      <c r="K363" s="220"/>
      <c r="L363" s="220"/>
      <c r="M363" s="220"/>
      <c r="N363" s="220"/>
      <c r="O363" s="220"/>
      <c r="P363" s="260" t="s">
        <v>168</v>
      </c>
      <c r="Q363" s="220"/>
      <c r="R363" s="220"/>
      <c r="S363" s="220"/>
      <c r="T363" s="220"/>
      <c r="U363" s="220"/>
      <c r="V363" s="220"/>
      <c r="W363" s="220"/>
      <c r="X363" s="220"/>
      <c r="Y363" s="220"/>
      <c r="Z363" s="220"/>
      <c r="AA363" s="220"/>
      <c r="AB363" s="220"/>
      <c r="AC363" s="221"/>
      <c r="AD363" s="5"/>
    </row>
    <row r="364" spans="1:30" ht="18" x14ac:dyDescent="0.35">
      <c r="A364" s="218"/>
      <c r="B364" s="259"/>
      <c r="C364" s="219"/>
      <c r="D364" s="220"/>
      <c r="E364" s="220"/>
      <c r="F364" s="220"/>
      <c r="G364" s="220"/>
      <c r="H364" s="220"/>
      <c r="I364" s="220"/>
      <c r="J364" s="220"/>
      <c r="K364" s="220"/>
      <c r="L364" s="220"/>
      <c r="M364" s="220"/>
      <c r="N364" s="220"/>
      <c r="O364" s="220"/>
      <c r="P364" s="260"/>
      <c r="Q364" s="220"/>
      <c r="R364" s="220"/>
      <c r="S364" s="220"/>
      <c r="T364" s="220"/>
      <c r="U364" s="220"/>
      <c r="V364" s="220"/>
      <c r="W364" s="220"/>
      <c r="X364" s="220"/>
      <c r="Y364" s="220"/>
      <c r="Z364" s="220"/>
      <c r="AA364" s="220"/>
      <c r="AB364" s="220"/>
      <c r="AC364" s="221"/>
      <c r="AD364" s="5"/>
    </row>
    <row r="365" spans="1:30" ht="18.600000000000001" thickBot="1" x14ac:dyDescent="0.4">
      <c r="A365" s="218"/>
      <c r="B365" s="222" t="str">
        <f>B234</f>
        <v>PM27 INVESTOR REPORT QUARTER ENDING SEPTEMBER 2020</v>
      </c>
      <c r="C365" s="219"/>
      <c r="D365" s="220"/>
      <c r="E365" s="220"/>
      <c r="F365" s="220"/>
      <c r="G365" s="220"/>
      <c r="H365" s="220"/>
      <c r="I365" s="220"/>
      <c r="J365" s="220"/>
      <c r="K365" s="220"/>
      <c r="L365" s="220"/>
      <c r="M365" s="220"/>
      <c r="N365" s="220"/>
      <c r="O365" s="220"/>
      <c r="P365" s="220"/>
      <c r="Q365" s="220"/>
      <c r="R365" s="220"/>
      <c r="S365" s="220"/>
      <c r="T365" s="220"/>
      <c r="U365" s="220"/>
      <c r="V365" s="220"/>
      <c r="W365" s="220"/>
      <c r="X365" s="220"/>
      <c r="Y365" s="220"/>
      <c r="Z365" s="220"/>
      <c r="AA365" s="220"/>
      <c r="AB365" s="220"/>
      <c r="AC365" s="223"/>
      <c r="AD365" s="5"/>
    </row>
    <row r="366" spans="1:30" x14ac:dyDescent="0.3">
      <c r="A366" s="224"/>
      <c r="B366" s="224"/>
      <c r="C366" s="224"/>
      <c r="D366" s="224"/>
      <c r="E366" s="224"/>
      <c r="F366" s="224"/>
      <c r="G366" s="224"/>
      <c r="H366" s="224"/>
      <c r="I366" s="224"/>
      <c r="J366" s="224"/>
      <c r="K366" s="224"/>
      <c r="L366" s="224"/>
      <c r="M366" s="224"/>
      <c r="N366" s="224"/>
      <c r="O366" s="224"/>
      <c r="P366" s="224"/>
      <c r="Q366" s="224"/>
      <c r="R366" s="224"/>
      <c r="S366" s="224"/>
      <c r="T366" s="224"/>
      <c r="U366" s="224"/>
      <c r="V366" s="224"/>
      <c r="W366" s="224"/>
      <c r="X366" s="224"/>
      <c r="Y366" s="224"/>
      <c r="Z366" s="224"/>
      <c r="AA366" s="224"/>
      <c r="AB366" s="224"/>
      <c r="AC366" s="224"/>
    </row>
    <row r="368" spans="1:30" x14ac:dyDescent="0.3">
      <c r="B368" s="278" t="s">
        <v>284</v>
      </c>
    </row>
    <row r="369" spans="2:19" x14ac:dyDescent="0.3">
      <c r="B369" s="270" t="s">
        <v>285</v>
      </c>
    </row>
    <row r="370" spans="2:19" x14ac:dyDescent="0.3">
      <c r="B370" s="270" t="s">
        <v>286</v>
      </c>
    </row>
    <row r="371" spans="2:19" x14ac:dyDescent="0.3">
      <c r="B371" s="270" t="s">
        <v>287</v>
      </c>
    </row>
    <row r="372" spans="2:19" x14ac:dyDescent="0.3">
      <c r="B372" s="270" t="s">
        <v>288</v>
      </c>
    </row>
    <row r="373" spans="2:19" x14ac:dyDescent="0.3">
      <c r="B373" s="270" t="s">
        <v>289</v>
      </c>
    </row>
    <row r="374" spans="2:19" x14ac:dyDescent="0.3">
      <c r="B374" s="270" t="s">
        <v>290</v>
      </c>
    </row>
    <row r="375" spans="2:19" x14ac:dyDescent="0.3">
      <c r="B375" s="270" t="s">
        <v>291</v>
      </c>
    </row>
    <row r="376" spans="2:19" x14ac:dyDescent="0.3">
      <c r="B376" s="270"/>
    </row>
    <row r="377" spans="2:19" x14ac:dyDescent="0.3">
      <c r="B377" s="278" t="s">
        <v>328</v>
      </c>
    </row>
    <row r="378" spans="2:19" x14ac:dyDescent="0.3">
      <c r="B378" s="270" t="s">
        <v>342</v>
      </c>
    </row>
    <row r="379" spans="2:19" x14ac:dyDescent="0.3">
      <c r="B379" s="270" t="s">
        <v>347</v>
      </c>
    </row>
    <row r="380" spans="2:19" x14ac:dyDescent="0.3">
      <c r="B380" s="270"/>
    </row>
    <row r="381" spans="2:19" x14ac:dyDescent="0.3">
      <c r="B381" s="278" t="s">
        <v>292</v>
      </c>
    </row>
    <row r="382" spans="2:19" x14ac:dyDescent="0.3">
      <c r="B382" s="270" t="s">
        <v>293</v>
      </c>
    </row>
    <row r="383" spans="2:19" x14ac:dyDescent="0.3">
      <c r="B383" s="270" t="s">
        <v>339</v>
      </c>
      <c r="C383" s="271"/>
      <c r="D383" s="271"/>
      <c r="E383" s="271"/>
      <c r="F383" s="271"/>
      <c r="G383" s="271"/>
      <c r="H383" s="271"/>
      <c r="I383" s="271"/>
      <c r="J383" s="271"/>
      <c r="K383" s="271"/>
      <c r="L383" s="271"/>
      <c r="M383" s="271"/>
      <c r="N383" s="271"/>
      <c r="O383" s="271"/>
      <c r="P383" s="271"/>
      <c r="Q383" s="271"/>
      <c r="R383" s="271"/>
      <c r="S383" s="271"/>
    </row>
    <row r="384" spans="2:19" x14ac:dyDescent="0.3">
      <c r="B384" s="6" t="s">
        <v>338</v>
      </c>
      <c r="C384" s="271"/>
      <c r="D384" s="271"/>
      <c r="E384" s="271"/>
      <c r="F384" s="271"/>
      <c r="G384" s="271"/>
      <c r="H384" s="271"/>
      <c r="I384" s="271"/>
      <c r="J384" s="271"/>
      <c r="K384" s="271"/>
      <c r="L384" s="271"/>
      <c r="M384" s="271"/>
      <c r="N384" s="271"/>
      <c r="O384" s="271"/>
      <c r="P384" s="271"/>
      <c r="Q384" s="271"/>
      <c r="R384" s="271"/>
      <c r="S384" s="271"/>
    </row>
  </sheetData>
  <hyperlinks>
    <hyperlink ref="K9" r:id="rId1" display="http://www.paragon-group.co.uk" xr:uid="{626CF45B-A48D-4CE5-800D-14CD186C5D50}"/>
    <hyperlink ref="P363" r:id="rId2" xr:uid="{92A1FA9E-7BFB-46FD-A504-638A59CE7999}"/>
    <hyperlink ref="P274" r:id="rId3" xr:uid="{A878CB86-25D8-44E0-AF3A-7AACF1C92798}"/>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3" max="18" man="1"/>
    <brk id="131" max="18" man="1"/>
    <brk id="234" max="18" man="1"/>
  </rowBreaks>
  <colBreaks count="1" manualBreakCount="1">
    <brk id="29" max="299" man="1"/>
  </col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56DE4-C8AA-4E4E-9807-1F24A2E4A87C}">
  <sheetPr>
    <tabColor rgb="FF89CB31"/>
  </sheetPr>
  <dimension ref="A1:JB384"/>
  <sheetViews>
    <sheetView showGridLines="0" showOutlineSymbols="0" zoomScale="70" zoomScaleNormal="70" workbookViewId="0"/>
  </sheetViews>
  <sheetFormatPr defaultColWidth="9.81640625" defaultRowHeight="15.6" x14ac:dyDescent="0.3"/>
  <cols>
    <col min="1" max="1" width="4" style="6" customWidth="1"/>
    <col min="2" max="2" width="71.08984375" style="6" customWidth="1"/>
    <col min="3" max="3" width="2.08984375" style="6" customWidth="1"/>
    <col min="4" max="4" width="16.08984375" style="6" customWidth="1"/>
    <col min="5" max="5" width="2.81640625" style="6" customWidth="1"/>
    <col min="6" max="6" width="16.08984375" style="6" customWidth="1"/>
    <col min="7" max="7" width="2.08984375" style="6" customWidth="1"/>
    <col min="8" max="8" width="17.81640625" style="6" customWidth="1"/>
    <col min="9" max="9" width="2.08984375" style="6" customWidth="1"/>
    <col min="10" max="10" width="14.8164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302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168</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301</v>
      </c>
      <c r="AC14" s="21"/>
      <c r="AD14" s="22"/>
    </row>
    <row r="15" spans="1:30" s="23" customFormat="1" x14ac:dyDescent="0.3">
      <c r="A15" s="18"/>
      <c r="B15" s="19" t="s">
        <v>278</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323</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3.6400000000000002E-2</v>
      </c>
      <c r="Z16" s="29" t="s">
        <v>264</v>
      </c>
      <c r="AA16" s="29">
        <v>0.96360000000000001</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3.5999999999999997E-2</v>
      </c>
      <c r="Z17" s="29" t="s">
        <v>264</v>
      </c>
      <c r="AA17" s="29">
        <v>0.96399999999999997</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6">
        <v>43951</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44218</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304</v>
      </c>
      <c r="G23" s="35"/>
      <c r="H23" s="35" t="s">
        <v>140</v>
      </c>
      <c r="I23" s="35"/>
      <c r="J23" s="35" t="s">
        <v>141</v>
      </c>
      <c r="K23" s="35"/>
      <c r="L23" s="35" t="s">
        <v>171</v>
      </c>
      <c r="M23" s="35"/>
      <c r="N23" s="35" t="s">
        <v>161</v>
      </c>
      <c r="O23" s="35"/>
      <c r="P23" s="35" t="s">
        <v>181</v>
      </c>
      <c r="Q23" s="35"/>
      <c r="R23" s="35" t="s">
        <v>182</v>
      </c>
      <c r="S23" s="35"/>
      <c r="T23" s="35" t="s">
        <v>183</v>
      </c>
      <c r="U23" s="35"/>
      <c r="V23" s="35" t="s">
        <v>184</v>
      </c>
      <c r="W23" s="35"/>
      <c r="X23" s="35" t="s">
        <v>185</v>
      </c>
      <c r="Y23" s="35" t="s">
        <v>186</v>
      </c>
      <c r="Z23" s="35"/>
      <c r="AA23" s="34"/>
      <c r="AB23" s="34"/>
      <c r="AC23" s="36"/>
      <c r="AD23" s="5"/>
    </row>
    <row r="24" spans="1:33" s="23" customFormat="1" x14ac:dyDescent="0.3">
      <c r="A24" s="18"/>
      <c r="B24" s="37" t="s">
        <v>158</v>
      </c>
      <c r="C24" s="38"/>
      <c r="D24" s="228"/>
      <c r="E24" s="228"/>
      <c r="F24" s="228" t="s">
        <v>220</v>
      </c>
      <c r="G24" s="228"/>
      <c r="H24" s="228" t="s">
        <v>221</v>
      </c>
      <c r="I24" s="228"/>
      <c r="J24" s="228" t="s">
        <v>269</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c r="E25" s="227"/>
      <c r="F25" s="227" t="s">
        <v>222</v>
      </c>
      <c r="G25" s="227"/>
      <c r="H25" s="227" t="s">
        <v>223</v>
      </c>
      <c r="I25" s="227"/>
      <c r="J25" s="227" t="s">
        <v>270</v>
      </c>
      <c r="K25" s="227"/>
      <c r="L25" s="227" t="s">
        <v>324</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159</v>
      </c>
      <c r="C26" s="41"/>
      <c r="D26" s="229"/>
      <c r="E26" s="229"/>
      <c r="F26" s="229" t="s">
        <v>220</v>
      </c>
      <c r="G26" s="229"/>
      <c r="H26" s="229" t="s">
        <v>221</v>
      </c>
      <c r="I26" s="229"/>
      <c r="J26" s="229" t="s">
        <v>269</v>
      </c>
      <c r="K26" s="229"/>
      <c r="L26" s="229" t="s">
        <v>271</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c r="E27" s="229"/>
      <c r="F27" s="229" t="s">
        <v>222</v>
      </c>
      <c r="G27" s="229"/>
      <c r="H27" s="229" t="s">
        <v>223</v>
      </c>
      <c r="I27" s="229"/>
      <c r="J27" s="229" t="s">
        <v>270</v>
      </c>
      <c r="K27" s="229"/>
      <c r="L27" s="229" t="s">
        <v>324</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c r="E28" s="227"/>
      <c r="F28" s="227" t="s">
        <v>313</v>
      </c>
      <c r="G28" s="227"/>
      <c r="H28" s="227" t="s">
        <v>314</v>
      </c>
      <c r="I28" s="227"/>
      <c r="J28" s="227" t="s">
        <v>315</v>
      </c>
      <c r="K28" s="227"/>
      <c r="L28" s="227" t="s">
        <v>316</v>
      </c>
      <c r="M28" s="227"/>
      <c r="N28" s="227" t="s">
        <v>317</v>
      </c>
      <c r="O28" s="227"/>
      <c r="P28" s="227" t="s">
        <v>318</v>
      </c>
      <c r="Q28" s="227"/>
      <c r="R28" s="227" t="s">
        <v>83</v>
      </c>
      <c r="S28" s="227"/>
      <c r="T28" s="227" t="s">
        <v>319</v>
      </c>
      <c r="U28" s="227"/>
      <c r="V28" s="227" t="s">
        <v>320</v>
      </c>
      <c r="W28" s="227"/>
      <c r="X28" s="227" t="s">
        <v>321</v>
      </c>
      <c r="Y28" s="227" t="s">
        <v>322</v>
      </c>
      <c r="Z28" s="227"/>
      <c r="AA28" s="49"/>
      <c r="AB28" s="50"/>
      <c r="AC28" s="51"/>
      <c r="AD28" s="22"/>
      <c r="AE28" s="45"/>
      <c r="AG28" s="46"/>
    </row>
    <row r="29" spans="1:33" s="23" customFormat="1" x14ac:dyDescent="0.3">
      <c r="A29" s="39"/>
      <c r="B29" s="40" t="s">
        <v>91</v>
      </c>
      <c r="C29" s="52"/>
      <c r="D29" s="54"/>
      <c r="E29" s="53"/>
      <c r="F29" s="54">
        <v>648307</v>
      </c>
      <c r="G29" s="55"/>
      <c r="H29" s="54">
        <v>41826</v>
      </c>
      <c r="I29" s="55"/>
      <c r="J29" s="54">
        <v>22814</v>
      </c>
      <c r="K29" s="55"/>
      <c r="L29" s="54">
        <v>22814</v>
      </c>
      <c r="M29" s="50"/>
      <c r="N29" s="54">
        <v>24717</v>
      </c>
      <c r="O29" s="54"/>
      <c r="P29" s="231">
        <v>11637</v>
      </c>
      <c r="Q29" s="231"/>
      <c r="R29" s="231">
        <v>4175</v>
      </c>
      <c r="S29" s="54"/>
      <c r="T29" s="54" t="s">
        <v>83</v>
      </c>
      <c r="U29" s="54"/>
      <c r="V29" s="54" t="s">
        <v>83</v>
      </c>
      <c r="W29" s="54"/>
      <c r="X29" s="54" t="s">
        <v>83</v>
      </c>
      <c r="Y29" s="54" t="s">
        <v>83</v>
      </c>
      <c r="Z29" s="54"/>
      <c r="AA29" s="52"/>
      <c r="AB29" s="50">
        <f>SUM(F29:N29)</f>
        <v>760478</v>
      </c>
      <c r="AC29" s="51"/>
      <c r="AD29" s="22"/>
    </row>
    <row r="30" spans="1:33" s="23" customFormat="1" x14ac:dyDescent="0.3">
      <c r="A30" s="47"/>
      <c r="B30" s="40" t="s">
        <v>90</v>
      </c>
      <c r="C30" s="49"/>
      <c r="D30" s="54"/>
      <c r="E30" s="54"/>
      <c r="F30" s="54">
        <f>F29*F33</f>
        <v>643464.14671</v>
      </c>
      <c r="G30" s="54"/>
      <c r="H30" s="54">
        <f>H29</f>
        <v>41826</v>
      </c>
      <c r="I30" s="54"/>
      <c r="J30" s="54">
        <f>J29</f>
        <v>22814</v>
      </c>
      <c r="K30" s="54"/>
      <c r="L30" s="54">
        <f>L29</f>
        <v>22814</v>
      </c>
      <c r="M30" s="54"/>
      <c r="N30" s="54">
        <f>N29</f>
        <v>24717</v>
      </c>
      <c r="O30" s="54"/>
      <c r="P30" s="57">
        <f>P29*P33</f>
        <v>11016.98064</v>
      </c>
      <c r="Q30" s="54"/>
      <c r="R30" s="54">
        <v>1529</v>
      </c>
      <c r="S30" s="54"/>
      <c r="T30" s="54" t="s">
        <v>83</v>
      </c>
      <c r="U30" s="54"/>
      <c r="V30" s="54" t="s">
        <v>83</v>
      </c>
      <c r="W30" s="54"/>
      <c r="X30" s="54" t="s">
        <v>83</v>
      </c>
      <c r="Y30" s="54" t="s">
        <v>83</v>
      </c>
      <c r="Z30" s="54"/>
      <c r="AA30" s="49"/>
      <c r="AB30" s="50">
        <f>SUM(F30:N30)</f>
        <v>755635.14671</v>
      </c>
      <c r="AC30" s="51"/>
      <c r="AD30" s="22"/>
    </row>
    <row r="31" spans="1:33" s="23" customFormat="1" x14ac:dyDescent="0.3">
      <c r="A31" s="47"/>
      <c r="B31" s="44" t="s">
        <v>92</v>
      </c>
      <c r="C31" s="49"/>
      <c r="D31" s="57"/>
      <c r="E31" s="57"/>
      <c r="F31" s="57">
        <f>F29*F32</f>
        <v>639379.81261000002</v>
      </c>
      <c r="G31" s="57"/>
      <c r="H31" s="57">
        <f>H29</f>
        <v>41826</v>
      </c>
      <c r="I31" s="57"/>
      <c r="J31" s="57">
        <f>J29</f>
        <v>22814</v>
      </c>
      <c r="K31" s="57"/>
      <c r="L31" s="57">
        <f>L29</f>
        <v>22814</v>
      </c>
      <c r="M31" s="57"/>
      <c r="N31" s="57">
        <f>N29</f>
        <v>24717</v>
      </c>
      <c r="O31" s="57"/>
      <c r="P31" s="57">
        <f>P29*P32</f>
        <v>10963.56681</v>
      </c>
      <c r="Q31" s="57"/>
      <c r="R31" s="57">
        <v>0</v>
      </c>
      <c r="S31" s="57"/>
      <c r="T31" s="57" t="s">
        <v>83</v>
      </c>
      <c r="U31" s="57"/>
      <c r="V31" s="57" t="s">
        <v>83</v>
      </c>
      <c r="W31" s="57"/>
      <c r="X31" s="57" t="s">
        <v>83</v>
      </c>
      <c r="Y31" s="57" t="s">
        <v>83</v>
      </c>
      <c r="Z31" s="57"/>
      <c r="AA31" s="49"/>
      <c r="AB31" s="56">
        <f>SUM(F31:N31)</f>
        <v>751550.81261000002</v>
      </c>
      <c r="AC31" s="51"/>
      <c r="AD31" s="22"/>
      <c r="AE31" s="235"/>
    </row>
    <row r="32" spans="1:33" s="65" customFormat="1" x14ac:dyDescent="0.3">
      <c r="A32" s="58"/>
      <c r="B32" s="166" t="s">
        <v>88</v>
      </c>
      <c r="C32" s="61"/>
      <c r="D32" s="60"/>
      <c r="E32" s="60"/>
      <c r="F32" s="60">
        <v>0.98623000000000005</v>
      </c>
      <c r="G32" s="60"/>
      <c r="H32" s="60">
        <v>1</v>
      </c>
      <c r="I32" s="60"/>
      <c r="J32" s="60">
        <v>1</v>
      </c>
      <c r="K32" s="60"/>
      <c r="L32" s="60">
        <v>1</v>
      </c>
      <c r="M32" s="60"/>
      <c r="N32" s="60">
        <v>1</v>
      </c>
      <c r="O32" s="60"/>
      <c r="P32" s="60">
        <v>0.94213000000000002</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c r="E33" s="225"/>
      <c r="F33" s="60">
        <v>0.99253000000000002</v>
      </c>
      <c r="G33" s="225"/>
      <c r="H33" s="225">
        <v>1</v>
      </c>
      <c r="I33" s="225"/>
      <c r="J33" s="225">
        <v>1</v>
      </c>
      <c r="K33" s="225"/>
      <c r="L33" s="225">
        <v>1</v>
      </c>
      <c r="M33" s="225"/>
      <c r="N33" s="225">
        <v>1</v>
      </c>
      <c r="O33" s="225"/>
      <c r="P33" s="60">
        <v>0.94672000000000001</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c r="E34" s="48"/>
      <c r="F34" s="48" t="s">
        <v>305</v>
      </c>
      <c r="G34" s="48"/>
      <c r="H34" s="48" t="s">
        <v>306</v>
      </c>
      <c r="I34" s="48"/>
      <c r="J34" s="48" t="s">
        <v>273</v>
      </c>
      <c r="K34" s="48"/>
      <c r="L34" s="48" t="s">
        <v>307</v>
      </c>
      <c r="M34" s="48"/>
      <c r="N34" s="48" t="s">
        <v>308</v>
      </c>
      <c r="O34" s="48"/>
      <c r="P34" s="48" t="s">
        <v>254</v>
      </c>
      <c r="Q34" s="48"/>
      <c r="R34" s="48" t="s">
        <v>254</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c r="E35" s="241"/>
      <c r="F35" s="241">
        <v>1.1516500000000001E-2</v>
      </c>
      <c r="G35" s="241"/>
      <c r="H35" s="241">
        <v>1.5516500000000001E-2</v>
      </c>
      <c r="I35" s="241"/>
      <c r="J35" s="241">
        <v>1.8516500000000002E-2</v>
      </c>
      <c r="K35" s="241"/>
      <c r="L35" s="241">
        <v>2.1516500000000001E-2</v>
      </c>
      <c r="M35" s="241"/>
      <c r="N35" s="241">
        <v>3.1516500000000003E-2</v>
      </c>
      <c r="O35" s="241"/>
      <c r="P35" s="241">
        <v>4.0516499999999997E-2</v>
      </c>
      <c r="Q35" s="241"/>
      <c r="R35" s="241">
        <v>4.0516499999999997E-2</v>
      </c>
      <c r="S35" s="68"/>
      <c r="T35" s="68" t="s">
        <v>83</v>
      </c>
      <c r="U35" s="68"/>
      <c r="V35" s="68" t="s">
        <v>83</v>
      </c>
      <c r="W35" s="68"/>
      <c r="X35" s="68" t="s">
        <v>83</v>
      </c>
      <c r="Y35" s="68" t="s">
        <v>83</v>
      </c>
      <c r="Z35" s="68"/>
      <c r="AA35" s="40"/>
      <c r="AB35" s="67">
        <f>SUMPRODUCT(D35:N35,D30:N30)/AB30</f>
        <v>1.2905373988418085E-2</v>
      </c>
      <c r="AC35" s="43"/>
      <c r="AD35" s="22"/>
    </row>
    <row r="36" spans="1:30" s="23" customFormat="1" x14ac:dyDescent="0.3">
      <c r="A36" s="47"/>
      <c r="B36" s="40" t="s">
        <v>10</v>
      </c>
      <c r="C36" s="69"/>
      <c r="D36" s="241"/>
      <c r="E36" s="241"/>
      <c r="F36" s="241">
        <v>1.1566399999999999E-2</v>
      </c>
      <c r="G36" s="241"/>
      <c r="H36" s="241">
        <v>1.5566399999999999E-2</v>
      </c>
      <c r="I36" s="241"/>
      <c r="J36" s="241">
        <v>1.85664E-2</v>
      </c>
      <c r="K36" s="241"/>
      <c r="L36" s="241">
        <v>2.1566399999999999E-2</v>
      </c>
      <c r="M36" s="241"/>
      <c r="N36" s="241">
        <v>3.1566400000000001E-2</v>
      </c>
      <c r="O36" s="241"/>
      <c r="P36" s="241">
        <v>4.0566400000000002E-2</v>
      </c>
      <c r="Q36" s="241"/>
      <c r="R36" s="241">
        <v>4.0566400000000002E-2</v>
      </c>
      <c r="S36" s="68"/>
      <c r="T36" s="68" t="s">
        <v>83</v>
      </c>
      <c r="U36" s="68"/>
      <c r="V36" s="68" t="s">
        <v>83</v>
      </c>
      <c r="W36" s="68"/>
      <c r="X36" s="68" t="s">
        <v>83</v>
      </c>
      <c r="Y36" s="68" t="s">
        <v>83</v>
      </c>
      <c r="Z36" s="68"/>
      <c r="AA36" s="40"/>
      <c r="AB36" s="40"/>
      <c r="AC36" s="43"/>
      <c r="AD36" s="22"/>
    </row>
    <row r="37" spans="1:30" s="23" customFormat="1" x14ac:dyDescent="0.3">
      <c r="A37" s="47"/>
      <c r="B37" s="40" t="s">
        <v>160</v>
      </c>
      <c r="C37" s="40"/>
      <c r="D37" s="69"/>
      <c r="E37" s="69"/>
      <c r="F37" s="69">
        <v>45945</v>
      </c>
      <c r="G37" s="69"/>
      <c r="H37" s="69">
        <v>45945</v>
      </c>
      <c r="I37" s="69"/>
      <c r="J37" s="69">
        <v>45945</v>
      </c>
      <c r="K37" s="69"/>
      <c r="L37" s="69">
        <v>45945</v>
      </c>
      <c r="M37" s="69"/>
      <c r="N37" s="69">
        <v>45945</v>
      </c>
      <c r="O37" s="69"/>
      <c r="P37" s="69">
        <v>45945</v>
      </c>
      <c r="Q37" s="69"/>
      <c r="R37" s="69">
        <v>45945</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c r="E38" s="69"/>
      <c r="F38" s="69">
        <v>45945</v>
      </c>
      <c r="G38" s="48"/>
      <c r="H38" s="69">
        <v>45945</v>
      </c>
      <c r="I38" s="48"/>
      <c r="J38" s="69">
        <v>45945</v>
      </c>
      <c r="K38" s="48"/>
      <c r="L38" s="69">
        <v>45945</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c r="E39" s="48"/>
      <c r="F39" s="48" t="s">
        <v>309</v>
      </c>
      <c r="G39" s="48"/>
      <c r="H39" s="48" t="s">
        <v>272</v>
      </c>
      <c r="I39" s="48"/>
      <c r="J39" s="48" t="s">
        <v>310</v>
      </c>
      <c r="K39" s="48"/>
      <c r="L39" s="48" t="s">
        <v>308</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7" t="s">
        <v>110</v>
      </c>
      <c r="AC40" s="43"/>
      <c r="AD40" s="22"/>
    </row>
    <row r="41" spans="1:30" s="23" customFormat="1" x14ac:dyDescent="0.3">
      <c r="A41" s="47"/>
      <c r="B41" s="40" t="s">
        <v>253</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32">
        <f>SUM(G29:N29)/F29</f>
        <v>0.17302142349226524</v>
      </c>
      <c r="AC41" s="43"/>
      <c r="AD41" s="22"/>
    </row>
    <row r="42" spans="1:30" s="23" customFormat="1" x14ac:dyDescent="0.3">
      <c r="A42" s="47"/>
      <c r="B42" s="40" t="s">
        <v>252</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32">
        <f>SUM(G31:N31)/F31</f>
        <v>0.17543719364880933</v>
      </c>
      <c r="AC42" s="43"/>
      <c r="AD42" s="22"/>
    </row>
    <row r="43" spans="1:30" s="23" customFormat="1" x14ac:dyDescent="0.3">
      <c r="A43" s="47"/>
      <c r="B43" s="40" t="s">
        <v>197</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1"/>
      <c r="AC44" s="43"/>
      <c r="AD44" s="22"/>
    </row>
    <row r="45" spans="1:30" s="23" customFormat="1" x14ac:dyDescent="0.3">
      <c r="A45" s="47"/>
      <c r="B45" s="40" t="s">
        <v>196</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2"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3"/>
      <c r="AA46" s="73"/>
      <c r="AB46" s="74">
        <v>44211</v>
      </c>
      <c r="AC46" s="43"/>
      <c r="AD46" s="22"/>
    </row>
    <row r="47" spans="1:30" s="23" customFormat="1" x14ac:dyDescent="0.3">
      <c r="A47" s="47"/>
      <c r="B47" s="40" t="s">
        <v>85</v>
      </c>
      <c r="C47" s="40"/>
      <c r="D47" s="75"/>
      <c r="E47" s="75"/>
      <c r="F47" s="75"/>
      <c r="G47" s="75"/>
      <c r="H47" s="75"/>
      <c r="I47" s="75"/>
      <c r="J47" s="75"/>
      <c r="K47" s="75"/>
      <c r="L47" s="75"/>
      <c r="M47" s="75"/>
      <c r="N47" s="75"/>
      <c r="O47" s="75"/>
      <c r="P47" s="75"/>
      <c r="Q47" s="75"/>
      <c r="R47" s="75"/>
      <c r="S47" s="75"/>
      <c r="T47" s="75"/>
      <c r="U47" s="75"/>
      <c r="V47" s="75"/>
      <c r="W47" s="75"/>
      <c r="X47" s="280">
        <f>+AB47-Z47+1</f>
        <v>92</v>
      </c>
      <c r="Y47" s="40"/>
      <c r="Z47" s="76">
        <v>44027</v>
      </c>
      <c r="AA47" s="77"/>
      <c r="AB47" s="76">
        <v>44118</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80">
        <f>+AB48-Z48+1</f>
        <v>92</v>
      </c>
      <c r="Y48" s="40"/>
      <c r="Z48" s="76">
        <v>44119</v>
      </c>
      <c r="AA48" s="77"/>
      <c r="AB48" s="76">
        <v>44210</v>
      </c>
      <c r="AC48" s="43"/>
      <c r="AD48" s="22"/>
    </row>
    <row r="49" spans="1:31" s="23" customFormat="1" x14ac:dyDescent="0.3">
      <c r="A49" s="47"/>
      <c r="B49" s="40" t="s">
        <v>187</v>
      </c>
      <c r="C49" s="40"/>
      <c r="D49" s="40"/>
      <c r="E49" s="40"/>
      <c r="F49" s="40"/>
      <c r="G49" s="40"/>
      <c r="H49" s="40"/>
      <c r="I49" s="40"/>
      <c r="J49" s="40"/>
      <c r="K49" s="40"/>
      <c r="L49" s="40"/>
      <c r="M49" s="40"/>
      <c r="N49" s="40"/>
      <c r="O49" s="40"/>
      <c r="P49" s="40"/>
      <c r="Q49" s="40"/>
      <c r="R49" s="40"/>
      <c r="S49" s="40"/>
      <c r="T49" s="40"/>
      <c r="U49" s="40"/>
      <c r="V49" s="40"/>
      <c r="W49" s="40"/>
      <c r="X49" s="40"/>
      <c r="Y49" s="40"/>
      <c r="Z49" s="76"/>
      <c r="AA49" s="77"/>
      <c r="AB49" s="76" t="s">
        <v>99</v>
      </c>
      <c r="AC49" s="43"/>
      <c r="AD49" s="22"/>
      <c r="AE49" s="78"/>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v>44210</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9"/>
      <c r="AA51" s="80"/>
      <c r="AB51" s="79"/>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1"/>
      <c r="AA52" s="82"/>
      <c r="AB52" s="81"/>
      <c r="AC52" s="21"/>
      <c r="AD52" s="22"/>
    </row>
    <row r="53" spans="1:31" s="23" customFormat="1" ht="18.600000000000001" thickBot="1" x14ac:dyDescent="0.4">
      <c r="A53" s="83"/>
      <c r="B53" s="84" t="s">
        <v>341</v>
      </c>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6"/>
      <c r="AC53" s="87"/>
      <c r="AD53" s="22"/>
    </row>
    <row r="54" spans="1:31" x14ac:dyDescent="0.3">
      <c r="A54" s="33"/>
      <c r="B54" s="88" t="s">
        <v>13</v>
      </c>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90"/>
      <c r="AC54" s="89"/>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1"/>
      <c r="AC55" s="10"/>
      <c r="AD55" s="5"/>
    </row>
    <row r="56" spans="1:31" s="65" customFormat="1" ht="46.8" x14ac:dyDescent="0.3">
      <c r="A56" s="92"/>
      <c r="B56" s="93" t="s">
        <v>14</v>
      </c>
      <c r="C56" s="94"/>
      <c r="D56" s="94"/>
      <c r="E56" s="94"/>
      <c r="F56" s="94"/>
      <c r="G56" s="94"/>
      <c r="H56" s="94"/>
      <c r="I56" s="94"/>
      <c r="J56" s="94"/>
      <c r="K56" s="94"/>
      <c r="L56" s="94"/>
      <c r="M56" s="94"/>
      <c r="N56" s="94"/>
      <c r="O56" s="94"/>
      <c r="P56" s="94" t="s">
        <v>63</v>
      </c>
      <c r="Q56" s="94"/>
      <c r="R56" s="94" t="s">
        <v>65</v>
      </c>
      <c r="S56" s="94"/>
      <c r="T56" s="94" t="s">
        <v>135</v>
      </c>
      <c r="U56" s="94"/>
      <c r="V56" s="94" t="s">
        <v>136</v>
      </c>
      <c r="W56" s="94"/>
      <c r="X56" s="94" t="s">
        <v>68</v>
      </c>
      <c r="Y56" s="94"/>
      <c r="Z56" s="94" t="s">
        <v>72</v>
      </c>
      <c r="AA56" s="94"/>
      <c r="AB56" s="95" t="s">
        <v>78</v>
      </c>
      <c r="AC56" s="96"/>
      <c r="AD56" s="64"/>
    </row>
    <row r="57" spans="1:31" s="23" customFormat="1" x14ac:dyDescent="0.3">
      <c r="A57" s="47"/>
      <c r="B57" s="40" t="s">
        <v>15</v>
      </c>
      <c r="C57" s="97"/>
      <c r="D57" s="97"/>
      <c r="E57" s="97"/>
      <c r="F57" s="97"/>
      <c r="G57" s="97"/>
      <c r="H57" s="98"/>
      <c r="I57" s="97"/>
      <c r="J57" s="98"/>
      <c r="K57" s="97"/>
      <c r="L57" s="97"/>
      <c r="M57" s="97"/>
      <c r="N57" s="97"/>
      <c r="O57" s="97"/>
      <c r="P57" s="238">
        <v>759666</v>
      </c>
      <c r="Q57" s="238"/>
      <c r="R57" s="237">
        <v>755004</v>
      </c>
      <c r="S57" s="238"/>
      <c r="T57" s="237">
        <f>314+18</f>
        <v>332</v>
      </c>
      <c r="U57" s="238"/>
      <c r="V57" s="238">
        <v>3754</v>
      </c>
      <c r="W57" s="238"/>
      <c r="X57" s="238">
        <v>77</v>
      </c>
      <c r="Y57" s="238"/>
      <c r="Z57" s="238">
        <v>0</v>
      </c>
      <c r="AA57" s="238"/>
      <c r="AB57" s="237">
        <f>R57-T57-V57+X57-Z57</f>
        <v>750995</v>
      </c>
      <c r="AC57" s="43"/>
      <c r="AD57" s="22"/>
      <c r="AE57" s="271"/>
    </row>
    <row r="58" spans="1:31" s="23" customFormat="1" x14ac:dyDescent="0.3">
      <c r="A58" s="47"/>
      <c r="B58" s="40" t="s">
        <v>16</v>
      </c>
      <c r="C58" s="97"/>
      <c r="D58" s="97"/>
      <c r="E58" s="97"/>
      <c r="F58" s="97"/>
      <c r="G58" s="97"/>
      <c r="H58" s="98"/>
      <c r="I58" s="97"/>
      <c r="J58" s="98"/>
      <c r="K58" s="97"/>
      <c r="L58" s="97"/>
      <c r="M58" s="97"/>
      <c r="N58" s="97"/>
      <c r="O58" s="97"/>
      <c r="P58" s="238">
        <v>0</v>
      </c>
      <c r="Q58" s="238"/>
      <c r="R58" s="237">
        <v>0</v>
      </c>
      <c r="S58" s="238"/>
      <c r="T58" s="237">
        <v>0</v>
      </c>
      <c r="U58" s="238"/>
      <c r="V58" s="238">
        <v>0</v>
      </c>
      <c r="W58" s="238"/>
      <c r="X58" s="238">
        <v>0</v>
      </c>
      <c r="Y58" s="238"/>
      <c r="Z58" s="238">
        <v>0</v>
      </c>
      <c r="AA58" s="238"/>
      <c r="AB58" s="237">
        <f>F58-J58-L58</f>
        <v>0</v>
      </c>
      <c r="AC58" s="43"/>
      <c r="AD58" s="22"/>
    </row>
    <row r="59" spans="1:31" s="23" customFormat="1" x14ac:dyDescent="0.3">
      <c r="A59" s="47"/>
      <c r="B59" s="40"/>
      <c r="C59" s="97"/>
      <c r="D59" s="97"/>
      <c r="E59" s="97"/>
      <c r="F59" s="97"/>
      <c r="G59" s="97"/>
      <c r="H59" s="98"/>
      <c r="I59" s="97"/>
      <c r="J59" s="98"/>
      <c r="K59" s="97"/>
      <c r="L59" s="97"/>
      <c r="M59" s="97"/>
      <c r="N59" s="97"/>
      <c r="O59" s="97"/>
      <c r="P59" s="238"/>
      <c r="Q59" s="238"/>
      <c r="R59" s="237"/>
      <c r="S59" s="238"/>
      <c r="T59" s="237"/>
      <c r="U59" s="238"/>
      <c r="V59" s="238"/>
      <c r="W59" s="238"/>
      <c r="X59" s="238"/>
      <c r="Y59" s="238"/>
      <c r="Z59" s="238"/>
      <c r="AA59" s="238"/>
      <c r="AB59" s="237"/>
      <c r="AC59" s="43"/>
      <c r="AD59" s="22"/>
    </row>
    <row r="60" spans="1:31" s="23" customFormat="1" x14ac:dyDescent="0.3">
      <c r="A60" s="47"/>
      <c r="B60" s="40" t="s">
        <v>17</v>
      </c>
      <c r="C60" s="97"/>
      <c r="D60" s="97"/>
      <c r="E60" s="97"/>
      <c r="F60" s="97"/>
      <c r="G60" s="97"/>
      <c r="H60" s="97"/>
      <c r="I60" s="97"/>
      <c r="J60" s="97"/>
      <c r="K60" s="97"/>
      <c r="L60" s="97"/>
      <c r="M60" s="97"/>
      <c r="N60" s="97"/>
      <c r="O60" s="97"/>
      <c r="P60" s="238">
        <f>SUM(P57:P59)</f>
        <v>759666</v>
      </c>
      <c r="Q60" s="238"/>
      <c r="R60" s="238">
        <f>R57+R58</f>
        <v>755004</v>
      </c>
      <c r="S60" s="238"/>
      <c r="T60" s="238">
        <f>T57+T58</f>
        <v>332</v>
      </c>
      <c r="U60" s="238"/>
      <c r="V60" s="238">
        <f>SUM(V57:V59)</f>
        <v>3754</v>
      </c>
      <c r="W60" s="238"/>
      <c r="X60" s="238">
        <f>SUM(X57:X59)</f>
        <v>77</v>
      </c>
      <c r="Y60" s="238"/>
      <c r="Z60" s="238">
        <f>SUM(Z57:Z59)</f>
        <v>0</v>
      </c>
      <c r="AA60" s="238"/>
      <c r="AB60" s="238">
        <f>SUM(AB57:AB59)</f>
        <v>750995</v>
      </c>
      <c r="AC60" s="43"/>
      <c r="AD60" s="22"/>
    </row>
    <row r="61" spans="1:31" s="23" customFormat="1" ht="32.1" customHeight="1" x14ac:dyDescent="0.3">
      <c r="A61" s="47"/>
      <c r="B61" s="40"/>
      <c r="C61" s="97"/>
      <c r="D61" s="97"/>
      <c r="E61" s="97"/>
      <c r="F61" s="97"/>
      <c r="G61" s="97"/>
      <c r="H61" s="97"/>
      <c r="I61" s="97"/>
      <c r="J61" s="97"/>
      <c r="K61" s="97"/>
      <c r="L61" s="97"/>
      <c r="M61" s="97"/>
      <c r="N61" s="97"/>
      <c r="O61" s="97"/>
      <c r="P61" s="238"/>
      <c r="Q61" s="238"/>
      <c r="R61" s="238"/>
      <c r="S61" s="238"/>
      <c r="T61" s="238"/>
      <c r="U61" s="238"/>
      <c r="V61" s="238"/>
      <c r="W61" s="238"/>
      <c r="X61" s="238"/>
      <c r="Y61" s="238"/>
      <c r="Z61" s="238"/>
      <c r="AA61" s="238"/>
      <c r="AB61" s="238"/>
      <c r="AC61" s="43"/>
      <c r="AD61" s="22"/>
    </row>
    <row r="62" spans="1:31" s="23" customFormat="1" x14ac:dyDescent="0.3">
      <c r="A62" s="47"/>
      <c r="B62" s="40" t="s">
        <v>18</v>
      </c>
      <c r="C62" s="97"/>
      <c r="D62" s="97"/>
      <c r="E62" s="97"/>
      <c r="F62" s="97"/>
      <c r="G62" s="97"/>
      <c r="H62" s="97"/>
      <c r="I62" s="97"/>
      <c r="J62" s="97"/>
      <c r="K62" s="97"/>
      <c r="L62" s="97"/>
      <c r="M62" s="97"/>
      <c r="N62" s="97"/>
      <c r="O62" s="97"/>
      <c r="P62" s="238">
        <v>0</v>
      </c>
      <c r="Q62" s="238"/>
      <c r="R62" s="238">
        <v>0</v>
      </c>
      <c r="S62" s="238"/>
      <c r="T62" s="238"/>
      <c r="U62" s="238"/>
      <c r="V62" s="238"/>
      <c r="W62" s="238"/>
      <c r="X62" s="238"/>
      <c r="Y62" s="238"/>
      <c r="Z62" s="238"/>
      <c r="AA62" s="238"/>
      <c r="AB62" s="237">
        <v>0</v>
      </c>
      <c r="AC62" s="43"/>
      <c r="AD62" s="22"/>
    </row>
    <row r="63" spans="1:31" s="23" customFormat="1" x14ac:dyDescent="0.3">
      <c r="A63" s="47"/>
      <c r="B63" s="40" t="s">
        <v>274</v>
      </c>
      <c r="C63" s="97"/>
      <c r="D63" s="97"/>
      <c r="E63" s="97"/>
      <c r="F63" s="97"/>
      <c r="G63" s="97"/>
      <c r="H63" s="97"/>
      <c r="I63" s="97"/>
      <c r="J63" s="97"/>
      <c r="K63" s="97"/>
      <c r="L63" s="97"/>
      <c r="M63" s="97"/>
      <c r="N63" s="97"/>
      <c r="O63" s="97"/>
      <c r="P63" s="238">
        <v>0</v>
      </c>
      <c r="Q63" s="238"/>
      <c r="R63" s="238">
        <v>2</v>
      </c>
      <c r="S63" s="238"/>
      <c r="T63" s="238">
        <v>0</v>
      </c>
      <c r="U63" s="238"/>
      <c r="V63" s="238">
        <v>2</v>
      </c>
      <c r="W63" s="238"/>
      <c r="X63" s="238"/>
      <c r="Y63" s="238"/>
      <c r="Z63" s="238"/>
      <c r="AA63" s="238"/>
      <c r="AB63" s="238">
        <f>R63+V63</f>
        <v>4</v>
      </c>
      <c r="AC63" s="43"/>
      <c r="AD63" s="22"/>
    </row>
    <row r="64" spans="1:31" s="23" customFormat="1" x14ac:dyDescent="0.3">
      <c r="A64" s="47"/>
      <c r="B64" s="40" t="s">
        <v>172</v>
      </c>
      <c r="C64" s="97"/>
      <c r="D64" s="97"/>
      <c r="E64" s="97"/>
      <c r="F64" s="97"/>
      <c r="G64" s="97"/>
      <c r="H64" s="97"/>
      <c r="I64" s="97"/>
      <c r="J64" s="97"/>
      <c r="K64" s="97"/>
      <c r="L64" s="97"/>
      <c r="M64" s="97"/>
      <c r="N64" s="97"/>
      <c r="O64" s="97"/>
      <c r="P64" s="238">
        <v>812</v>
      </c>
      <c r="Q64" s="238"/>
      <c r="R64" s="238">
        <v>629</v>
      </c>
      <c r="S64" s="238"/>
      <c r="T64" s="238"/>
      <c r="U64" s="238"/>
      <c r="V64" s="238"/>
      <c r="W64" s="238"/>
      <c r="X64" s="238">
        <f>-X57</f>
        <v>-77</v>
      </c>
      <c r="Y64" s="238"/>
      <c r="Z64" s="238"/>
      <c r="AA64" s="238"/>
      <c r="AB64" s="238">
        <f>+R64+X64</f>
        <v>552</v>
      </c>
      <c r="AC64" s="43"/>
      <c r="AD64" s="22"/>
    </row>
    <row r="65" spans="1:30" s="23" customFormat="1" x14ac:dyDescent="0.3">
      <c r="A65" s="47"/>
      <c r="B65" s="40" t="s">
        <v>19</v>
      </c>
      <c r="C65" s="97"/>
      <c r="D65" s="97"/>
      <c r="E65" s="97"/>
      <c r="F65" s="97"/>
      <c r="G65" s="97"/>
      <c r="H65" s="97"/>
      <c r="I65" s="97"/>
      <c r="J65" s="97"/>
      <c r="K65" s="97"/>
      <c r="L65" s="97"/>
      <c r="M65" s="97"/>
      <c r="N65" s="97"/>
      <c r="O65" s="97"/>
      <c r="P65" s="238">
        <v>0</v>
      </c>
      <c r="Q65" s="238"/>
      <c r="R65" s="238">
        <v>0</v>
      </c>
      <c r="S65" s="238"/>
      <c r="T65" s="238"/>
      <c r="U65" s="238"/>
      <c r="V65" s="238"/>
      <c r="W65" s="238"/>
      <c r="X65" s="238"/>
      <c r="Y65" s="238"/>
      <c r="Z65" s="238"/>
      <c r="AA65" s="238"/>
      <c r="AB65" s="238">
        <v>0</v>
      </c>
      <c r="AC65" s="43"/>
      <c r="AD65" s="22"/>
    </row>
    <row r="66" spans="1:30" s="23" customFormat="1" x14ac:dyDescent="0.3">
      <c r="A66" s="47"/>
      <c r="B66" s="40" t="s">
        <v>20</v>
      </c>
      <c r="C66" s="97"/>
      <c r="D66" s="97"/>
      <c r="E66" s="97"/>
      <c r="F66" s="97"/>
      <c r="G66" s="97"/>
      <c r="H66" s="97"/>
      <c r="I66" s="97"/>
      <c r="J66" s="97"/>
      <c r="K66" s="97"/>
      <c r="L66" s="97"/>
      <c r="M66" s="97"/>
      <c r="N66" s="97"/>
      <c r="O66" s="97"/>
      <c r="P66" s="238">
        <f>SUM(P60:P65)</f>
        <v>760478</v>
      </c>
      <c r="Q66" s="238"/>
      <c r="R66" s="238">
        <f>SUM(R60:R65)</f>
        <v>755635</v>
      </c>
      <c r="S66" s="238"/>
      <c r="T66" s="238"/>
      <c r="U66" s="238"/>
      <c r="V66" s="238"/>
      <c r="W66" s="238"/>
      <c r="X66" s="238"/>
      <c r="Y66" s="238"/>
      <c r="Z66" s="238"/>
      <c r="AA66" s="238"/>
      <c r="AB66" s="238">
        <f>SUM(AB60:AB65)</f>
        <v>751551</v>
      </c>
      <c r="AC66" s="43"/>
      <c r="AD66" s="22"/>
    </row>
    <row r="67" spans="1:30" x14ac:dyDescent="0.3">
      <c r="A67" s="7"/>
      <c r="B67" s="99"/>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1"/>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2" t="s">
        <v>21</v>
      </c>
      <c r="C69" s="102"/>
      <c r="D69" s="103"/>
      <c r="E69" s="103"/>
      <c r="F69" s="103"/>
      <c r="G69" s="103"/>
      <c r="H69" s="104"/>
      <c r="I69" s="103"/>
      <c r="J69" s="105"/>
      <c r="K69" s="103"/>
      <c r="L69" s="103"/>
      <c r="M69" s="103"/>
      <c r="N69" s="103"/>
      <c r="O69" s="103"/>
      <c r="P69" s="103"/>
      <c r="Q69" s="103"/>
      <c r="R69" s="104" t="s">
        <v>64</v>
      </c>
      <c r="S69" s="103"/>
      <c r="T69" s="105">
        <f>+Z235</f>
        <v>44196</v>
      </c>
      <c r="U69" s="103"/>
      <c r="V69" s="103"/>
      <c r="W69" s="103"/>
      <c r="X69" s="103"/>
      <c r="Y69" s="103"/>
      <c r="Z69" s="103" t="s">
        <v>73</v>
      </c>
      <c r="AA69" s="103"/>
      <c r="AB69" s="103"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100">
        <f>+R63</f>
        <v>2</v>
      </c>
      <c r="AA70" s="37"/>
      <c r="AB70" s="107">
        <v>0</v>
      </c>
      <c r="AC70" s="21"/>
      <c r="AD70" s="22"/>
    </row>
    <row r="71" spans="1:30" s="23" customFormat="1" x14ac:dyDescent="0.3">
      <c r="A71" s="47"/>
      <c r="B71" s="40" t="s">
        <v>218</v>
      </c>
      <c r="C71" s="40"/>
      <c r="D71" s="70"/>
      <c r="E71" s="70"/>
      <c r="F71" s="70"/>
      <c r="G71" s="108"/>
      <c r="H71" s="70"/>
      <c r="I71" s="40"/>
      <c r="J71" s="109"/>
      <c r="K71" s="40"/>
      <c r="L71" s="40"/>
      <c r="M71" s="40"/>
      <c r="N71" s="40"/>
      <c r="O71" s="40"/>
      <c r="P71" s="40"/>
      <c r="Q71" s="40"/>
      <c r="R71" s="40"/>
      <c r="S71" s="40"/>
      <c r="T71" s="40"/>
      <c r="U71" s="40"/>
      <c r="V71" s="40"/>
      <c r="W71" s="40"/>
      <c r="X71" s="40"/>
      <c r="Y71" s="40"/>
      <c r="Z71" s="238">
        <f>-X64</f>
        <v>77</v>
      </c>
      <c r="AA71" s="40"/>
      <c r="AB71" s="98"/>
      <c r="AC71" s="43"/>
      <c r="AD71" s="22"/>
    </row>
    <row r="72" spans="1:30" s="23" customFormat="1" x14ac:dyDescent="0.3">
      <c r="A72" s="47"/>
      <c r="B72" s="40" t="s">
        <v>217</v>
      </c>
      <c r="C72" s="40"/>
      <c r="D72" s="70"/>
      <c r="E72" s="70"/>
      <c r="F72" s="70"/>
      <c r="G72" s="108"/>
      <c r="H72" s="70"/>
      <c r="I72" s="40"/>
      <c r="J72" s="109"/>
      <c r="K72" s="40"/>
      <c r="L72" s="40"/>
      <c r="M72" s="40"/>
      <c r="N72" s="40"/>
      <c r="O72" s="40"/>
      <c r="P72" s="40"/>
      <c r="Q72" s="40"/>
      <c r="R72" s="40"/>
      <c r="S72" s="40"/>
      <c r="T72" s="40"/>
      <c r="U72" s="40"/>
      <c r="V72" s="40"/>
      <c r="W72" s="40"/>
      <c r="X72" s="40"/>
      <c r="Y72" s="40"/>
      <c r="Z72" s="238">
        <f>-Z209</f>
        <v>-77</v>
      </c>
      <c r="AA72" s="40"/>
      <c r="AB72" s="98"/>
      <c r="AC72" s="43"/>
      <c r="AD72" s="22"/>
    </row>
    <row r="73" spans="1:30" s="23" customFormat="1" x14ac:dyDescent="0.3">
      <c r="A73" s="47"/>
      <c r="B73" s="40" t="s">
        <v>23</v>
      </c>
      <c r="C73" s="40"/>
      <c r="D73" s="70"/>
      <c r="E73" s="70"/>
      <c r="F73" s="70"/>
      <c r="G73" s="108"/>
      <c r="H73" s="70"/>
      <c r="I73" s="40"/>
      <c r="J73" s="109"/>
      <c r="K73" s="40"/>
      <c r="L73" s="40"/>
      <c r="M73" s="40"/>
      <c r="N73" s="40"/>
      <c r="O73" s="40"/>
      <c r="P73" s="40"/>
      <c r="Q73" s="40"/>
      <c r="R73" s="40"/>
      <c r="S73" s="40"/>
      <c r="T73" s="40"/>
      <c r="U73" s="40"/>
      <c r="V73" s="40"/>
      <c r="W73" s="40"/>
      <c r="X73" s="40"/>
      <c r="Y73" s="40"/>
      <c r="Z73" s="238">
        <f>+T57+V57+Z57-1</f>
        <v>4085</v>
      </c>
      <c r="AA73" s="40"/>
      <c r="AB73" s="98"/>
      <c r="AC73" s="43"/>
      <c r="AD73" s="22"/>
    </row>
    <row r="74" spans="1:30" s="23" customFormat="1" x14ac:dyDescent="0.3">
      <c r="A74" s="47"/>
      <c r="B74" s="40" t="s">
        <v>115</v>
      </c>
      <c r="C74" s="40"/>
      <c r="D74" s="70"/>
      <c r="E74" s="70"/>
      <c r="F74" s="70"/>
      <c r="G74" s="108"/>
      <c r="H74" s="70"/>
      <c r="I74" s="40"/>
      <c r="J74" s="109"/>
      <c r="K74" s="40"/>
      <c r="L74" s="40"/>
      <c r="M74" s="40"/>
      <c r="N74" s="40"/>
      <c r="O74" s="40"/>
      <c r="P74" s="40"/>
      <c r="Q74" s="40"/>
      <c r="R74" s="40"/>
      <c r="S74" s="40"/>
      <c r="T74" s="40"/>
      <c r="U74" s="40"/>
      <c r="V74" s="40"/>
      <c r="W74" s="40"/>
      <c r="X74" s="40"/>
      <c r="Y74" s="40"/>
      <c r="Z74" s="238"/>
      <c r="AA74" s="40"/>
      <c r="AB74" s="98">
        <f>6790+265-323-18</f>
        <v>6714</v>
      </c>
      <c r="AC74" s="43"/>
      <c r="AD74" s="22"/>
    </row>
    <row r="75" spans="1:30" s="23" customFormat="1" x14ac:dyDescent="0.3">
      <c r="A75" s="47"/>
      <c r="B75" s="40" t="s">
        <v>113</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181+4</f>
        <v>185</v>
      </c>
      <c r="AC75" s="43"/>
      <c r="AD75" s="22"/>
    </row>
    <row r="76" spans="1:30" s="23" customFormat="1" x14ac:dyDescent="0.3">
      <c r="A76" s="47"/>
      <c r="B76" s="40" t="s">
        <v>114</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v>0</v>
      </c>
      <c r="AC76" s="43"/>
      <c r="AD76" s="22"/>
    </row>
    <row r="77" spans="1:30" s="23" customFormat="1" x14ac:dyDescent="0.3">
      <c r="A77" s="47"/>
      <c r="B77" s="40" t="s">
        <v>120</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59" t="s">
        <v>224</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53</v>
      </c>
      <c r="AC78" s="43"/>
      <c r="AD78" s="22"/>
    </row>
    <row r="79" spans="1:30" s="23" customFormat="1" x14ac:dyDescent="0.3">
      <c r="A79" s="47"/>
      <c r="B79" s="59" t="s">
        <v>225</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0</v>
      </c>
      <c r="AC79" s="43"/>
      <c r="AD79" s="22"/>
    </row>
    <row r="80" spans="1:30" s="23" customFormat="1" x14ac:dyDescent="0.3">
      <c r="A80" s="47"/>
      <c r="B80" s="40" t="s">
        <v>232</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f>+AB167</f>
        <v>0</v>
      </c>
      <c r="AC80" s="43"/>
      <c r="AD80" s="22"/>
    </row>
    <row r="81" spans="1:30" s="23" customFormat="1" x14ac:dyDescent="0.3">
      <c r="A81" s="47"/>
      <c r="B81" s="40" t="s">
        <v>246</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v>0</v>
      </c>
      <c r="AC81" s="43"/>
      <c r="AD81" s="22"/>
    </row>
    <row r="82" spans="1:30" s="23" customFormat="1" x14ac:dyDescent="0.3">
      <c r="A82" s="47"/>
      <c r="B82" s="59" t="s">
        <v>233</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0</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8">
        <f>SUM(Z70:Z82)</f>
        <v>4087</v>
      </c>
      <c r="AA83" s="40"/>
      <c r="AB83" s="97">
        <f>SUM(AB70:AB82)</f>
        <v>6952</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8">
        <f>-AB84</f>
        <v>0</v>
      </c>
      <c r="AA84" s="40"/>
      <c r="AB84" s="98">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8"/>
      <c r="AA85" s="40"/>
      <c r="AB85" s="98">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8">
        <f>Z83+Z84</f>
        <v>4087</v>
      </c>
      <c r="AA86" s="40"/>
      <c r="AB86" s="97">
        <f>AB83+AB84+AB85</f>
        <v>6952</v>
      </c>
      <c r="AC86" s="43"/>
      <c r="AD86" s="22"/>
    </row>
    <row r="87" spans="1:30" x14ac:dyDescent="0.3">
      <c r="A87" s="110"/>
      <c r="B87" s="111" t="s">
        <v>27</v>
      </c>
      <c r="C87" s="59"/>
      <c r="D87" s="59"/>
      <c r="E87" s="59"/>
      <c r="F87" s="59"/>
      <c r="G87" s="59"/>
      <c r="H87" s="59"/>
      <c r="I87" s="59"/>
      <c r="J87" s="59"/>
      <c r="K87" s="59"/>
      <c r="L87" s="59"/>
      <c r="M87" s="59"/>
      <c r="N87" s="59"/>
      <c r="O87" s="59"/>
      <c r="P87" s="59"/>
      <c r="Q87" s="59"/>
      <c r="R87" s="59"/>
      <c r="S87" s="59"/>
      <c r="T87" s="59"/>
      <c r="U87" s="59"/>
      <c r="V87" s="59"/>
      <c r="W87" s="59"/>
      <c r="X87" s="59"/>
      <c r="Y87" s="59"/>
      <c r="Z87" s="238"/>
      <c r="AA87" s="112"/>
      <c r="AB87" s="113"/>
      <c r="AC87" s="114"/>
      <c r="AD87" s="5"/>
    </row>
    <row r="88" spans="1:30" x14ac:dyDescent="0.3">
      <c r="A88" s="110">
        <v>1</v>
      </c>
      <c r="B88" s="59" t="s">
        <v>138</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98">
        <v>0</v>
      </c>
      <c r="AC88" s="114"/>
      <c r="AD88" s="5"/>
    </row>
    <row r="89" spans="1:30" x14ac:dyDescent="0.3">
      <c r="A89" s="110">
        <v>2</v>
      </c>
      <c r="B89" s="59" t="s">
        <v>275</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-2</v>
      </c>
      <c r="AC89" s="114"/>
      <c r="AD89" s="5"/>
    </row>
    <row r="90" spans="1:30" x14ac:dyDescent="0.3">
      <c r="A90" s="110">
        <v>3</v>
      </c>
      <c r="B90" s="59" t="s">
        <v>247</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f>-381-1-8</f>
        <v>-390</v>
      </c>
      <c r="AC90" s="114"/>
      <c r="AD90" s="5"/>
    </row>
    <row r="91" spans="1:30" x14ac:dyDescent="0.3">
      <c r="A91" s="110">
        <v>4</v>
      </c>
      <c r="B91" s="59" t="s">
        <v>82</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v>-783</v>
      </c>
      <c r="AC91" s="114"/>
      <c r="AD91" s="5"/>
    </row>
    <row r="92" spans="1:30" x14ac:dyDescent="0.3">
      <c r="A92" s="110">
        <v>5</v>
      </c>
      <c r="B92" s="59" t="s">
        <v>129</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-1868</v>
      </c>
      <c r="AC92" s="114"/>
      <c r="AD92" s="5"/>
    </row>
    <row r="93" spans="1:30" x14ac:dyDescent="0.3">
      <c r="A93" s="110">
        <v>6</v>
      </c>
      <c r="B93" s="59" t="s">
        <v>150</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-164</v>
      </c>
      <c r="AC93" s="114"/>
      <c r="AD93" s="5"/>
    </row>
    <row r="94" spans="1:30" x14ac:dyDescent="0.3">
      <c r="A94" s="110">
        <v>7</v>
      </c>
      <c r="B94" s="59" t="s">
        <v>201</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0</v>
      </c>
      <c r="AC94" s="114"/>
      <c r="AD94" s="5"/>
    </row>
    <row r="95" spans="1:30" x14ac:dyDescent="0.3">
      <c r="A95" s="110">
        <v>8</v>
      </c>
      <c r="B95" s="59" t="s">
        <v>151</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-106</v>
      </c>
      <c r="AC95" s="114"/>
      <c r="AD95" s="5"/>
    </row>
    <row r="96" spans="1:30" x14ac:dyDescent="0.3">
      <c r="A96" s="110">
        <v>9</v>
      </c>
      <c r="B96" s="59" t="s">
        <v>180</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-124</v>
      </c>
      <c r="AC96" s="114"/>
      <c r="AD96" s="5"/>
    </row>
    <row r="97" spans="1:30" x14ac:dyDescent="0.3">
      <c r="A97" s="110">
        <v>10</v>
      </c>
      <c r="B97" s="59" t="s">
        <v>130</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0</v>
      </c>
      <c r="AC97" s="114"/>
      <c r="AD97" s="5"/>
    </row>
    <row r="98" spans="1:30" x14ac:dyDescent="0.3">
      <c r="A98" s="110">
        <v>11</v>
      </c>
      <c r="B98" s="59" t="s">
        <v>200</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0</v>
      </c>
      <c r="AC98" s="114"/>
      <c r="AD98" s="5"/>
    </row>
    <row r="99" spans="1:30" x14ac:dyDescent="0.3">
      <c r="A99" s="110">
        <v>12</v>
      </c>
      <c r="B99" s="59" t="s">
        <v>33</v>
      </c>
      <c r="C99" s="59"/>
      <c r="D99" s="59"/>
      <c r="E99" s="59"/>
      <c r="F99" s="59"/>
      <c r="G99" s="59"/>
      <c r="H99" s="59"/>
      <c r="I99" s="59"/>
      <c r="J99" s="59"/>
      <c r="K99" s="59"/>
      <c r="L99" s="59"/>
      <c r="M99" s="59"/>
      <c r="N99" s="59"/>
      <c r="O99" s="59"/>
      <c r="P99" s="59"/>
      <c r="Q99" s="59"/>
      <c r="R99" s="59"/>
      <c r="S99" s="59"/>
      <c r="T99" s="59"/>
      <c r="U99" s="59"/>
      <c r="V99" s="59"/>
      <c r="W99" s="59"/>
      <c r="X99" s="59"/>
      <c r="Y99" s="59"/>
      <c r="Z99" s="238">
        <f>-AB99</f>
        <v>1</v>
      </c>
      <c r="AA99" s="112"/>
      <c r="AB99" s="98">
        <v>-1</v>
      </c>
      <c r="AC99" s="114"/>
      <c r="AD99" s="5"/>
    </row>
    <row r="100" spans="1:30" x14ac:dyDescent="0.3">
      <c r="A100" s="110">
        <v>13</v>
      </c>
      <c r="B100" s="59" t="s">
        <v>276</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14</v>
      </c>
      <c r="B101" s="59" t="s">
        <v>277</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c r="AA101" s="112"/>
      <c r="AB101" s="98">
        <v>-100</v>
      </c>
      <c r="AC101" s="114"/>
      <c r="AD101" s="5"/>
    </row>
    <row r="102" spans="1:30" x14ac:dyDescent="0.3">
      <c r="A102" s="110">
        <v>15</v>
      </c>
      <c r="B102" s="59" t="s">
        <v>28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-30</v>
      </c>
      <c r="AC102" s="114"/>
      <c r="AD102" s="5"/>
    </row>
    <row r="103" spans="1:30" x14ac:dyDescent="0.3">
      <c r="A103" s="110">
        <v>16</v>
      </c>
      <c r="B103" s="59" t="s">
        <v>118</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0</v>
      </c>
      <c r="AC103" s="114"/>
      <c r="AD103" s="5"/>
    </row>
    <row r="104" spans="1:30" x14ac:dyDescent="0.3">
      <c r="A104" s="110">
        <v>17</v>
      </c>
      <c r="B104" s="59" t="s">
        <v>188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0</v>
      </c>
      <c r="AC104" s="114"/>
      <c r="AD104" s="5"/>
    </row>
    <row r="105" spans="1:30" x14ac:dyDescent="0.3">
      <c r="A105" s="110">
        <v>18</v>
      </c>
      <c r="B105" s="59" t="s">
        <v>162</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-196</v>
      </c>
      <c r="AC105" s="114"/>
      <c r="AD105" s="5"/>
    </row>
    <row r="106" spans="1:30" x14ac:dyDescent="0.3">
      <c r="A106" s="110">
        <v>19</v>
      </c>
      <c r="B106" s="59" t="s">
        <v>257</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-113</v>
      </c>
      <c r="AC106" s="114"/>
      <c r="AD106" s="5"/>
    </row>
    <row r="107" spans="1:30" x14ac:dyDescent="0.3">
      <c r="A107" s="110">
        <v>20</v>
      </c>
      <c r="B107" s="59" t="s">
        <v>258</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-53</v>
      </c>
      <c r="AC107" s="114"/>
      <c r="AD107" s="5"/>
    </row>
    <row r="108" spans="1:30" x14ac:dyDescent="0.3">
      <c r="A108" s="110">
        <v>21</v>
      </c>
      <c r="B108" s="59" t="s">
        <v>259</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-16</v>
      </c>
      <c r="AC108" s="114"/>
      <c r="AD108" s="5"/>
    </row>
    <row r="109" spans="1:30" x14ac:dyDescent="0.3">
      <c r="A109" s="110">
        <v>22</v>
      </c>
      <c r="B109" s="59" t="s">
        <v>260</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-1529</v>
      </c>
      <c r="AC109" s="114"/>
      <c r="AD109" s="5"/>
    </row>
    <row r="110" spans="1:30" x14ac:dyDescent="0.3">
      <c r="A110" s="110">
        <v>23</v>
      </c>
      <c r="B110" s="59" t="s">
        <v>131</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24</v>
      </c>
      <c r="B111" s="59" t="s">
        <v>137</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f>-43-182</f>
        <v>-225</v>
      </c>
      <c r="AC111" s="114"/>
      <c r="AD111" s="5"/>
    </row>
    <row r="112" spans="1:30" x14ac:dyDescent="0.3">
      <c r="A112" s="110">
        <v>25</v>
      </c>
      <c r="B112" s="59" t="s">
        <v>255</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-15</v>
      </c>
      <c r="AC112" s="114"/>
      <c r="AD112" s="5"/>
    </row>
    <row r="113" spans="1:30" x14ac:dyDescent="0.3">
      <c r="A113" s="110">
        <v>26</v>
      </c>
      <c r="B113" s="59" t="s">
        <v>226</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-1237</v>
      </c>
      <c r="AC113" s="114"/>
      <c r="AD113" s="5"/>
    </row>
    <row r="114" spans="1:30" x14ac:dyDescent="0.3">
      <c r="A114" s="110"/>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113"/>
      <c r="AC114" s="114"/>
      <c r="AD114" s="5"/>
    </row>
    <row r="115" spans="1:30" x14ac:dyDescent="0.3">
      <c r="A115" s="110"/>
      <c r="B115" s="111" t="s">
        <v>29</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112"/>
      <c r="AB115" s="116"/>
      <c r="AC115" s="114"/>
      <c r="AD115" s="5"/>
    </row>
    <row r="116" spans="1:30" x14ac:dyDescent="0.3">
      <c r="A116" s="110"/>
      <c r="B116" s="40" t="s">
        <v>227</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v>0</v>
      </c>
      <c r="AA116" s="112"/>
      <c r="AB116" s="116"/>
      <c r="AC116" s="114"/>
      <c r="AD116" s="5"/>
    </row>
    <row r="117" spans="1:30" s="23" customFormat="1" x14ac:dyDescent="0.3">
      <c r="A117" s="47"/>
      <c r="B117" s="40" t="s">
        <v>156</v>
      </c>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238">
        <v>0</v>
      </c>
      <c r="AA117" s="97"/>
      <c r="AB117" s="98"/>
      <c r="AC117" s="43"/>
      <c r="AD117" s="22"/>
    </row>
    <row r="118" spans="1:30" s="23" customFormat="1" x14ac:dyDescent="0.3">
      <c r="A118" s="47"/>
      <c r="B118" s="40" t="s">
        <v>157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8">
        <v>0</v>
      </c>
      <c r="AA118" s="97"/>
      <c r="AB118" s="98"/>
      <c r="AC118" s="43"/>
      <c r="AD118" s="22"/>
    </row>
    <row r="119" spans="1:30" s="23" customFormat="1" x14ac:dyDescent="0.3">
      <c r="A119" s="47"/>
      <c r="B119" s="40" t="s">
        <v>262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263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312</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-4084</v>
      </c>
      <c r="AA121" s="97"/>
      <c r="AB121" s="98"/>
      <c r="AC121" s="43"/>
      <c r="AD121" s="22"/>
    </row>
    <row r="122" spans="1:30" s="23" customFormat="1" x14ac:dyDescent="0.3">
      <c r="A122" s="47"/>
      <c r="B122" s="40" t="s">
        <v>142</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143</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0</v>
      </c>
      <c r="AA123" s="97"/>
      <c r="AB123" s="98"/>
      <c r="AC123" s="43"/>
      <c r="AD123" s="22"/>
    </row>
    <row r="124" spans="1:30" s="23" customFormat="1" x14ac:dyDescent="0.3">
      <c r="A124" s="47"/>
      <c r="B124" s="40" t="s">
        <v>173</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163</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189</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30</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f>SUM(Z116:Z126)</f>
        <v>-4084</v>
      </c>
      <c r="AA127" s="97"/>
      <c r="AB127" s="97">
        <f>SUM(AB87:AB125)</f>
        <v>-6952</v>
      </c>
      <c r="AC127" s="43"/>
      <c r="AD127" s="22"/>
    </row>
    <row r="128" spans="1:30" s="23" customFormat="1" x14ac:dyDescent="0.3">
      <c r="A128" s="47"/>
      <c r="B128" s="40" t="s">
        <v>31</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f>Z86+Z127+Z99</f>
        <v>4</v>
      </c>
      <c r="AA128" s="97"/>
      <c r="AB128" s="97">
        <f>AB86+AB127</f>
        <v>0</v>
      </c>
      <c r="AC128" s="43"/>
      <c r="AD128" s="22"/>
    </row>
    <row r="129" spans="1:30" s="23" customFormat="1" x14ac:dyDescent="0.3">
      <c r="A129" s="18"/>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106"/>
      <c r="AA129" s="106"/>
      <c r="AB129" s="106"/>
      <c r="AC129" s="21"/>
      <c r="AD129" s="22"/>
    </row>
    <row r="130" spans="1:30" s="23" customFormat="1" x14ac:dyDescent="0.3">
      <c r="A130" s="18"/>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117"/>
      <c r="AC130" s="21"/>
      <c r="AD130" s="22"/>
    </row>
    <row r="131" spans="1:30" s="23" customFormat="1" ht="18.600000000000001" thickBot="1" x14ac:dyDescent="0.4">
      <c r="A131" s="83"/>
      <c r="B131" s="84" t="str">
        <f>B53</f>
        <v>PM27 INVESTOR REPORT QUARTER ENDING DECEMBER 2020</v>
      </c>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118"/>
      <c r="AC131" s="87"/>
      <c r="AD131" s="22"/>
    </row>
    <row r="132" spans="1:30" x14ac:dyDescent="0.3">
      <c r="A132" s="119"/>
      <c r="B132" s="120" t="s">
        <v>32</v>
      </c>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2"/>
      <c r="AC132" s="123"/>
      <c r="AD132" s="5"/>
    </row>
    <row r="133" spans="1:30" x14ac:dyDescent="0.3">
      <c r="A133" s="7"/>
      <c r="B133" s="124"/>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1"/>
      <c r="AC133" s="10"/>
      <c r="AD133" s="5"/>
    </row>
    <row r="134" spans="1:30" x14ac:dyDescent="0.3">
      <c r="A134" s="7"/>
      <c r="B134" s="125" t="s">
        <v>192</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1"/>
      <c r="AC134" s="10"/>
      <c r="AD134" s="5"/>
    </row>
    <row r="135" spans="1:30" s="23" customFormat="1" x14ac:dyDescent="0.3">
      <c r="A135" s="47"/>
      <c r="B135" s="40" t="s">
        <v>199</v>
      </c>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98">
        <f>SUM(F29:H29)*1.5%</f>
        <v>10351.994999999999</v>
      </c>
      <c r="AC135" s="43"/>
      <c r="AD135" s="22"/>
    </row>
    <row r="136" spans="1:30" s="23" customFormat="1" x14ac:dyDescent="0.3">
      <c r="A136" s="47"/>
      <c r="B136" s="40" t="s">
        <v>204</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8">
        <f>+'September 2020'!AB143</f>
        <v>10332.994999999999</v>
      </c>
      <c r="AC136" s="43"/>
      <c r="AD136" s="22"/>
    </row>
    <row r="137" spans="1:30" s="23" customFormat="1" x14ac:dyDescent="0.3">
      <c r="A137" s="47"/>
      <c r="B137" s="40" t="s">
        <v>248</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8"/>
      <c r="AC137" s="43"/>
      <c r="AD137" s="22"/>
    </row>
    <row r="138" spans="1:30" s="23" customFormat="1" x14ac:dyDescent="0.3">
      <c r="A138" s="47"/>
      <c r="B138" s="40" t="s">
        <v>250</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v>0</v>
      </c>
      <c r="AC138" s="43"/>
      <c r="AD138" s="22"/>
    </row>
    <row r="139" spans="1:30" s="23" customFormat="1" x14ac:dyDescent="0.3">
      <c r="A139" s="47"/>
      <c r="B139" s="40" t="s">
        <v>198</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v>0</v>
      </c>
      <c r="AC139" s="43"/>
      <c r="AD139" s="22"/>
    </row>
    <row r="140" spans="1:30" s="23" customFormat="1" x14ac:dyDescent="0.3">
      <c r="A140" s="47"/>
      <c r="B140" s="40" t="s">
        <v>150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v>0</v>
      </c>
      <c r="AC140" s="43"/>
      <c r="AD140" s="22"/>
    </row>
    <row r="141" spans="1:30" s="23" customFormat="1" x14ac:dyDescent="0.3">
      <c r="A141" s="47"/>
      <c r="B141" s="40" t="s">
        <v>87</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251</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-53</v>
      </c>
      <c r="AC142" s="43"/>
      <c r="AD142" s="22"/>
    </row>
    <row r="143" spans="1:30" s="23" customFormat="1" x14ac:dyDescent="0.3">
      <c r="A143" s="47"/>
      <c r="B143" s="40" t="s">
        <v>203</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f>SUM(AB136:AB142)</f>
        <v>10279.994999999999</v>
      </c>
      <c r="AC143" s="43"/>
      <c r="AD143" s="22"/>
    </row>
    <row r="144" spans="1:30" x14ac:dyDescent="0.3">
      <c r="A144" s="7"/>
      <c r="B144" s="124"/>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1"/>
      <c r="AC144" s="10"/>
      <c r="AD144" s="5"/>
    </row>
    <row r="145" spans="1:30" x14ac:dyDescent="0.3">
      <c r="A145" s="7"/>
      <c r="B145" s="125" t="s">
        <v>190</v>
      </c>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1"/>
      <c r="AC145" s="10"/>
      <c r="AD145" s="5"/>
    </row>
    <row r="146" spans="1:30" s="23" customFormat="1" x14ac:dyDescent="0.3">
      <c r="A146" s="47"/>
      <c r="B146" s="59" t="s">
        <v>191</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SUM(J29:L29)*1.5%</f>
        <v>684.42</v>
      </c>
      <c r="AC146" s="43"/>
      <c r="AD146" s="22"/>
    </row>
    <row r="147" spans="1:30" s="23" customFormat="1" x14ac:dyDescent="0.3">
      <c r="A147" s="47"/>
      <c r="B147" s="59" t="s">
        <v>205</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8">
        <f>SUM(J29:L29)*0.015</f>
        <v>684.42</v>
      </c>
      <c r="AC147" s="43"/>
      <c r="AD147" s="22"/>
    </row>
    <row r="148" spans="1:30" s="23" customFormat="1" x14ac:dyDescent="0.3">
      <c r="A148" s="47"/>
      <c r="B148" s="59" t="s">
        <v>93</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8"/>
      <c r="AC148" s="43"/>
      <c r="AD148" s="22"/>
    </row>
    <row r="149" spans="1:30" s="23" customFormat="1" x14ac:dyDescent="0.3">
      <c r="A149" s="47"/>
      <c r="B149" s="40" t="s">
        <v>250</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v>0</v>
      </c>
      <c r="AC149" s="43"/>
      <c r="AD149" s="22"/>
    </row>
    <row r="150" spans="1:30" s="23" customFormat="1" x14ac:dyDescent="0.3">
      <c r="A150" s="47"/>
      <c r="B150" s="59" t="s">
        <v>129</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v>0</v>
      </c>
      <c r="AC150" s="43"/>
      <c r="AD150" s="22"/>
    </row>
    <row r="151" spans="1:30" s="23" customFormat="1" x14ac:dyDescent="0.3">
      <c r="A151" s="47"/>
      <c r="B151" s="59" t="s">
        <v>150</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v>0</v>
      </c>
      <c r="AC151" s="43"/>
      <c r="AD151" s="22"/>
    </row>
    <row r="152" spans="1:30" s="23" customFormat="1" x14ac:dyDescent="0.3">
      <c r="A152" s="47"/>
      <c r="B152" s="59" t="s">
        <v>151</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0" s="23" customFormat="1" x14ac:dyDescent="0.3">
      <c r="A153" s="47"/>
      <c r="B153" s="59" t="s">
        <v>180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0" s="23" customFormat="1" x14ac:dyDescent="0.3">
      <c r="A154" s="47"/>
      <c r="B154" s="59" t="s">
        <v>87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0" s="23" customFormat="1" x14ac:dyDescent="0.3">
      <c r="A155" s="47"/>
      <c r="B155" s="40" t="s">
        <v>251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0" s="23" customFormat="1" x14ac:dyDescent="0.3">
      <c r="A156" s="47"/>
      <c r="B156" s="59" t="s">
        <v>202</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f>SUM(AB147:AB155)</f>
        <v>684.42</v>
      </c>
      <c r="AC156" s="43"/>
      <c r="AD156" s="22"/>
    </row>
    <row r="157" spans="1:30" x14ac:dyDescent="0.3">
      <c r="A157" s="7"/>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126"/>
      <c r="AC157" s="10"/>
      <c r="AD157" s="5"/>
    </row>
    <row r="158" spans="1:30" x14ac:dyDescent="0.3">
      <c r="A158" s="7"/>
      <c r="B158" s="125" t="s">
        <v>174</v>
      </c>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8"/>
      <c r="AC158" s="10"/>
      <c r="AD158" s="5"/>
    </row>
    <row r="159" spans="1:30" s="23" customFormat="1" x14ac:dyDescent="0.3">
      <c r="A159" s="129"/>
      <c r="B159" s="230" t="s">
        <v>281</v>
      </c>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1">
        <f>+'September 2020'!AB162</f>
        <v>629</v>
      </c>
      <c r="AC159" s="132"/>
      <c r="AD159" s="22"/>
    </row>
    <row r="160" spans="1:30" s="23" customFormat="1" x14ac:dyDescent="0.3">
      <c r="A160" s="129"/>
      <c r="B160" s="230" t="s">
        <v>175</v>
      </c>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1">
        <f>X64</f>
        <v>-77</v>
      </c>
      <c r="AC160" s="132"/>
      <c r="AD160" s="22"/>
    </row>
    <row r="161" spans="1:262" s="23" customFormat="1" x14ac:dyDescent="0.3">
      <c r="A161" s="129"/>
      <c r="B161" s="230" t="s">
        <v>249</v>
      </c>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1">
        <v>0</v>
      </c>
      <c r="AC161" s="132"/>
      <c r="AD161" s="22"/>
    </row>
    <row r="162" spans="1:262" s="23" customFormat="1" x14ac:dyDescent="0.3">
      <c r="A162" s="129"/>
      <c r="B162" s="230" t="s">
        <v>176</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AB159+AB160</f>
        <v>552</v>
      </c>
      <c r="AC162" s="132"/>
      <c r="AD162" s="22"/>
    </row>
    <row r="163" spans="1:262" x14ac:dyDescent="0.3">
      <c r="A163" s="7"/>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126"/>
      <c r="AC163" s="10"/>
      <c r="AD163" s="5"/>
    </row>
    <row r="164" spans="1:262" x14ac:dyDescent="0.3">
      <c r="A164" s="7"/>
      <c r="B164" s="125" t="s">
        <v>34</v>
      </c>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133"/>
      <c r="AC164" s="10"/>
      <c r="AD164" s="5"/>
    </row>
    <row r="165" spans="1:262" s="23" customFormat="1" x14ac:dyDescent="0.3">
      <c r="A165" s="47"/>
      <c r="B165" s="40" t="s">
        <v>35</v>
      </c>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98">
        <v>0</v>
      </c>
      <c r="AC165" s="43"/>
      <c r="AD165" s="22"/>
    </row>
    <row r="166" spans="1:262" s="23" customFormat="1" x14ac:dyDescent="0.3">
      <c r="A166" s="47"/>
      <c r="B166" s="40" t="s">
        <v>36</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8">
        <v>1</v>
      </c>
      <c r="AC166" s="43"/>
      <c r="AD166" s="22"/>
    </row>
    <row r="167" spans="1:262" s="23" customFormat="1" x14ac:dyDescent="0.3">
      <c r="A167" s="47"/>
      <c r="B167" s="40" t="s">
        <v>219</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8">
        <v>0</v>
      </c>
      <c r="AC167" s="43"/>
      <c r="AD167" s="22"/>
    </row>
    <row r="168" spans="1:262" s="23" customFormat="1" x14ac:dyDescent="0.3">
      <c r="A168" s="47"/>
      <c r="B168" s="40" t="s">
        <v>37</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AB166+AB165+AB167</f>
        <v>1</v>
      </c>
      <c r="AC168" s="43"/>
      <c r="AD168" s="22"/>
    </row>
    <row r="169" spans="1:262" s="23" customFormat="1" x14ac:dyDescent="0.3">
      <c r="A169" s="47"/>
      <c r="B169" s="40" t="s">
        <v>268</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f>+AB99</f>
        <v>-1</v>
      </c>
      <c r="AC169" s="43"/>
      <c r="AD169" s="22"/>
    </row>
    <row r="170" spans="1:262" s="23" customFormat="1" x14ac:dyDescent="0.3">
      <c r="A170" s="47"/>
      <c r="B170" s="40" t="s">
        <v>38</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f>AB168+AB169</f>
        <v>0</v>
      </c>
      <c r="AC170" s="43"/>
      <c r="AD170" s="22"/>
    </row>
    <row r="171" spans="1:262" s="23" customFormat="1" x14ac:dyDescent="0.3">
      <c r="A171" s="47"/>
      <c r="B171" s="40" t="s">
        <v>124</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-AB85</f>
        <v>0</v>
      </c>
      <c r="AC171" s="43"/>
      <c r="AD171" s="22"/>
    </row>
    <row r="172" spans="1:262" ht="16.2" thickBot="1" x14ac:dyDescent="0.35">
      <c r="A172" s="7"/>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126"/>
      <c r="AC172" s="10"/>
      <c r="AD172" s="5"/>
    </row>
    <row r="173" spans="1:262" x14ac:dyDescent="0.3">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134"/>
      <c r="AC173" s="4"/>
      <c r="AD173" s="5"/>
    </row>
    <row r="174" spans="1:262" s="136" customFormat="1" x14ac:dyDescent="0.3">
      <c r="A174" s="7"/>
      <c r="B174" s="125" t="s">
        <v>193</v>
      </c>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135"/>
      <c r="AC174" s="10"/>
      <c r="AD174" s="5"/>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row>
    <row r="175" spans="1:262" s="137" customFormat="1" x14ac:dyDescent="0.3">
      <c r="A175" s="47"/>
      <c r="B175" s="40" t="s">
        <v>332</v>
      </c>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98">
        <v>0</v>
      </c>
      <c r="AC175" s="43"/>
      <c r="AD175" s="22"/>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row>
    <row r="176" spans="1:262" s="137" customFormat="1" x14ac:dyDescent="0.3">
      <c r="A176" s="47"/>
      <c r="B176" s="40" t="s">
        <v>210</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8">
        <f>+'September 2020'!AB179</f>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7" customFormat="1" x14ac:dyDescent="0.3">
      <c r="A177" s="47"/>
      <c r="B177" s="40" t="s">
        <v>234</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8">
        <f>-AB185</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7" customFormat="1" x14ac:dyDescent="0.3">
      <c r="A178" s="47"/>
      <c r="B178" s="40" t="s">
        <v>236</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f>+AB81</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207</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+AB176+AB177-AB178</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9" customFormat="1" ht="16.2" thickBot="1" x14ac:dyDescent="0.35">
      <c r="A180" s="138"/>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126"/>
      <c r="AC180" s="10"/>
      <c r="AD180" s="5"/>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row>
    <row r="181" spans="1:262" x14ac:dyDescent="0.3">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134"/>
      <c r="AC181" s="4"/>
      <c r="AD181" s="5"/>
    </row>
    <row r="182" spans="1:262" s="136" customFormat="1" x14ac:dyDescent="0.3">
      <c r="A182" s="7"/>
      <c r="B182" s="125" t="s">
        <v>206</v>
      </c>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135"/>
      <c r="AC182" s="10"/>
      <c r="AD182" s="5"/>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row>
    <row r="183" spans="1:262" s="137" customFormat="1" x14ac:dyDescent="0.3">
      <c r="A183" s="47"/>
      <c r="B183" s="40" t="s">
        <v>208</v>
      </c>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98">
        <v>300</v>
      </c>
      <c r="AC183" s="43"/>
      <c r="AD183" s="22"/>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row>
    <row r="184" spans="1:262" s="137" customFormat="1" x14ac:dyDescent="0.3">
      <c r="A184" s="47"/>
      <c r="B184" s="40" t="s">
        <v>211</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98">
        <f>+'September 2020'!AB187</f>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7" customFormat="1" x14ac:dyDescent="0.3">
      <c r="A185" s="47"/>
      <c r="B185" s="59" t="s">
        <v>228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8">
        <v>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7" customFormat="1" x14ac:dyDescent="0.3">
      <c r="A186" s="47"/>
      <c r="B186" s="59" t="s">
        <v>229</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f>-AB100</f>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209</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AB183-AB185+AB186</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9" customFormat="1" ht="16.2" thickBot="1" x14ac:dyDescent="0.35">
      <c r="A188" s="138"/>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126"/>
      <c r="AC188" s="10"/>
      <c r="AD188" s="5"/>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row>
    <row r="189" spans="1:262" x14ac:dyDescent="0.3">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134"/>
      <c r="AC189" s="4"/>
      <c r="AD189" s="5"/>
    </row>
    <row r="190" spans="1:262" s="136" customFormat="1" x14ac:dyDescent="0.3">
      <c r="A190" s="7"/>
      <c r="B190" s="125" t="s">
        <v>212</v>
      </c>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135"/>
      <c r="AC190" s="10"/>
      <c r="AD190" s="5"/>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row>
    <row r="191" spans="1:262" s="137" customFormat="1" x14ac:dyDescent="0.3">
      <c r="A191" s="47"/>
      <c r="B191" s="40" t="s">
        <v>334</v>
      </c>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98">
        <v>0</v>
      </c>
      <c r="AC191" s="43"/>
      <c r="AD191" s="22"/>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row>
    <row r="192" spans="1:262" s="137" customFormat="1" x14ac:dyDescent="0.3">
      <c r="A192" s="47"/>
      <c r="B192" s="40" t="s">
        <v>213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98">
        <f>+'September 2020'!AB195</f>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7" customFormat="1" x14ac:dyDescent="0.3">
      <c r="A193" s="47"/>
      <c r="B193" s="40" t="s">
        <v>235</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8">
        <f>AB201</f>
        <v>0</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7"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f>AB82</f>
        <v>0</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346</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AB192+AB193-AB194</f>
        <v>0</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9" customFormat="1" ht="16.2" thickBot="1" x14ac:dyDescent="0.35">
      <c r="A196" s="138"/>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126"/>
      <c r="AC196" s="10"/>
      <c r="AD196" s="5"/>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row>
    <row r="197" spans="1:262" x14ac:dyDescent="0.3">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134"/>
      <c r="AC197" s="4"/>
      <c r="AD197" s="5"/>
    </row>
    <row r="198" spans="1:262" s="136" customFormat="1" x14ac:dyDescent="0.3">
      <c r="A198" s="7"/>
      <c r="B198" s="125" t="s">
        <v>333</v>
      </c>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135"/>
      <c r="AC198" s="10"/>
      <c r="AD198" s="5"/>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row>
    <row r="199" spans="1:262" s="137" customFormat="1" x14ac:dyDescent="0.3">
      <c r="A199" s="47"/>
      <c r="B199" s="40" t="s">
        <v>214</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v>301</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7" customFormat="1" x14ac:dyDescent="0.3">
      <c r="A200" s="47"/>
      <c r="B200" s="40" t="s">
        <v>215</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98">
        <f>+'September 2020'!AB203</f>
        <v>301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7" customFormat="1" x14ac:dyDescent="0.3">
      <c r="A201" s="47"/>
      <c r="B201" s="59" t="s">
        <v>256</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8">
        <v>0</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7" customFormat="1" x14ac:dyDescent="0.3">
      <c r="A202" s="47"/>
      <c r="B202" s="59" t="s">
        <v>231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f>-AB101</f>
        <v>100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AB199-AB201+AB202</f>
        <v>401</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9" customFormat="1" ht="16.2" thickBot="1" x14ac:dyDescent="0.35">
      <c r="A204" s="138"/>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126"/>
      <c r="AC204" s="10"/>
      <c r="AD204" s="5"/>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row>
    <row r="205" spans="1:262" x14ac:dyDescent="0.3">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134"/>
      <c r="AC205" s="4"/>
      <c r="AD205" s="5"/>
    </row>
    <row r="206" spans="1:262" s="136" customFormat="1" x14ac:dyDescent="0.3">
      <c r="A206" s="7"/>
      <c r="B206" s="125" t="s">
        <v>237</v>
      </c>
      <c r="C206" s="99"/>
      <c r="D206" s="99"/>
      <c r="E206" s="99"/>
      <c r="F206" s="99"/>
      <c r="G206" s="99"/>
      <c r="H206" s="99"/>
      <c r="I206" s="99"/>
      <c r="J206" s="99"/>
      <c r="K206" s="99"/>
      <c r="L206" s="99"/>
      <c r="M206" s="99"/>
      <c r="N206" s="99"/>
      <c r="O206" s="99"/>
      <c r="P206" s="99"/>
      <c r="Q206" s="99"/>
      <c r="R206" s="99"/>
      <c r="S206" s="99"/>
      <c r="T206" s="99"/>
      <c r="U206" s="99"/>
      <c r="V206" s="99"/>
      <c r="W206" s="99"/>
      <c r="X206" s="99"/>
      <c r="Y206" s="233" t="s">
        <v>243</v>
      </c>
      <c r="Z206" s="233" t="s">
        <v>244</v>
      </c>
      <c r="AA206" s="12"/>
      <c r="AB206" s="234" t="s">
        <v>80</v>
      </c>
      <c r="AC206" s="10"/>
      <c r="AD206" s="5"/>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row>
    <row r="207" spans="1:262" s="137" customFormat="1" x14ac:dyDescent="0.3">
      <c r="A207" s="47"/>
      <c r="B207" s="40" t="s">
        <v>238</v>
      </c>
      <c r="C207" s="40"/>
      <c r="D207" s="40"/>
      <c r="E207" s="40"/>
      <c r="F207" s="40"/>
      <c r="G207" s="40"/>
      <c r="H207" s="40"/>
      <c r="I207" s="40"/>
      <c r="J207" s="40"/>
      <c r="K207" s="40"/>
      <c r="L207" s="40"/>
      <c r="M207" s="40"/>
      <c r="N207" s="40"/>
      <c r="O207" s="40"/>
      <c r="P207" s="40"/>
      <c r="Q207" s="40"/>
      <c r="R207" s="40"/>
      <c r="S207" s="40"/>
      <c r="T207" s="40"/>
      <c r="U207" s="40"/>
      <c r="V207" s="40"/>
      <c r="W207" s="40"/>
      <c r="X207" s="40"/>
      <c r="Y207" s="98">
        <f>SUM(F29:R29)*0.16</f>
        <v>124206.40000000001</v>
      </c>
      <c r="Z207" s="70"/>
      <c r="AA207" s="40"/>
      <c r="AB207" s="98"/>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7" customFormat="1" x14ac:dyDescent="0.3">
      <c r="A208" s="47"/>
      <c r="B208" s="40" t="s">
        <v>239</v>
      </c>
      <c r="C208" s="40"/>
      <c r="D208" s="40"/>
      <c r="E208" s="40"/>
      <c r="F208" s="40"/>
      <c r="G208" s="40"/>
      <c r="H208" s="40"/>
      <c r="I208" s="40"/>
      <c r="J208" s="40"/>
      <c r="K208" s="40"/>
      <c r="L208" s="40"/>
      <c r="M208" s="40"/>
      <c r="N208" s="40"/>
      <c r="O208" s="40"/>
      <c r="P208" s="40"/>
      <c r="Q208" s="40"/>
      <c r="R208" s="40"/>
      <c r="S208" s="40"/>
      <c r="T208" s="40"/>
      <c r="U208" s="40"/>
      <c r="V208" s="40"/>
      <c r="W208" s="40"/>
      <c r="X208" s="40"/>
      <c r="Y208" s="98">
        <f>+'September 2020'!Y210</f>
        <v>0</v>
      </c>
      <c r="Z208" s="98">
        <f>+'September 2020'!Z210</f>
        <v>183</v>
      </c>
      <c r="AA208" s="40"/>
      <c r="AB208" s="98">
        <f>Y208+Z208</f>
        <v>183</v>
      </c>
      <c r="AC208" s="43"/>
      <c r="AD208" s="22"/>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row>
    <row r="209" spans="1:262" s="137" customFormat="1" x14ac:dyDescent="0.3">
      <c r="A209" s="47"/>
      <c r="B209" s="40" t="s">
        <v>240</v>
      </c>
      <c r="C209" s="40"/>
      <c r="D209" s="40"/>
      <c r="E209" s="40"/>
      <c r="F209" s="40"/>
      <c r="G209" s="40"/>
      <c r="H209" s="40"/>
      <c r="I209" s="40"/>
      <c r="J209" s="40"/>
      <c r="K209" s="40"/>
      <c r="L209" s="40"/>
      <c r="M209" s="40"/>
      <c r="N209" s="40"/>
      <c r="O209" s="40"/>
      <c r="P209" s="40"/>
      <c r="Q209" s="40"/>
      <c r="R209" s="40"/>
      <c r="S209" s="40"/>
      <c r="T209" s="40"/>
      <c r="U209" s="40"/>
      <c r="V209" s="40"/>
      <c r="W209" s="40"/>
      <c r="X209" s="40"/>
      <c r="Y209" s="97">
        <v>0</v>
      </c>
      <c r="Z209" s="97">
        <v>77</v>
      </c>
      <c r="AA209" s="40"/>
      <c r="AB209" s="98">
        <f>Y209+Z209</f>
        <v>77</v>
      </c>
      <c r="AC209" s="43"/>
      <c r="AD209" s="22"/>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row>
    <row r="210" spans="1:262" s="137" customFormat="1" x14ac:dyDescent="0.3">
      <c r="A210" s="47"/>
      <c r="B210" s="40" t="s">
        <v>241</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Y208+Y209</f>
        <v>0</v>
      </c>
      <c r="Z210" s="98">
        <f>Z209+Z208</f>
        <v>260</v>
      </c>
      <c r="AA210" s="40"/>
      <c r="AB210" s="98">
        <f>Y210+Z210</f>
        <v>260</v>
      </c>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242</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Y207-Y210-Z210</f>
        <v>123946.40000000001</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9" customFormat="1" ht="16.2" thickBot="1" x14ac:dyDescent="0.35">
      <c r="A212" s="138"/>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126"/>
      <c r="AC212" s="10"/>
      <c r="AD212" s="5"/>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row>
    <row r="213" spans="1:262" x14ac:dyDescent="0.3">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134"/>
      <c r="AC213" s="4"/>
      <c r="AD213" s="5"/>
    </row>
    <row r="214" spans="1:262" s="136" customFormat="1" x14ac:dyDescent="0.3">
      <c r="A214" s="7"/>
      <c r="B214" s="125" t="s">
        <v>267</v>
      </c>
      <c r="C214" s="99"/>
      <c r="D214" s="99"/>
      <c r="E214" s="99"/>
      <c r="F214" s="99"/>
      <c r="G214" s="99"/>
      <c r="H214" s="99"/>
      <c r="I214" s="99"/>
      <c r="J214" s="99"/>
      <c r="K214" s="99"/>
      <c r="L214" s="99"/>
      <c r="M214" s="99"/>
      <c r="N214" s="99"/>
      <c r="O214" s="99"/>
      <c r="P214" s="99"/>
      <c r="Q214" s="99"/>
      <c r="R214" s="99"/>
      <c r="S214" s="99"/>
      <c r="T214" s="99"/>
      <c r="U214" s="99"/>
      <c r="V214" s="99"/>
      <c r="W214" s="99"/>
      <c r="X214" s="99"/>
      <c r="Y214" s="233"/>
      <c r="Z214" s="233"/>
      <c r="AA214" s="12"/>
      <c r="AB214" s="234" t="s">
        <v>80</v>
      </c>
      <c r="AC214" s="10"/>
      <c r="AD214" s="5"/>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row>
    <row r="215" spans="1:262" s="137" customFormat="1" x14ac:dyDescent="0.3">
      <c r="A215" s="47"/>
      <c r="B215" s="40" t="s">
        <v>265</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c r="Z215" s="70"/>
      <c r="AA215" s="40"/>
      <c r="AB215" s="237">
        <v>753000</v>
      </c>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7" customFormat="1" x14ac:dyDescent="0.3">
      <c r="A216" s="47"/>
      <c r="B216" s="40" t="s">
        <v>325</v>
      </c>
      <c r="C216" s="40"/>
      <c r="D216" s="40"/>
      <c r="E216" s="40"/>
      <c r="F216" s="40"/>
      <c r="G216" s="40"/>
      <c r="H216" s="40"/>
      <c r="I216" s="40"/>
      <c r="J216" s="40"/>
      <c r="K216" s="40"/>
      <c r="L216" s="40"/>
      <c r="M216" s="40"/>
      <c r="N216" s="40"/>
      <c r="O216" s="40"/>
      <c r="P216" s="40"/>
      <c r="Q216" s="40"/>
      <c r="R216" s="40"/>
      <c r="S216" s="40"/>
      <c r="T216" s="40"/>
      <c r="U216" s="40"/>
      <c r="V216" s="40"/>
      <c r="W216" s="40"/>
      <c r="X216" s="40"/>
      <c r="Y216" s="98"/>
      <c r="Z216" s="98"/>
      <c r="AA216" s="40"/>
      <c r="AB216" s="237">
        <v>750995</v>
      </c>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7" customFormat="1" x14ac:dyDescent="0.3">
      <c r="A217" s="47"/>
      <c r="B217" s="40" t="s">
        <v>266</v>
      </c>
      <c r="C217" s="40"/>
      <c r="D217" s="40"/>
      <c r="E217" s="40"/>
      <c r="F217" s="40"/>
      <c r="G217" s="40"/>
      <c r="H217" s="40"/>
      <c r="I217" s="40"/>
      <c r="J217" s="40"/>
      <c r="K217" s="40"/>
      <c r="L217" s="40"/>
      <c r="M217" s="40"/>
      <c r="N217" s="40"/>
      <c r="O217" s="40"/>
      <c r="P217" s="40"/>
      <c r="Q217" s="40"/>
      <c r="R217" s="40"/>
      <c r="S217" s="40"/>
      <c r="T217" s="40"/>
      <c r="U217" s="40"/>
      <c r="V217" s="40"/>
      <c r="W217" s="40"/>
      <c r="X217" s="40"/>
      <c r="Y217" s="98"/>
      <c r="Z217" s="98"/>
      <c r="AA217" s="40"/>
      <c r="AB217" s="98">
        <f>AB215-AB216</f>
        <v>2005</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7" customFormat="1" x14ac:dyDescent="0.3">
      <c r="A218" s="47"/>
      <c r="B218" s="40" t="s">
        <v>279</v>
      </c>
      <c r="C218" s="40"/>
      <c r="D218" s="40"/>
      <c r="E218" s="40"/>
      <c r="F218" s="40"/>
      <c r="G218" s="40"/>
      <c r="H218" s="40"/>
      <c r="I218" s="40"/>
      <c r="J218" s="40"/>
      <c r="K218" s="40"/>
      <c r="L218" s="40"/>
      <c r="M218" s="40"/>
      <c r="N218" s="40"/>
      <c r="O218" s="40"/>
      <c r="P218" s="40"/>
      <c r="Q218" s="40"/>
      <c r="R218" s="40"/>
      <c r="S218" s="40"/>
      <c r="T218" s="40"/>
      <c r="U218" s="40"/>
      <c r="V218" s="40"/>
      <c r="W218" s="40"/>
      <c r="X218" s="40"/>
      <c r="Y218" s="97"/>
      <c r="Z218" s="97"/>
      <c r="AA218" s="40"/>
      <c r="AB218" s="240">
        <v>4.5999999999999999E-3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9" customFormat="1" ht="16.2" thickBot="1" x14ac:dyDescent="0.35">
      <c r="A219" s="138"/>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126"/>
      <c r="AC219" s="10"/>
      <c r="AD219" s="5"/>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row>
    <row r="220" spans="1:262" x14ac:dyDescent="0.3">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134"/>
      <c r="AC220" s="4"/>
      <c r="AD220" s="5"/>
    </row>
    <row r="221" spans="1:262" x14ac:dyDescent="0.3">
      <c r="A221" s="7"/>
      <c r="B221" s="125" t="s">
        <v>39</v>
      </c>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140"/>
      <c r="AC221" s="10"/>
      <c r="AD221" s="5"/>
    </row>
    <row r="222" spans="1:262" s="23" customFormat="1" x14ac:dyDescent="0.3">
      <c r="A222" s="47"/>
      <c r="B222" s="40" t="s">
        <v>40</v>
      </c>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142">
        <f>(AB86+AB88+AB89+AB90+AB91)/-AB92</f>
        <v>3.0926124197002141</v>
      </c>
      <c r="AC222" s="43" t="s">
        <v>81</v>
      </c>
      <c r="AD222" s="22"/>
    </row>
    <row r="223" spans="1:262" s="23" customFormat="1" x14ac:dyDescent="0.3">
      <c r="A223" s="47"/>
      <c r="B223" s="40" t="s">
        <v>41</v>
      </c>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142">
        <v>2.62</v>
      </c>
      <c r="AC223" s="43" t="s">
        <v>81</v>
      </c>
      <c r="AD223" s="22"/>
    </row>
    <row r="224" spans="1:262" s="23" customFormat="1" x14ac:dyDescent="0.3">
      <c r="A224" s="47"/>
      <c r="B224" s="40" t="s">
        <v>144</v>
      </c>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141">
        <f>(AB86+AB88+AB89+AB90+AB91+AB92)/-(AB93)</f>
        <v>23.835365853658537</v>
      </c>
      <c r="AC224" s="43" t="s">
        <v>81</v>
      </c>
      <c r="AD224" s="22"/>
    </row>
    <row r="225" spans="1:30" s="23" customFormat="1" x14ac:dyDescent="0.3">
      <c r="A225" s="47"/>
      <c r="B225" s="40" t="s">
        <v>145</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v>18.55</v>
      </c>
      <c r="AC225" s="43" t="s">
        <v>81</v>
      </c>
      <c r="AD225" s="22"/>
    </row>
    <row r="226" spans="1:30" s="23" customFormat="1" x14ac:dyDescent="0.3">
      <c r="A226" s="47"/>
      <c r="B226" s="40" t="s">
        <v>146</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1">
        <f>(AB86+AB88+AB89+AB90+AB91+AB92+AB93)/-(AB95)</f>
        <v>35.330188679245282</v>
      </c>
      <c r="AC226" s="43" t="s">
        <v>81</v>
      </c>
      <c r="AD226" s="22"/>
    </row>
    <row r="227" spans="1:30" s="23" customFormat="1" x14ac:dyDescent="0.3">
      <c r="A227" s="47"/>
      <c r="B227" s="40" t="s">
        <v>147</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26.96</v>
      </c>
      <c r="AC227" s="43" t="s">
        <v>81</v>
      </c>
      <c r="AD227" s="22"/>
    </row>
    <row r="228" spans="1:30" s="23" customFormat="1" x14ac:dyDescent="0.3">
      <c r="A228" s="47"/>
      <c r="B228" s="40" t="s">
        <v>177</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(AB86+AB88+AB89+AB90+AB91+AB92+AB93+AB95)/-(AB96)</f>
        <v>29.346774193548388</v>
      </c>
      <c r="AC228" s="43" t="s">
        <v>81</v>
      </c>
      <c r="AD228" s="22"/>
    </row>
    <row r="229" spans="1:30" s="23" customFormat="1" x14ac:dyDescent="0.3">
      <c r="A229" s="47"/>
      <c r="B229" s="40" t="s">
        <v>178</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22.34</v>
      </c>
      <c r="AC229" s="43" t="s">
        <v>81</v>
      </c>
      <c r="AD229" s="22"/>
    </row>
    <row r="230" spans="1:30" s="23" customFormat="1" x14ac:dyDescent="0.3">
      <c r="A230" s="47"/>
      <c r="B230" s="40" t="s">
        <v>164</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(AB86+AB88+AB89+AB90+AB91+AB92+AB93+AB95+AB96)/-(AB105)</f>
        <v>17.933673469387756</v>
      </c>
      <c r="AC230" s="43" t="s">
        <v>81</v>
      </c>
      <c r="AD230" s="22"/>
    </row>
    <row r="231" spans="1:30" s="23" customFormat="1" x14ac:dyDescent="0.3">
      <c r="A231" s="47"/>
      <c r="B231" s="40" t="s">
        <v>165</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13.47</v>
      </c>
      <c r="AC231" s="43" t="s">
        <v>81</v>
      </c>
      <c r="AD231" s="22"/>
    </row>
    <row r="232" spans="1:30" s="23" customFormat="1" x14ac:dyDescent="0.3">
      <c r="A232" s="18"/>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21"/>
      <c r="AD232" s="22"/>
    </row>
    <row r="233" spans="1:30" s="23" customFormat="1" x14ac:dyDescent="0.3">
      <c r="A233" s="18"/>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1"/>
      <c r="AD233" s="22"/>
    </row>
    <row r="234" spans="1:30" s="23" customFormat="1" ht="18.600000000000001" thickBot="1" x14ac:dyDescent="0.4">
      <c r="A234" s="83"/>
      <c r="B234" s="84" t="str">
        <f>B131</f>
        <v>PM27 INVESTOR REPORT QUARTER ENDING DECEMBER 2020</v>
      </c>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7"/>
      <c r="AD234" s="22"/>
    </row>
    <row r="235" spans="1:30" x14ac:dyDescent="0.3">
      <c r="A235" s="119"/>
      <c r="B235" s="120" t="s">
        <v>42</v>
      </c>
      <c r="C235" s="143"/>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v>44196</v>
      </c>
      <c r="AA235" s="121"/>
      <c r="AB235" s="121"/>
      <c r="AC235" s="123"/>
      <c r="AD235" s="5"/>
    </row>
    <row r="236" spans="1:30" x14ac:dyDescent="0.3">
      <c r="A236" s="145"/>
      <c r="B236" s="146"/>
      <c r="C236" s="147"/>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9"/>
      <c r="AB236" s="9"/>
      <c r="AC236" s="10"/>
      <c r="AD236" s="5"/>
    </row>
    <row r="237" spans="1:30" s="23" customFormat="1" x14ac:dyDescent="0.3">
      <c r="A237" s="47"/>
      <c r="B237" s="40" t="s">
        <v>43</v>
      </c>
      <c r="C237" s="149"/>
      <c r="D237" s="73"/>
      <c r="E237" s="73"/>
      <c r="F237" s="73"/>
      <c r="G237" s="73"/>
      <c r="H237" s="73"/>
      <c r="I237" s="73"/>
      <c r="J237" s="73"/>
      <c r="K237" s="73"/>
      <c r="L237" s="73"/>
      <c r="M237" s="73"/>
      <c r="N237" s="73"/>
      <c r="O237" s="73"/>
      <c r="P237" s="73"/>
      <c r="Q237" s="73"/>
      <c r="R237" s="73"/>
      <c r="S237" s="73"/>
      <c r="T237" s="73"/>
      <c r="U237" s="73"/>
      <c r="V237" s="73"/>
      <c r="W237" s="73"/>
      <c r="X237" s="73"/>
      <c r="Y237" s="73"/>
      <c r="Z237" s="67">
        <v>3.5749999999999997E-2</v>
      </c>
      <c r="AA237" s="40"/>
      <c r="AB237" s="40"/>
      <c r="AC237" s="43"/>
      <c r="AD237" s="22"/>
    </row>
    <row r="238" spans="1:30" s="23" customFormat="1" x14ac:dyDescent="0.3">
      <c r="A238" s="47"/>
      <c r="B238" s="40" t="s">
        <v>132</v>
      </c>
      <c r="C238" s="149"/>
      <c r="D238" s="73"/>
      <c r="E238" s="73"/>
      <c r="F238" s="73"/>
      <c r="G238" s="73"/>
      <c r="H238" s="73"/>
      <c r="I238" s="73"/>
      <c r="J238" s="73"/>
      <c r="K238" s="73"/>
      <c r="L238" s="73"/>
      <c r="M238" s="73"/>
      <c r="N238" s="73"/>
      <c r="O238" s="73"/>
      <c r="P238" s="73"/>
      <c r="Q238" s="73"/>
      <c r="R238" s="73"/>
      <c r="S238" s="73"/>
      <c r="T238" s="73"/>
      <c r="U238" s="73"/>
      <c r="V238" s="73"/>
      <c r="W238" s="73"/>
      <c r="X238" s="73"/>
      <c r="Y238" s="73"/>
      <c r="Z238" s="67">
        <v>1.3036129402559968E-2</v>
      </c>
      <c r="AA238" s="40"/>
      <c r="AB238" s="40"/>
      <c r="AC238" s="43"/>
      <c r="AD238" s="22"/>
    </row>
    <row r="239" spans="1:30" s="23" customFormat="1" x14ac:dyDescent="0.3">
      <c r="A239" s="47"/>
      <c r="B239" s="40" t="s">
        <v>44</v>
      </c>
      <c r="C239" s="149"/>
      <c r="D239" s="73"/>
      <c r="E239" s="73"/>
      <c r="F239" s="73"/>
      <c r="G239" s="73"/>
      <c r="H239" s="73"/>
      <c r="I239" s="73"/>
      <c r="J239" s="73"/>
      <c r="K239" s="73"/>
      <c r="L239" s="73"/>
      <c r="M239" s="73"/>
      <c r="N239" s="73"/>
      <c r="O239" s="73"/>
      <c r="P239" s="73"/>
      <c r="Q239" s="73"/>
      <c r="R239" s="73"/>
      <c r="S239" s="73"/>
      <c r="T239" s="73"/>
      <c r="U239" s="73"/>
      <c r="V239" s="73"/>
      <c r="W239" s="73"/>
      <c r="X239" s="73"/>
      <c r="Y239" s="73"/>
      <c r="Z239" s="67">
        <f>Z237-Z238</f>
        <v>2.2713870597440029E-2</v>
      </c>
      <c r="AA239" s="40"/>
      <c r="AB239" s="40"/>
      <c r="AC239" s="43"/>
      <c r="AD239" s="22"/>
    </row>
    <row r="240" spans="1:30" s="23" customFormat="1" x14ac:dyDescent="0.3">
      <c r="A240" s="47"/>
      <c r="B240" s="40" t="s">
        <v>45</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3.576E-2</v>
      </c>
      <c r="AA240" s="40"/>
      <c r="AB240" s="40"/>
      <c r="AC240" s="43"/>
      <c r="AD240" s="22"/>
    </row>
    <row r="241" spans="1:30" s="23" customFormat="1" x14ac:dyDescent="0.3">
      <c r="A241" s="47"/>
      <c r="B241" s="40" t="s">
        <v>133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f>+AB35</f>
        <v>1.2905373988418085E-2</v>
      </c>
      <c r="AA241" s="40"/>
      <c r="AB241" s="40"/>
      <c r="AC241" s="43"/>
      <c r="AD241" s="22"/>
    </row>
    <row r="242" spans="1:30" s="23" customFormat="1" x14ac:dyDescent="0.3">
      <c r="A242" s="47"/>
      <c r="B242" s="40" t="s">
        <v>46</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2.2854626011581915E-2</v>
      </c>
      <c r="AA242" s="40"/>
      <c r="AB242" s="40"/>
      <c r="AC242" s="43"/>
      <c r="AD242" s="22"/>
    </row>
    <row r="243" spans="1:30" s="23" customFormat="1" x14ac:dyDescent="0.3">
      <c r="A243" s="47"/>
      <c r="B243" s="40" t="s">
        <v>119</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(+AB86+AB88)/R66</f>
        <v>9.2002090956612645E-3</v>
      </c>
      <c r="AA243" s="40"/>
      <c r="AB243" s="40"/>
      <c r="AC243" s="43"/>
      <c r="AD243" s="22"/>
    </row>
    <row r="244" spans="1:30" s="23" customFormat="1" x14ac:dyDescent="0.3">
      <c r="A244" s="47"/>
      <c r="B244" s="40" t="s">
        <v>112</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150">
        <v>53797</v>
      </c>
      <c r="AA244" s="40"/>
      <c r="AB244" s="40"/>
      <c r="AC244" s="43"/>
      <c r="AD244" s="22"/>
    </row>
    <row r="245" spans="1:30" s="23" customFormat="1" x14ac:dyDescent="0.3">
      <c r="A245" s="47"/>
      <c r="B245" s="40" t="s">
        <v>148</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150">
        <v>53797</v>
      </c>
      <c r="AA245" s="40"/>
      <c r="AB245" s="40"/>
      <c r="AC245" s="43"/>
      <c r="AD245" s="22"/>
    </row>
    <row r="246" spans="1:30" s="23" customFormat="1" x14ac:dyDescent="0.3">
      <c r="A246" s="47"/>
      <c r="B246" s="40" t="s">
        <v>149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150">
        <v>53797</v>
      </c>
      <c r="AA246" s="40"/>
      <c r="AB246" s="40"/>
      <c r="AC246" s="43"/>
      <c r="AD246" s="22"/>
    </row>
    <row r="247" spans="1:30" s="23" customFormat="1" x14ac:dyDescent="0.3">
      <c r="A247" s="47"/>
      <c r="B247" s="40" t="s">
        <v>179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53797</v>
      </c>
      <c r="AA247" s="40"/>
      <c r="AB247" s="40"/>
      <c r="AC247" s="43"/>
      <c r="AD247" s="22"/>
    </row>
    <row r="248" spans="1:30" s="23" customFormat="1" x14ac:dyDescent="0.3">
      <c r="A248" s="47"/>
      <c r="B248" s="40" t="s">
        <v>166</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53797</v>
      </c>
      <c r="AA248" s="40"/>
      <c r="AB248" s="40"/>
      <c r="AC248" s="43"/>
      <c r="AD248" s="22"/>
    </row>
    <row r="249" spans="1:30" s="23" customFormat="1" x14ac:dyDescent="0.3">
      <c r="A249" s="47"/>
      <c r="B249" s="40" t="s">
        <v>194</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53797</v>
      </c>
      <c r="AA249" s="40"/>
      <c r="AB249" s="40"/>
      <c r="AC249" s="43"/>
      <c r="AD249" s="22"/>
    </row>
    <row r="250" spans="1:30" s="23" customFormat="1" x14ac:dyDescent="0.3">
      <c r="A250" s="47"/>
      <c r="B250" s="40" t="s">
        <v>195</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53797</v>
      </c>
      <c r="AA250" s="40"/>
      <c r="AB250" s="40"/>
      <c r="AC250" s="43"/>
      <c r="AD250" s="22"/>
    </row>
    <row r="251" spans="1:30" s="23" customFormat="1" x14ac:dyDescent="0.3">
      <c r="A251" s="47"/>
      <c r="B251" s="40" t="s">
        <v>47</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71">
        <v>21.18</v>
      </c>
      <c r="AA251" s="40" t="s">
        <v>76</v>
      </c>
      <c r="AB251" s="40"/>
      <c r="AC251" s="43"/>
      <c r="AD251" s="22"/>
    </row>
    <row r="252" spans="1:30" s="23" customFormat="1" x14ac:dyDescent="0.3">
      <c r="A252" s="47"/>
      <c r="B252" s="40" t="s">
        <v>48</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71">
        <v>20.54</v>
      </c>
      <c r="AA252" s="40" t="s">
        <v>76</v>
      </c>
      <c r="AB252" s="40"/>
      <c r="AC252" s="43"/>
      <c r="AD252" s="22"/>
    </row>
    <row r="253" spans="1:30" s="23" customFormat="1" x14ac:dyDescent="0.3">
      <c r="A253" s="47"/>
      <c r="B253" s="40" t="s">
        <v>49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67">
        <f>(+T57+V57+Z57)/(R57+R63+R64)</f>
        <v>5.4073726071449842E-3</v>
      </c>
      <c r="AA253" s="40"/>
      <c r="AB253" s="40"/>
      <c r="AC253" s="43"/>
      <c r="AD253" s="22"/>
    </row>
    <row r="254" spans="1:30" s="23" customFormat="1" x14ac:dyDescent="0.3">
      <c r="A254" s="47"/>
      <c r="B254" s="40" t="s">
        <v>50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67">
        <v>1.6400000000000001E-2</v>
      </c>
      <c r="AA254" s="40"/>
      <c r="AB254" s="40"/>
      <c r="AC254" s="43"/>
      <c r="AD254" s="22"/>
    </row>
    <row r="255" spans="1:30" x14ac:dyDescent="0.3">
      <c r="A255" s="145"/>
      <c r="B255" s="151"/>
      <c r="C255" s="151"/>
      <c r="D255" s="99"/>
      <c r="E255" s="99"/>
      <c r="F255" s="99"/>
      <c r="G255" s="99"/>
      <c r="H255" s="99"/>
      <c r="I255" s="99"/>
      <c r="J255" s="99"/>
      <c r="K255" s="99"/>
      <c r="L255" s="99"/>
      <c r="M255" s="99"/>
      <c r="N255" s="99"/>
      <c r="O255" s="99"/>
      <c r="P255" s="99"/>
      <c r="Q255" s="99"/>
      <c r="R255" s="99"/>
      <c r="S255" s="99"/>
      <c r="T255" s="99"/>
      <c r="U255" s="99"/>
      <c r="V255" s="99"/>
      <c r="W255" s="99"/>
      <c r="X255" s="99"/>
      <c r="Y255" s="99"/>
      <c r="Z255" s="126"/>
      <c r="AA255" s="99"/>
      <c r="AB255" s="152"/>
      <c r="AC255" s="10"/>
      <c r="AD255" s="5"/>
    </row>
    <row r="256" spans="1:30" x14ac:dyDescent="0.3">
      <c r="A256" s="153"/>
      <c r="B256" s="102" t="s">
        <v>51</v>
      </c>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t="s">
        <v>69</v>
      </c>
      <c r="Z256" s="154" t="s">
        <v>74</v>
      </c>
      <c r="AA256" s="34"/>
      <c r="AB256" s="34"/>
      <c r="AC256" s="36"/>
      <c r="AD256" s="5"/>
    </row>
    <row r="257" spans="1:30" s="23" customFormat="1" x14ac:dyDescent="0.3">
      <c r="A257" s="155"/>
      <c r="B257" s="37" t="s">
        <v>52</v>
      </c>
      <c r="C257" s="10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v>0</v>
      </c>
      <c r="Z257" s="157">
        <v>0</v>
      </c>
      <c r="AA257" s="37"/>
      <c r="AB257" s="158"/>
      <c r="AC257" s="159"/>
      <c r="AD257" s="22"/>
    </row>
    <row r="258" spans="1:30" s="23" customFormat="1" x14ac:dyDescent="0.3">
      <c r="A258" s="160"/>
      <c r="B258" s="40" t="s">
        <v>97</v>
      </c>
      <c r="C258" s="97"/>
      <c r="D258" s="48"/>
      <c r="E258" s="48"/>
      <c r="F258" s="48"/>
      <c r="G258" s="48"/>
      <c r="H258" s="48"/>
      <c r="I258" s="48"/>
      <c r="J258" s="48"/>
      <c r="K258" s="48"/>
      <c r="L258" s="48"/>
      <c r="M258" s="48"/>
      <c r="N258" s="48"/>
      <c r="O258" s="48"/>
      <c r="P258" s="48"/>
      <c r="Q258" s="48"/>
      <c r="R258" s="48"/>
      <c r="S258" s="48"/>
      <c r="T258" s="48"/>
      <c r="U258" s="48"/>
      <c r="V258" s="48"/>
      <c r="W258" s="48"/>
      <c r="X258" s="48"/>
      <c r="Y258" s="161">
        <f>+X310</f>
        <v>0</v>
      </c>
      <c r="Z258" s="162">
        <f>+Z310</f>
        <v>0</v>
      </c>
      <c r="AA258" s="40"/>
      <c r="AB258" s="163"/>
      <c r="AC258" s="164"/>
      <c r="AD258" s="22"/>
    </row>
    <row r="259" spans="1:30" s="23" customFormat="1" x14ac:dyDescent="0.3">
      <c r="A259" s="160"/>
      <c r="B259" s="40" t="s">
        <v>53</v>
      </c>
      <c r="C259" s="97"/>
      <c r="D259" s="48"/>
      <c r="E259" s="48"/>
      <c r="F259" s="48"/>
      <c r="G259" s="48"/>
      <c r="H259" s="48"/>
      <c r="I259" s="48"/>
      <c r="J259" s="48"/>
      <c r="K259" s="48"/>
      <c r="L259" s="48"/>
      <c r="M259" s="48"/>
      <c r="N259" s="48"/>
      <c r="O259" s="48"/>
      <c r="P259" s="48"/>
      <c r="Q259" s="48"/>
      <c r="R259" s="48"/>
      <c r="S259" s="48"/>
      <c r="T259" s="48"/>
      <c r="U259" s="48"/>
      <c r="V259" s="48"/>
      <c r="W259" s="48"/>
      <c r="X259" s="48"/>
      <c r="Y259" s="161">
        <f>+X332</f>
        <v>0</v>
      </c>
      <c r="Z259" s="162">
        <f>+Z332</f>
        <v>0</v>
      </c>
      <c r="AA259" s="40"/>
      <c r="AB259" s="163"/>
      <c r="AC259" s="164"/>
      <c r="AD259" s="22"/>
    </row>
    <row r="260" spans="1:30" x14ac:dyDescent="0.3">
      <c r="A260" s="165"/>
      <c r="B260" s="166" t="s">
        <v>167</v>
      </c>
      <c r="C260" s="167"/>
      <c r="D260" s="59"/>
      <c r="E260" s="59"/>
      <c r="F260" s="59"/>
      <c r="G260" s="59"/>
      <c r="H260" s="59"/>
      <c r="I260" s="59"/>
      <c r="J260" s="59"/>
      <c r="K260" s="59"/>
      <c r="L260" s="59"/>
      <c r="M260" s="59"/>
      <c r="N260" s="59"/>
      <c r="O260" s="59"/>
      <c r="P260" s="59"/>
      <c r="Q260" s="59"/>
      <c r="R260" s="59"/>
      <c r="S260" s="59"/>
      <c r="T260" s="59"/>
      <c r="U260" s="59"/>
      <c r="V260" s="59"/>
      <c r="W260" s="59"/>
      <c r="X260" s="59"/>
      <c r="Y260" s="112"/>
      <c r="Z260" s="162">
        <f>Z57</f>
        <v>0</v>
      </c>
      <c r="AA260" s="59"/>
      <c r="AB260" s="168"/>
      <c r="AC260" s="169"/>
      <c r="AD260" s="5"/>
    </row>
    <row r="261" spans="1:30" x14ac:dyDescent="0.3">
      <c r="A261" s="165"/>
      <c r="B261" s="166" t="s">
        <v>261</v>
      </c>
      <c r="C261" s="167"/>
      <c r="D261" s="59"/>
      <c r="E261" s="59"/>
      <c r="F261" s="59"/>
      <c r="G261" s="59"/>
      <c r="H261" s="59"/>
      <c r="I261" s="59"/>
      <c r="J261" s="59"/>
      <c r="K261" s="59"/>
      <c r="L261" s="59"/>
      <c r="M261" s="59"/>
      <c r="N261" s="59"/>
      <c r="O261" s="59"/>
      <c r="P261" s="59"/>
      <c r="Q261" s="59"/>
      <c r="R261" s="59"/>
      <c r="S261" s="59"/>
      <c r="T261" s="59"/>
      <c r="U261" s="59"/>
      <c r="V261" s="59"/>
      <c r="W261" s="59"/>
      <c r="X261" s="59"/>
      <c r="Y261" s="112"/>
      <c r="Z261" s="162">
        <f>-T63</f>
        <v>0</v>
      </c>
      <c r="AA261" s="59"/>
      <c r="AB261" s="168"/>
      <c r="AC261" s="169"/>
      <c r="AD261" s="5"/>
    </row>
    <row r="262" spans="1:30" x14ac:dyDescent="0.3">
      <c r="A262" s="170"/>
      <c r="B262" s="166" t="s">
        <v>54</v>
      </c>
      <c r="C262" s="171"/>
      <c r="D262" s="59"/>
      <c r="E262" s="59"/>
      <c r="F262" s="59"/>
      <c r="G262" s="59"/>
      <c r="H262" s="59"/>
      <c r="I262" s="59"/>
      <c r="J262" s="59"/>
      <c r="K262" s="59"/>
      <c r="L262" s="59"/>
      <c r="M262" s="59"/>
      <c r="N262" s="59"/>
      <c r="O262" s="59"/>
      <c r="P262" s="59"/>
      <c r="Q262" s="59"/>
      <c r="R262" s="59"/>
      <c r="S262" s="59"/>
      <c r="T262" s="59"/>
      <c r="U262" s="59"/>
      <c r="V262" s="59"/>
      <c r="W262" s="59"/>
      <c r="X262" s="59"/>
      <c r="Y262" s="112"/>
      <c r="Z262" s="172"/>
      <c r="AA262" s="59"/>
      <c r="AB262" s="168"/>
      <c r="AC262" s="173"/>
      <c r="AD262" s="5"/>
    </row>
    <row r="263" spans="1:30" s="23" customFormat="1" x14ac:dyDescent="0.3">
      <c r="A263" s="174"/>
      <c r="B263" s="40" t="s">
        <v>55</v>
      </c>
      <c r="C263" s="40"/>
      <c r="D263" s="40"/>
      <c r="E263" s="40"/>
      <c r="F263" s="40"/>
      <c r="G263" s="40"/>
      <c r="H263" s="40"/>
      <c r="I263" s="40"/>
      <c r="J263" s="40"/>
      <c r="K263" s="40"/>
      <c r="L263" s="40"/>
      <c r="M263" s="40"/>
      <c r="N263" s="40"/>
      <c r="O263" s="40"/>
      <c r="P263" s="40"/>
      <c r="Q263" s="40"/>
      <c r="R263" s="40"/>
      <c r="S263" s="40"/>
      <c r="T263" s="40"/>
      <c r="U263" s="40"/>
      <c r="V263" s="40"/>
      <c r="W263" s="40"/>
      <c r="X263" s="40"/>
      <c r="Y263" s="48"/>
      <c r="Z263" s="162">
        <f>AB166</f>
        <v>1</v>
      </c>
      <c r="AA263" s="40"/>
      <c r="AB263" s="163"/>
      <c r="AC263" s="175"/>
      <c r="AD263" s="22"/>
    </row>
    <row r="264" spans="1:30" s="23" customFormat="1" x14ac:dyDescent="0.3">
      <c r="A264" s="160"/>
      <c r="B264" s="40" t="s">
        <v>56</v>
      </c>
      <c r="C264" s="97"/>
      <c r="D264" s="40"/>
      <c r="E264" s="40"/>
      <c r="F264" s="40"/>
      <c r="G264" s="40"/>
      <c r="H264" s="40"/>
      <c r="I264" s="40"/>
      <c r="J264" s="40"/>
      <c r="K264" s="40"/>
      <c r="L264" s="40"/>
      <c r="M264" s="40"/>
      <c r="N264" s="40"/>
      <c r="O264" s="40"/>
      <c r="P264" s="40"/>
      <c r="Q264" s="40"/>
      <c r="R264" s="40"/>
      <c r="S264" s="40"/>
      <c r="T264" s="40"/>
      <c r="U264" s="40"/>
      <c r="V264" s="40"/>
      <c r="W264" s="40"/>
      <c r="X264" s="40"/>
      <c r="Y264" s="48"/>
      <c r="Z264" s="162">
        <f>Z263+'September 2020'!Z264</f>
        <v>1</v>
      </c>
      <c r="AA264" s="40"/>
      <c r="AB264" s="163"/>
      <c r="AC264" s="175"/>
      <c r="AD264" s="22"/>
    </row>
    <row r="265" spans="1:30" x14ac:dyDescent="0.3">
      <c r="A265" s="170"/>
      <c r="B265" s="166" t="s">
        <v>125</v>
      </c>
      <c r="C265" s="171"/>
      <c r="D265" s="59"/>
      <c r="E265" s="59"/>
      <c r="F265" s="59"/>
      <c r="G265" s="59"/>
      <c r="H265" s="59"/>
      <c r="I265" s="59"/>
      <c r="J265" s="59"/>
      <c r="K265" s="59"/>
      <c r="L265" s="59"/>
      <c r="M265" s="59"/>
      <c r="N265" s="59"/>
      <c r="O265" s="59"/>
      <c r="P265" s="59"/>
      <c r="Q265" s="59"/>
      <c r="R265" s="59"/>
      <c r="S265" s="59"/>
      <c r="T265" s="59"/>
      <c r="U265" s="59"/>
      <c r="V265" s="59"/>
      <c r="W265" s="59"/>
      <c r="X265" s="59"/>
      <c r="Y265" s="176"/>
      <c r="Z265" s="172"/>
      <c r="AA265" s="59"/>
      <c r="AB265" s="168"/>
      <c r="AC265" s="173"/>
      <c r="AD265" s="5"/>
    </row>
    <row r="266" spans="1:30" s="23" customFormat="1" x14ac:dyDescent="0.3">
      <c r="A266" s="174"/>
      <c r="B266" s="40" t="s">
        <v>134</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v>0</v>
      </c>
      <c r="Z266" s="162">
        <v>0</v>
      </c>
      <c r="AA266" s="40"/>
      <c r="AB266" s="163"/>
      <c r="AC266" s="175"/>
      <c r="AD266" s="22"/>
    </row>
    <row r="267" spans="1:30" s="23" customFormat="1" x14ac:dyDescent="0.3">
      <c r="A267" s="160"/>
      <c r="B267" s="40" t="s">
        <v>57</v>
      </c>
      <c r="C267" s="70"/>
      <c r="D267" s="40"/>
      <c r="E267" s="40"/>
      <c r="F267" s="40"/>
      <c r="G267" s="40"/>
      <c r="H267" s="40"/>
      <c r="I267" s="40"/>
      <c r="J267" s="40"/>
      <c r="K267" s="40"/>
      <c r="L267" s="40"/>
      <c r="M267" s="40"/>
      <c r="N267" s="40"/>
      <c r="O267" s="40"/>
      <c r="P267" s="40"/>
      <c r="Q267" s="40"/>
      <c r="R267" s="40"/>
      <c r="S267" s="40"/>
      <c r="T267" s="40"/>
      <c r="U267" s="40"/>
      <c r="V267" s="40"/>
      <c r="W267" s="40"/>
      <c r="X267" s="40"/>
      <c r="Y267" s="40"/>
      <c r="Z267" s="177">
        <v>0</v>
      </c>
      <c r="AA267" s="40"/>
      <c r="AB267" s="163"/>
      <c r="AC267" s="175"/>
      <c r="AD267" s="22"/>
    </row>
    <row r="268" spans="1:30" s="23" customFormat="1" x14ac:dyDescent="0.3">
      <c r="A268" s="160"/>
      <c r="B268" s="40" t="s">
        <v>58</v>
      </c>
      <c r="C268" s="70"/>
      <c r="D268" s="40"/>
      <c r="E268" s="40"/>
      <c r="F268" s="40"/>
      <c r="G268" s="40"/>
      <c r="H268" s="40"/>
      <c r="I268" s="40"/>
      <c r="J268" s="40"/>
      <c r="K268" s="40"/>
      <c r="L268" s="40"/>
      <c r="M268" s="40"/>
      <c r="N268" s="40"/>
      <c r="O268" s="40"/>
      <c r="P268" s="40"/>
      <c r="Q268" s="40"/>
      <c r="R268" s="40"/>
      <c r="S268" s="40"/>
      <c r="T268" s="40"/>
      <c r="U268" s="40"/>
      <c r="V268" s="40"/>
      <c r="W268" s="40"/>
      <c r="X268" s="40"/>
      <c r="Y268" s="40"/>
      <c r="Z268" s="177">
        <v>0</v>
      </c>
      <c r="AA268" s="40"/>
      <c r="AB268" s="163"/>
      <c r="AC268" s="175"/>
      <c r="AD268" s="22"/>
    </row>
    <row r="269" spans="1:30" x14ac:dyDescent="0.3">
      <c r="A269" s="165"/>
      <c r="B269" s="166" t="s">
        <v>116</v>
      </c>
      <c r="C269" s="178"/>
      <c r="D269" s="59"/>
      <c r="E269" s="59"/>
      <c r="F269" s="59"/>
      <c r="G269" s="59"/>
      <c r="H269" s="59"/>
      <c r="I269" s="59"/>
      <c r="J269" s="59"/>
      <c r="K269" s="59"/>
      <c r="L269" s="59"/>
      <c r="M269" s="59"/>
      <c r="N269" s="59"/>
      <c r="O269" s="59"/>
      <c r="P269" s="59"/>
      <c r="Q269" s="59"/>
      <c r="R269" s="59"/>
      <c r="S269" s="59"/>
      <c r="T269" s="59"/>
      <c r="U269" s="59"/>
      <c r="V269" s="59"/>
      <c r="W269" s="59"/>
      <c r="X269" s="59"/>
      <c r="Y269" s="112"/>
      <c r="Z269" s="179"/>
      <c r="AA269" s="59"/>
      <c r="AB269" s="168"/>
      <c r="AC269" s="173"/>
      <c r="AD269" s="5"/>
    </row>
    <row r="270" spans="1:30" s="23" customFormat="1" x14ac:dyDescent="0.3">
      <c r="A270" s="160"/>
      <c r="B270" s="40" t="s">
        <v>134</v>
      </c>
      <c r="C270" s="7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0" s="23" customFormat="1" x14ac:dyDescent="0.3">
      <c r="A271" s="160"/>
      <c r="B271" s="40" t="s">
        <v>117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71"/>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x14ac:dyDescent="0.3">
      <c r="A273" s="165"/>
      <c r="B273" s="171"/>
      <c r="C273" s="178"/>
      <c r="D273" s="59"/>
      <c r="E273" s="59"/>
      <c r="F273" s="59"/>
      <c r="G273" s="59"/>
      <c r="H273" s="59"/>
      <c r="I273" s="59"/>
      <c r="J273" s="59"/>
      <c r="K273" s="59"/>
      <c r="L273" s="59"/>
      <c r="M273" s="59"/>
      <c r="N273" s="59"/>
      <c r="O273" s="59"/>
      <c r="P273" s="59"/>
      <c r="Q273" s="59"/>
      <c r="R273" s="59"/>
      <c r="S273" s="59"/>
      <c r="T273" s="59"/>
      <c r="U273" s="59"/>
      <c r="V273" s="59"/>
      <c r="W273" s="59"/>
      <c r="X273" s="59"/>
      <c r="Y273" s="59"/>
      <c r="Z273" s="180"/>
      <c r="AA273" s="59"/>
      <c r="AB273" s="168"/>
      <c r="AC273" s="173"/>
      <c r="AD273" s="5"/>
    </row>
    <row r="274" spans="1:30" ht="18" x14ac:dyDescent="0.35">
      <c r="A274" s="165"/>
      <c r="B274" s="181" t="s">
        <v>109</v>
      </c>
      <c r="C274" s="178"/>
      <c r="D274" s="59"/>
      <c r="E274" s="59"/>
      <c r="F274" s="59"/>
      <c r="G274" s="59"/>
      <c r="H274" s="59"/>
      <c r="I274" s="59"/>
      <c r="J274" s="59"/>
      <c r="K274" s="59"/>
      <c r="L274" s="182"/>
      <c r="M274" s="182"/>
      <c r="N274" s="182"/>
      <c r="O274" s="182"/>
      <c r="P274" s="261" t="s">
        <v>168</v>
      </c>
      <c r="Q274" s="182"/>
      <c r="R274" s="182"/>
      <c r="S274" s="182"/>
      <c r="T274" s="182"/>
      <c r="U274" s="182"/>
      <c r="V274" s="182"/>
      <c r="W274" s="59"/>
      <c r="X274" s="183"/>
      <c r="Y274" s="182"/>
      <c r="Z274" s="180"/>
      <c r="AA274" s="59"/>
      <c r="AB274" s="168"/>
      <c r="AC274" s="173"/>
      <c r="AD274" s="5"/>
    </row>
    <row r="275" spans="1:30" ht="18" x14ac:dyDescent="0.35">
      <c r="A275" s="184"/>
      <c r="B275" s="185"/>
      <c r="C275" s="186"/>
      <c r="D275" s="99"/>
      <c r="E275" s="99"/>
      <c r="F275" s="99"/>
      <c r="G275" s="99"/>
      <c r="H275" s="99"/>
      <c r="I275" s="99"/>
      <c r="J275" s="99"/>
      <c r="K275" s="99"/>
      <c r="L275" s="187"/>
      <c r="M275" s="187"/>
      <c r="N275" s="187"/>
      <c r="O275" s="187"/>
      <c r="P275" s="187"/>
      <c r="Q275" s="187"/>
      <c r="R275" s="187"/>
      <c r="S275" s="187"/>
      <c r="T275" s="187"/>
      <c r="U275" s="187"/>
      <c r="V275" s="187"/>
      <c r="W275" s="99"/>
      <c r="X275" s="99"/>
      <c r="Y275" s="99"/>
      <c r="Z275" s="188"/>
      <c r="AA275" s="99"/>
      <c r="AB275" s="152"/>
      <c r="AC275" s="189"/>
      <c r="AD275" s="5"/>
    </row>
    <row r="276" spans="1:30" x14ac:dyDescent="0.3">
      <c r="A276" s="33"/>
      <c r="B276" s="102" t="s">
        <v>126</v>
      </c>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54" t="s">
        <v>69</v>
      </c>
      <c r="Y276" s="103" t="s">
        <v>70</v>
      </c>
      <c r="Z276" s="154" t="s">
        <v>75</v>
      </c>
      <c r="AA276" s="103" t="s">
        <v>70</v>
      </c>
      <c r="AB276" s="34"/>
      <c r="AC276" s="190"/>
      <c r="AD276" s="5"/>
    </row>
    <row r="277" spans="1:30" s="23" customFormat="1" x14ac:dyDescent="0.3">
      <c r="A277" s="18"/>
      <c r="B277" s="106" t="s">
        <v>59</v>
      </c>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06">
        <f t="shared" ref="X277:X284" si="0">+X289+X301+X323</f>
        <v>4044</v>
      </c>
      <c r="Y277" s="192">
        <f>X277/$X$286</f>
        <v>0.99975278121137201</v>
      </c>
      <c r="Z277" s="107">
        <f t="shared" ref="Z277:Z284" si="1">+Z289+Z301+Z323</f>
        <v>750923</v>
      </c>
      <c r="AA277" s="192">
        <f>Z277/$Z$286</f>
        <v>0.99990412719125965</v>
      </c>
      <c r="AB277" s="158"/>
      <c r="AC277" s="193"/>
      <c r="AD277" s="22"/>
    </row>
    <row r="278" spans="1:30" s="23" customFormat="1" x14ac:dyDescent="0.3">
      <c r="A278" s="47"/>
      <c r="B278" s="97" t="s">
        <v>60</v>
      </c>
      <c r="C278" s="194"/>
      <c r="D278" s="194"/>
      <c r="E278" s="194"/>
      <c r="F278" s="194"/>
      <c r="G278" s="194"/>
      <c r="H278" s="194"/>
      <c r="I278" s="194"/>
      <c r="J278" s="194"/>
      <c r="K278" s="194"/>
      <c r="L278" s="194"/>
      <c r="M278" s="194"/>
      <c r="N278" s="194"/>
      <c r="O278" s="194"/>
      <c r="P278" s="194"/>
      <c r="Q278" s="194"/>
      <c r="R278" s="194"/>
      <c r="S278" s="194"/>
      <c r="T278" s="194"/>
      <c r="U278" s="194"/>
      <c r="V278" s="194"/>
      <c r="W278" s="194"/>
      <c r="X278" s="195">
        <f t="shared" si="0"/>
        <v>0</v>
      </c>
      <c r="Y278" s="196">
        <f t="shared" ref="Y278:Y284" si="2">X278/$X$286</f>
        <v>0</v>
      </c>
      <c r="Z278" s="197">
        <f t="shared" si="1"/>
        <v>0</v>
      </c>
      <c r="AA278" s="198">
        <f>Z278/$Z$286</f>
        <v>0</v>
      </c>
      <c r="AB278" s="163"/>
      <c r="AC278" s="175"/>
      <c r="AD278" s="22"/>
    </row>
    <row r="279" spans="1:30" s="23" customFormat="1" x14ac:dyDescent="0.3">
      <c r="A279" s="47"/>
      <c r="B279" s="97" t="s">
        <v>61</v>
      </c>
      <c r="C279" s="194"/>
      <c r="D279" s="194"/>
      <c r="E279" s="194"/>
      <c r="F279" s="194"/>
      <c r="G279" s="194"/>
      <c r="H279" s="194"/>
      <c r="I279" s="194"/>
      <c r="J279" s="194"/>
      <c r="K279" s="194"/>
      <c r="L279" s="194"/>
      <c r="M279" s="194"/>
      <c r="N279" s="194"/>
      <c r="O279" s="194"/>
      <c r="P279" s="194"/>
      <c r="Q279" s="194"/>
      <c r="R279" s="194"/>
      <c r="S279" s="194"/>
      <c r="T279" s="194"/>
      <c r="U279" s="194"/>
      <c r="V279" s="194"/>
      <c r="W279" s="194"/>
      <c r="X279" s="199">
        <f t="shared" si="0"/>
        <v>0</v>
      </c>
      <c r="Y279" s="200">
        <f t="shared" si="2"/>
        <v>0</v>
      </c>
      <c r="Z279" s="131">
        <f t="shared" si="1"/>
        <v>0</v>
      </c>
      <c r="AA279" s="198">
        <f t="shared" ref="AA279:AA284" si="3">Z279/$Z$286</f>
        <v>0</v>
      </c>
      <c r="AB279" s="163"/>
      <c r="AC279" s="175"/>
      <c r="AD279" s="22"/>
    </row>
    <row r="280" spans="1:30" s="23" customFormat="1" x14ac:dyDescent="0.3">
      <c r="A280" s="47"/>
      <c r="B280" s="97" t="s">
        <v>100</v>
      </c>
      <c r="C280" s="194"/>
      <c r="D280" s="194"/>
      <c r="E280" s="194"/>
      <c r="F280" s="194"/>
      <c r="G280" s="194"/>
      <c r="H280" s="194"/>
      <c r="I280" s="194"/>
      <c r="J280" s="194"/>
      <c r="K280" s="194"/>
      <c r="L280" s="194"/>
      <c r="M280" s="194"/>
      <c r="N280" s="194"/>
      <c r="O280" s="194"/>
      <c r="P280" s="194"/>
      <c r="Q280" s="194"/>
      <c r="R280" s="194"/>
      <c r="S280" s="194"/>
      <c r="T280" s="194"/>
      <c r="U280" s="194"/>
      <c r="V280" s="194"/>
      <c r="W280" s="194"/>
      <c r="X280" s="199">
        <f t="shared" si="0"/>
        <v>1</v>
      </c>
      <c r="Y280" s="200">
        <f t="shared" si="2"/>
        <v>2.4721878862793575E-4</v>
      </c>
      <c r="Z280" s="131">
        <f t="shared" si="1"/>
        <v>72</v>
      </c>
      <c r="AA280" s="198">
        <f t="shared" si="3"/>
        <v>9.5872808740404391E-5</v>
      </c>
      <c r="AB280" s="163"/>
      <c r="AC280" s="175"/>
      <c r="AD280" s="22"/>
    </row>
    <row r="281" spans="1:30" s="23" customFormat="1" x14ac:dyDescent="0.3">
      <c r="A281" s="47"/>
      <c r="B281" s="97" t="s">
        <v>101</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9">
        <f t="shared" si="0"/>
        <v>0</v>
      </c>
      <c r="Y281" s="200">
        <f t="shared" si="2"/>
        <v>0</v>
      </c>
      <c r="Z281" s="131">
        <f t="shared" si="1"/>
        <v>0</v>
      </c>
      <c r="AA281" s="198">
        <f t="shared" si="3"/>
        <v>0</v>
      </c>
      <c r="AB281" s="163"/>
      <c r="AC281" s="175"/>
      <c r="AD281" s="22"/>
    </row>
    <row r="282" spans="1:30" s="23" customFormat="1" x14ac:dyDescent="0.3">
      <c r="A282" s="47"/>
      <c r="B282" s="97" t="s">
        <v>102</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0"/>
        <v>0</v>
      </c>
      <c r="Y282" s="200">
        <f t="shared" si="2"/>
        <v>0</v>
      </c>
      <c r="Z282" s="131">
        <f t="shared" si="1"/>
        <v>0</v>
      </c>
      <c r="AA282" s="198">
        <f t="shared" si="3"/>
        <v>0</v>
      </c>
      <c r="AB282" s="163"/>
      <c r="AC282" s="175"/>
      <c r="AD282" s="22"/>
    </row>
    <row r="283" spans="1:30" s="23" customFormat="1" x14ac:dyDescent="0.3">
      <c r="A283" s="47"/>
      <c r="B283" s="97" t="s">
        <v>103</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201">
        <f t="shared" si="0"/>
        <v>0</v>
      </c>
      <c r="Y283" s="202">
        <f t="shared" si="2"/>
        <v>0</v>
      </c>
      <c r="Z283" s="203">
        <f t="shared" si="1"/>
        <v>0</v>
      </c>
      <c r="AA283" s="198">
        <f t="shared" si="3"/>
        <v>0</v>
      </c>
      <c r="AB283" s="163"/>
      <c r="AC283" s="175"/>
      <c r="AD283" s="22"/>
    </row>
    <row r="284" spans="1:30" s="23" customFormat="1" x14ac:dyDescent="0.3">
      <c r="A284" s="47"/>
      <c r="B284" s="97" t="s">
        <v>104</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06">
        <f t="shared" si="0"/>
        <v>0</v>
      </c>
      <c r="Y284" s="198">
        <f t="shared" si="2"/>
        <v>0</v>
      </c>
      <c r="Z284" s="107">
        <f t="shared" si="1"/>
        <v>0</v>
      </c>
      <c r="AA284" s="198">
        <f t="shared" si="3"/>
        <v>0</v>
      </c>
      <c r="AB284" s="163"/>
      <c r="AC284" s="175"/>
      <c r="AD284" s="22"/>
    </row>
    <row r="285" spans="1:30" s="23" customFormat="1" x14ac:dyDescent="0.3">
      <c r="A285" s="47"/>
      <c r="B285" s="97"/>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97"/>
      <c r="Y285" s="198"/>
      <c r="Z285" s="98"/>
      <c r="AA285" s="198"/>
      <c r="AB285" s="163"/>
      <c r="AC285" s="175"/>
      <c r="AD285" s="22"/>
    </row>
    <row r="286" spans="1:30" s="23" customFormat="1" x14ac:dyDescent="0.3">
      <c r="A286" s="47"/>
      <c r="B286" s="40" t="s">
        <v>80</v>
      </c>
      <c r="C286" s="40"/>
      <c r="D286" s="204"/>
      <c r="E286" s="204"/>
      <c r="F286" s="204"/>
      <c r="G286" s="204"/>
      <c r="H286" s="204"/>
      <c r="I286" s="204"/>
      <c r="J286" s="204"/>
      <c r="K286" s="204"/>
      <c r="L286" s="204"/>
      <c r="M286" s="204"/>
      <c r="N286" s="204"/>
      <c r="O286" s="204"/>
      <c r="P286" s="204"/>
      <c r="Q286" s="204"/>
      <c r="R286" s="204"/>
      <c r="S286" s="204"/>
      <c r="T286" s="204"/>
      <c r="U286" s="204"/>
      <c r="V286" s="204"/>
      <c r="W286" s="204"/>
      <c r="X286" s="97">
        <f>SUM(X277:X285)</f>
        <v>4045</v>
      </c>
      <c r="Y286" s="198">
        <f>SUM(Y277:Y285)</f>
        <v>1</v>
      </c>
      <c r="Z286" s="98">
        <f>SUM(Z277:Z285)</f>
        <v>750995</v>
      </c>
      <c r="AA286" s="198">
        <f>SUM(AA277:AA285)</f>
        <v>1</v>
      </c>
      <c r="AB286" s="40"/>
      <c r="AC286" s="43"/>
      <c r="AD286" s="22"/>
    </row>
    <row r="287" spans="1:30" x14ac:dyDescent="0.3">
      <c r="A287" s="7"/>
      <c r="B287" s="151"/>
      <c r="C287" s="186"/>
      <c r="D287" s="99"/>
      <c r="E287" s="99"/>
      <c r="F287" s="99"/>
      <c r="G287" s="99"/>
      <c r="H287" s="99"/>
      <c r="I287" s="99"/>
      <c r="J287" s="99"/>
      <c r="K287" s="99"/>
      <c r="L287" s="99"/>
      <c r="M287" s="99"/>
      <c r="N287" s="99"/>
      <c r="O287" s="99"/>
      <c r="P287" s="99"/>
      <c r="Q287" s="99"/>
      <c r="R287" s="99"/>
      <c r="S287" s="99"/>
      <c r="T287" s="99"/>
      <c r="U287" s="99"/>
      <c r="V287" s="99"/>
      <c r="W287" s="99"/>
      <c r="X287" s="99"/>
      <c r="Y287" s="99"/>
      <c r="Z287" s="188"/>
      <c r="AA287" s="99"/>
      <c r="AB287" s="99"/>
      <c r="AC287" s="10"/>
      <c r="AD287" s="5"/>
    </row>
    <row r="288" spans="1:30" x14ac:dyDescent="0.3">
      <c r="A288" s="33"/>
      <c r="B288" s="102" t="s">
        <v>105</v>
      </c>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54" t="s">
        <v>69</v>
      </c>
      <c r="Y288" s="103" t="s">
        <v>70</v>
      </c>
      <c r="Z288" s="154" t="s">
        <v>75</v>
      </c>
      <c r="AA288" s="103" t="s">
        <v>70</v>
      </c>
      <c r="AB288" s="34"/>
      <c r="AC288" s="190"/>
      <c r="AD288" s="5"/>
    </row>
    <row r="289" spans="1:31" s="23" customFormat="1" x14ac:dyDescent="0.3">
      <c r="A289" s="18"/>
      <c r="B289" s="106" t="s">
        <v>59</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06">
        <v>4044</v>
      </c>
      <c r="Y289" s="192">
        <f>X289/$X$298</f>
        <v>0.99975278121137201</v>
      </c>
      <c r="Z289" s="107">
        <v>750923</v>
      </c>
      <c r="AA289" s="192">
        <f>Z289/$Z$298</f>
        <v>0.99990412719125965</v>
      </c>
      <c r="AB289" s="158"/>
      <c r="AC289" s="193"/>
      <c r="AD289" s="22"/>
    </row>
    <row r="290" spans="1:31" s="23" customFormat="1" x14ac:dyDescent="0.3">
      <c r="A290" s="47"/>
      <c r="B290" s="97" t="s">
        <v>60</v>
      </c>
      <c r="C290" s="194"/>
      <c r="D290" s="194"/>
      <c r="E290" s="194"/>
      <c r="F290" s="194"/>
      <c r="G290" s="194"/>
      <c r="H290" s="194"/>
      <c r="I290" s="194"/>
      <c r="J290" s="194"/>
      <c r="K290" s="194"/>
      <c r="L290" s="194"/>
      <c r="M290" s="194"/>
      <c r="N290" s="194"/>
      <c r="O290" s="194"/>
      <c r="P290" s="194"/>
      <c r="Q290" s="194"/>
      <c r="R290" s="194"/>
      <c r="S290" s="194"/>
      <c r="T290" s="194"/>
      <c r="U290" s="194"/>
      <c r="V290" s="194"/>
      <c r="W290" s="194"/>
      <c r="X290" s="97">
        <v>0</v>
      </c>
      <c r="Y290" s="198">
        <f t="shared" ref="Y290:Y296" si="4">X290/$X$298</f>
        <v>0</v>
      </c>
      <c r="Z290" s="98">
        <v>0</v>
      </c>
      <c r="AA290" s="198">
        <f t="shared" ref="AA290:AA296" si="5">Z290/$Z$298</f>
        <v>0</v>
      </c>
      <c r="AB290" s="163"/>
      <c r="AC290" s="175"/>
      <c r="AD290" s="22"/>
      <c r="AE290" s="115"/>
    </row>
    <row r="291" spans="1:31" s="23" customFormat="1" x14ac:dyDescent="0.3">
      <c r="A291" s="47"/>
      <c r="B291" s="97" t="s">
        <v>61</v>
      </c>
      <c r="C291" s="194"/>
      <c r="D291" s="194"/>
      <c r="E291" s="194"/>
      <c r="F291" s="194"/>
      <c r="G291" s="194"/>
      <c r="H291" s="194"/>
      <c r="I291" s="194"/>
      <c r="J291" s="194"/>
      <c r="K291" s="194"/>
      <c r="L291" s="194"/>
      <c r="M291" s="194"/>
      <c r="N291" s="194"/>
      <c r="O291" s="194"/>
      <c r="P291" s="194"/>
      <c r="Q291" s="194"/>
      <c r="R291" s="194"/>
      <c r="S291" s="194"/>
      <c r="T291" s="194"/>
      <c r="U291" s="194"/>
      <c r="V291" s="194"/>
      <c r="W291" s="194"/>
      <c r="X291" s="97">
        <v>0</v>
      </c>
      <c r="Y291" s="198">
        <f t="shared" si="4"/>
        <v>0</v>
      </c>
      <c r="Z291" s="98">
        <v>0</v>
      </c>
      <c r="AA291" s="198">
        <f t="shared" si="5"/>
        <v>0</v>
      </c>
      <c r="AB291" s="163"/>
      <c r="AC291" s="175"/>
      <c r="AD291" s="22"/>
    </row>
    <row r="292" spans="1:31" s="23" customFormat="1" x14ac:dyDescent="0.3">
      <c r="A292" s="47"/>
      <c r="B292" s="97" t="s">
        <v>100</v>
      </c>
      <c r="C292" s="194"/>
      <c r="D292" s="194"/>
      <c r="E292" s="194"/>
      <c r="F292" s="194"/>
      <c r="G292" s="194"/>
      <c r="H292" s="194"/>
      <c r="I292" s="194"/>
      <c r="J292" s="194"/>
      <c r="K292" s="194"/>
      <c r="L292" s="194"/>
      <c r="M292" s="194"/>
      <c r="N292" s="194"/>
      <c r="O292" s="194"/>
      <c r="P292" s="194"/>
      <c r="Q292" s="194"/>
      <c r="R292" s="194"/>
      <c r="S292" s="194"/>
      <c r="T292" s="194"/>
      <c r="U292" s="194"/>
      <c r="V292" s="194"/>
      <c r="W292" s="194"/>
      <c r="X292" s="97">
        <v>1</v>
      </c>
      <c r="Y292" s="198">
        <f t="shared" si="4"/>
        <v>2.4721878862793575E-4</v>
      </c>
      <c r="Z292" s="98">
        <v>72</v>
      </c>
      <c r="AA292" s="198">
        <f t="shared" si="5"/>
        <v>9.5872808740404391E-5</v>
      </c>
      <c r="AB292" s="163"/>
      <c r="AC292" s="175"/>
      <c r="AD292" s="22"/>
      <c r="AE292" s="115"/>
    </row>
    <row r="293" spans="1:31" s="23" customFormat="1" x14ac:dyDescent="0.3">
      <c r="A293" s="47"/>
      <c r="B293" s="97" t="s">
        <v>101</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0</v>
      </c>
      <c r="Y293" s="198">
        <f t="shared" si="4"/>
        <v>0</v>
      </c>
      <c r="Z293" s="98">
        <v>0</v>
      </c>
      <c r="AA293" s="198">
        <f t="shared" si="5"/>
        <v>0</v>
      </c>
      <c r="AB293" s="163"/>
      <c r="AC293" s="175"/>
      <c r="AD293" s="22"/>
    </row>
    <row r="294" spans="1:31" s="23" customFormat="1" x14ac:dyDescent="0.3">
      <c r="A294" s="47"/>
      <c r="B294" s="97" t="s">
        <v>102</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4"/>
        <v>0</v>
      </c>
      <c r="Z294" s="98">
        <v>0</v>
      </c>
      <c r="AA294" s="198">
        <f t="shared" si="5"/>
        <v>0</v>
      </c>
      <c r="AB294" s="163"/>
      <c r="AC294" s="175"/>
      <c r="AD294" s="22"/>
      <c r="AE294" s="115"/>
    </row>
    <row r="295" spans="1:31" s="23" customFormat="1" x14ac:dyDescent="0.3">
      <c r="A295" s="47"/>
      <c r="B295" s="97" t="s">
        <v>103</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0</v>
      </c>
      <c r="Y295" s="198">
        <f>X295/$X$298</f>
        <v>0</v>
      </c>
      <c r="Z295" s="98">
        <v>0</v>
      </c>
      <c r="AA295" s="198">
        <f t="shared" si="5"/>
        <v>0</v>
      </c>
      <c r="AB295" s="163"/>
      <c r="AC295" s="175"/>
      <c r="AD295" s="22"/>
    </row>
    <row r="296" spans="1:31" s="23" customFormat="1" x14ac:dyDescent="0.3">
      <c r="A296" s="47"/>
      <c r="B296" s="97" t="s">
        <v>104</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4"/>
        <v>0</v>
      </c>
      <c r="Z296" s="98">
        <v>0</v>
      </c>
      <c r="AA296" s="198">
        <f t="shared" si="5"/>
        <v>0</v>
      </c>
      <c r="AB296" s="163"/>
      <c r="AC296" s="175"/>
      <c r="AD296" s="22"/>
      <c r="AE296" s="115"/>
    </row>
    <row r="297" spans="1:31" s="23" customFormat="1" x14ac:dyDescent="0.3">
      <c r="A297" s="47"/>
      <c r="B297" s="97"/>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c r="Y297" s="198"/>
      <c r="Z297" s="98"/>
      <c r="AA297" s="198"/>
      <c r="AB297" s="163"/>
      <c r="AC297" s="175"/>
      <c r="AD297" s="22"/>
    </row>
    <row r="298" spans="1:31" s="23" customFormat="1" x14ac:dyDescent="0.3">
      <c r="A298" s="47"/>
      <c r="B298" s="40" t="s">
        <v>80</v>
      </c>
      <c r="C298" s="40"/>
      <c r="D298" s="204"/>
      <c r="E298" s="204"/>
      <c r="F298" s="204"/>
      <c r="G298" s="204"/>
      <c r="H298" s="204"/>
      <c r="I298" s="204"/>
      <c r="J298" s="204"/>
      <c r="K298" s="204"/>
      <c r="L298" s="204"/>
      <c r="M298" s="204"/>
      <c r="N298" s="204"/>
      <c r="O298" s="204"/>
      <c r="P298" s="204"/>
      <c r="Q298" s="204"/>
      <c r="R298" s="204"/>
      <c r="S298" s="204"/>
      <c r="T298" s="204"/>
      <c r="U298" s="204"/>
      <c r="V298" s="204"/>
      <c r="W298" s="204"/>
      <c r="X298" s="97">
        <f>SUM(X289:X297)</f>
        <v>4045</v>
      </c>
      <c r="Y298" s="198">
        <f>SUM(Y289:Y297)</f>
        <v>1</v>
      </c>
      <c r="Z298" s="98">
        <f>SUM(Z289:Z297)</f>
        <v>750995</v>
      </c>
      <c r="AA298" s="198">
        <f>SUM(AA289:AA297)</f>
        <v>1</v>
      </c>
      <c r="AB298" s="40"/>
      <c r="AC298" s="43"/>
      <c r="AD298" s="22"/>
    </row>
    <row r="299" spans="1:31" x14ac:dyDescent="0.3">
      <c r="A299" s="7"/>
      <c r="B299" s="99"/>
      <c r="C299" s="99"/>
      <c r="D299" s="205"/>
      <c r="E299" s="205"/>
      <c r="F299" s="205"/>
      <c r="G299" s="205"/>
      <c r="H299" s="205"/>
      <c r="I299" s="205"/>
      <c r="J299" s="205"/>
      <c r="K299" s="205"/>
      <c r="L299" s="205"/>
      <c r="M299" s="205"/>
      <c r="N299" s="205"/>
      <c r="O299" s="205"/>
      <c r="P299" s="205"/>
      <c r="Q299" s="205"/>
      <c r="R299" s="205"/>
      <c r="S299" s="205"/>
      <c r="T299" s="205"/>
      <c r="U299" s="205"/>
      <c r="V299" s="205"/>
      <c r="W299" s="205"/>
      <c r="X299" s="100"/>
      <c r="Y299" s="206"/>
      <c r="Z299" s="207"/>
      <c r="AA299" s="206"/>
      <c r="AB299" s="99"/>
      <c r="AC299" s="10"/>
      <c r="AD299" s="5"/>
    </row>
    <row r="300" spans="1:31" x14ac:dyDescent="0.3">
      <c r="A300" s="33"/>
      <c r="B300" s="102" t="s">
        <v>121</v>
      </c>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54" t="s">
        <v>69</v>
      </c>
      <c r="Y300" s="103" t="s">
        <v>70</v>
      </c>
      <c r="Z300" s="154" t="s">
        <v>75</v>
      </c>
      <c r="AA300" s="103" t="s">
        <v>70</v>
      </c>
      <c r="AB300" s="34"/>
      <c r="AC300" s="36"/>
      <c r="AD300" s="5"/>
    </row>
    <row r="301" spans="1:31" s="23" customFormat="1" x14ac:dyDescent="0.3">
      <c r="A301" s="18"/>
      <c r="B301" s="106" t="s">
        <v>59</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06">
        <v>0</v>
      </c>
      <c r="Y301" s="192">
        <v>0</v>
      </c>
      <c r="Z301" s="107">
        <v>0</v>
      </c>
      <c r="AA301" s="192">
        <v>0</v>
      </c>
      <c r="AB301" s="37"/>
      <c r="AC301" s="21"/>
      <c r="AD301" s="22"/>
    </row>
    <row r="302" spans="1:31" s="23" customFormat="1" x14ac:dyDescent="0.3">
      <c r="A302" s="47"/>
      <c r="B302" s="97" t="s">
        <v>60</v>
      </c>
      <c r="C302" s="194"/>
      <c r="D302" s="194"/>
      <c r="E302" s="194"/>
      <c r="F302" s="194"/>
      <c r="G302" s="194"/>
      <c r="H302" s="194"/>
      <c r="I302" s="194"/>
      <c r="J302" s="194"/>
      <c r="K302" s="194"/>
      <c r="L302" s="194"/>
      <c r="M302" s="194"/>
      <c r="N302" s="194"/>
      <c r="O302" s="194"/>
      <c r="P302" s="194"/>
      <c r="Q302" s="194"/>
      <c r="R302" s="194"/>
      <c r="S302" s="194"/>
      <c r="T302" s="194"/>
      <c r="U302" s="194"/>
      <c r="V302" s="194"/>
      <c r="W302" s="194"/>
      <c r="X302" s="97">
        <v>0</v>
      </c>
      <c r="Y302" s="198">
        <v>0</v>
      </c>
      <c r="Z302" s="98">
        <v>0</v>
      </c>
      <c r="AA302" s="198">
        <v>0</v>
      </c>
      <c r="AB302" s="40"/>
      <c r="AC302" s="43"/>
      <c r="AD302" s="22"/>
    </row>
    <row r="303" spans="1:31" s="23" customFormat="1" x14ac:dyDescent="0.3">
      <c r="A303" s="47"/>
      <c r="B303" s="97" t="s">
        <v>61</v>
      </c>
      <c r="C303" s="194"/>
      <c r="D303" s="194"/>
      <c r="E303" s="194"/>
      <c r="F303" s="194"/>
      <c r="G303" s="194"/>
      <c r="H303" s="194"/>
      <c r="I303" s="194"/>
      <c r="J303" s="194"/>
      <c r="K303" s="194"/>
      <c r="L303" s="194"/>
      <c r="M303" s="194"/>
      <c r="N303" s="194"/>
      <c r="O303" s="194"/>
      <c r="P303" s="194"/>
      <c r="Q303" s="194"/>
      <c r="R303" s="194"/>
      <c r="S303" s="194"/>
      <c r="T303" s="194"/>
      <c r="U303" s="194"/>
      <c r="V303" s="194"/>
      <c r="W303" s="194"/>
      <c r="X303" s="97">
        <v>0</v>
      </c>
      <c r="Y303" s="198">
        <v>0</v>
      </c>
      <c r="Z303" s="98">
        <v>0</v>
      </c>
      <c r="AA303" s="198">
        <v>0</v>
      </c>
      <c r="AB303" s="40"/>
      <c r="AC303" s="43"/>
      <c r="AD303" s="22"/>
    </row>
    <row r="304" spans="1:31" s="23" customFormat="1" x14ac:dyDescent="0.3">
      <c r="A304" s="47"/>
      <c r="B304" s="97" t="s">
        <v>100</v>
      </c>
      <c r="C304" s="194"/>
      <c r="D304" s="194"/>
      <c r="E304" s="194"/>
      <c r="F304" s="194"/>
      <c r="G304" s="194"/>
      <c r="H304" s="194"/>
      <c r="I304" s="194"/>
      <c r="J304" s="194"/>
      <c r="K304" s="194"/>
      <c r="L304" s="194"/>
      <c r="M304" s="194"/>
      <c r="N304" s="194"/>
      <c r="O304" s="194"/>
      <c r="P304" s="194"/>
      <c r="Q304" s="194"/>
      <c r="R304" s="194"/>
      <c r="S304" s="194"/>
      <c r="T304" s="194"/>
      <c r="U304" s="194"/>
      <c r="V304" s="194"/>
      <c r="W304" s="194"/>
      <c r="X304" s="97">
        <v>0</v>
      </c>
      <c r="Y304" s="198">
        <v>0</v>
      </c>
      <c r="Z304" s="98">
        <v>0</v>
      </c>
      <c r="AA304" s="198">
        <v>0</v>
      </c>
      <c r="AB304" s="40"/>
      <c r="AC304" s="43"/>
      <c r="AD304" s="22"/>
    </row>
    <row r="305" spans="1:30" s="23" customFormat="1" x14ac:dyDescent="0.3">
      <c r="A305" s="47"/>
      <c r="B305" s="97" t="s">
        <v>101</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102</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103</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104</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c r="Y309" s="198"/>
      <c r="Z309" s="98"/>
      <c r="AA309" s="198"/>
      <c r="AB309" s="40"/>
      <c r="AC309" s="43"/>
      <c r="AD309" s="22"/>
    </row>
    <row r="310" spans="1:30" s="23" customFormat="1" x14ac:dyDescent="0.3">
      <c r="A310" s="47"/>
      <c r="B310" s="40" t="s">
        <v>80</v>
      </c>
      <c r="C310" s="40"/>
      <c r="D310" s="204"/>
      <c r="E310" s="204"/>
      <c r="F310" s="204"/>
      <c r="G310" s="204"/>
      <c r="H310" s="204"/>
      <c r="I310" s="204"/>
      <c r="J310" s="204"/>
      <c r="K310" s="204"/>
      <c r="L310" s="204"/>
      <c r="M310" s="204"/>
      <c r="N310" s="204"/>
      <c r="O310" s="204"/>
      <c r="P310" s="204"/>
      <c r="Q310" s="204"/>
      <c r="R310" s="204"/>
      <c r="S310" s="204"/>
      <c r="T310" s="204"/>
      <c r="U310" s="204"/>
      <c r="V310" s="204"/>
      <c r="W310" s="204"/>
      <c r="X310" s="97">
        <f>SUM(X301:X309)</f>
        <v>0</v>
      </c>
      <c r="Y310" s="198">
        <f>SUM(Y301:Y309)</f>
        <v>0</v>
      </c>
      <c r="Z310" s="98">
        <f>SUM(Z301:Z309)</f>
        <v>0</v>
      </c>
      <c r="AA310" s="198">
        <f>SUM(AA301:AA309)</f>
        <v>0</v>
      </c>
      <c r="AB310" s="40"/>
      <c r="AC310" s="43"/>
      <c r="AD310" s="22"/>
    </row>
    <row r="311" spans="1:30" s="23" customFormat="1" x14ac:dyDescent="0.3">
      <c r="A311" s="47"/>
      <c r="B311" s="40"/>
      <c r="C311" s="40"/>
      <c r="D311" s="204"/>
      <c r="E311" s="204"/>
      <c r="F311" s="204"/>
      <c r="G311" s="204"/>
      <c r="H311" s="204"/>
      <c r="I311" s="204"/>
      <c r="J311" s="204"/>
      <c r="K311" s="204"/>
      <c r="L311" s="204"/>
      <c r="M311" s="204"/>
      <c r="N311" s="204"/>
      <c r="O311" s="204"/>
      <c r="P311" s="204"/>
      <c r="Q311" s="204"/>
      <c r="R311" s="204"/>
      <c r="S311" s="204"/>
      <c r="T311" s="204"/>
      <c r="U311" s="204"/>
      <c r="V311" s="204"/>
      <c r="W311" s="204"/>
      <c r="X311" s="97"/>
      <c r="Y311" s="198"/>
      <c r="Z311" s="98"/>
      <c r="AA311" s="198"/>
      <c r="AB311" s="40"/>
      <c r="AC311" s="43"/>
      <c r="AD311" s="22"/>
    </row>
    <row r="312" spans="1:30" s="23" customFormat="1" x14ac:dyDescent="0.3">
      <c r="A312" s="242"/>
      <c r="B312" s="243" t="s">
        <v>299</v>
      </c>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62" t="s">
        <v>69</v>
      </c>
      <c r="Y312" s="263" t="s">
        <v>70</v>
      </c>
      <c r="Z312" s="262" t="s">
        <v>75</v>
      </c>
      <c r="AA312" s="263" t="s">
        <v>70</v>
      </c>
      <c r="AB312" s="243"/>
      <c r="AC312" s="243"/>
      <c r="AD312" s="22"/>
    </row>
    <row r="313" spans="1:30" s="23" customFormat="1" x14ac:dyDescent="0.3">
      <c r="A313" s="272"/>
      <c r="B313" s="273" t="s">
        <v>295</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275">
        <v>0</v>
      </c>
      <c r="Y313" s="276">
        <v>0</v>
      </c>
      <c r="Z313" s="277">
        <v>0</v>
      </c>
      <c r="AA313" s="276">
        <v>0</v>
      </c>
      <c r="AB313" s="40"/>
      <c r="AC313" s="43"/>
      <c r="AD313" s="22"/>
    </row>
    <row r="314" spans="1:30" s="23" customFormat="1" x14ac:dyDescent="0.3">
      <c r="A314" s="272"/>
      <c r="B314" s="273" t="s">
        <v>296</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275">
        <v>0</v>
      </c>
      <c r="Y314" s="276">
        <v>0</v>
      </c>
      <c r="Z314" s="277">
        <v>0</v>
      </c>
      <c r="AA314" s="276">
        <v>0</v>
      </c>
      <c r="AB314" s="40"/>
      <c r="AC314" s="43"/>
      <c r="AD314" s="22"/>
    </row>
    <row r="315" spans="1:30" s="23" customFormat="1" x14ac:dyDescent="0.3">
      <c r="A315" s="272"/>
      <c r="B315" s="273" t="s">
        <v>297</v>
      </c>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275">
        <v>0</v>
      </c>
      <c r="Y315" s="276">
        <v>0</v>
      </c>
      <c r="Z315" s="277">
        <v>0</v>
      </c>
      <c r="AA315" s="276">
        <v>0</v>
      </c>
      <c r="AB315" s="40"/>
      <c r="AC315" s="43"/>
      <c r="AD315" s="22"/>
    </row>
    <row r="316" spans="1:30" s="23" customFormat="1" x14ac:dyDescent="0.3">
      <c r="A316" s="272"/>
      <c r="B316" s="273" t="s">
        <v>298</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5">
        <v>0</v>
      </c>
      <c r="Y316" s="276">
        <v>0</v>
      </c>
      <c r="Z316" s="277">
        <v>0</v>
      </c>
      <c r="AA316" s="276">
        <v>0</v>
      </c>
      <c r="AB316" s="40"/>
      <c r="AC316" s="43"/>
      <c r="AD316" s="22"/>
    </row>
    <row r="317" spans="1:30" s="23" customFormat="1" x14ac:dyDescent="0.3">
      <c r="A317" s="272"/>
      <c r="B317" s="273" t="s">
        <v>368</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5">
        <v>0</v>
      </c>
      <c r="Y317" s="276">
        <v>0</v>
      </c>
      <c r="Z317" s="277">
        <v>0</v>
      </c>
      <c r="AA317" s="276">
        <v>0</v>
      </c>
      <c r="AB317" s="40"/>
      <c r="AC317" s="43"/>
      <c r="AD317" s="22"/>
    </row>
    <row r="318" spans="1:30" s="23" customFormat="1" x14ac:dyDescent="0.3">
      <c r="A318" s="272"/>
      <c r="B318" s="274" t="s">
        <v>300</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5">
        <v>0</v>
      </c>
      <c r="Y318" s="276">
        <v>0</v>
      </c>
      <c r="Z318" s="277">
        <v>0</v>
      </c>
      <c r="AA318" s="276">
        <v>0</v>
      </c>
      <c r="AB318" s="40"/>
      <c r="AC318" s="43"/>
      <c r="AD318" s="22"/>
    </row>
    <row r="319" spans="1:30" s="23" customFormat="1" x14ac:dyDescent="0.3">
      <c r="A319" s="272"/>
      <c r="B319" s="273"/>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5"/>
      <c r="Y319" s="276"/>
      <c r="Z319" s="277"/>
      <c r="AA319" s="276"/>
      <c r="AB319" s="40"/>
      <c r="AC319" s="43"/>
      <c r="AD319" s="22"/>
    </row>
    <row r="320" spans="1:30" s="23" customFormat="1" x14ac:dyDescent="0.3">
      <c r="A320" s="272"/>
      <c r="B320" s="273" t="s">
        <v>80</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5">
        <f>SUM(X313:X319)</f>
        <v>0</v>
      </c>
      <c r="Y320" s="276">
        <f>SUM(Y313:Y318)</f>
        <v>0</v>
      </c>
      <c r="Z320" s="277">
        <f>SUM(Z313:Z318)</f>
        <v>0</v>
      </c>
      <c r="AA320" s="276">
        <f>SUM(AA313:AA319)</f>
        <v>0</v>
      </c>
      <c r="AB320" s="40"/>
      <c r="AC320" s="43"/>
      <c r="AD320" s="22"/>
    </row>
    <row r="321" spans="1:30" x14ac:dyDescent="0.3">
      <c r="A321" s="7"/>
      <c r="B321" s="99"/>
      <c r="C321" s="99"/>
      <c r="D321" s="205"/>
      <c r="E321" s="205"/>
      <c r="F321" s="205"/>
      <c r="G321" s="205"/>
      <c r="H321" s="205"/>
      <c r="I321" s="205"/>
      <c r="J321" s="205"/>
      <c r="K321" s="205"/>
      <c r="L321" s="205"/>
      <c r="M321" s="205"/>
      <c r="N321" s="205"/>
      <c r="O321" s="205"/>
      <c r="P321" s="205"/>
      <c r="Q321" s="205"/>
      <c r="R321" s="205"/>
      <c r="S321" s="205"/>
      <c r="T321" s="205"/>
      <c r="U321" s="205"/>
      <c r="V321" s="205"/>
      <c r="W321" s="205"/>
      <c r="X321" s="100"/>
      <c r="Y321" s="206"/>
      <c r="Z321" s="207"/>
      <c r="AA321" s="206"/>
      <c r="AB321" s="99"/>
      <c r="AC321" s="10"/>
      <c r="AD321" s="5"/>
    </row>
    <row r="322" spans="1:30" x14ac:dyDescent="0.3">
      <c r="A322" s="33"/>
      <c r="B322" s="102" t="s">
        <v>106</v>
      </c>
      <c r="C322" s="34"/>
      <c r="D322" s="208"/>
      <c r="E322" s="208"/>
      <c r="F322" s="208"/>
      <c r="G322" s="208"/>
      <c r="H322" s="208"/>
      <c r="I322" s="208"/>
      <c r="J322" s="208"/>
      <c r="K322" s="208"/>
      <c r="L322" s="208"/>
      <c r="M322" s="208"/>
      <c r="N322" s="208"/>
      <c r="O322" s="208"/>
      <c r="P322" s="208"/>
      <c r="Q322" s="208"/>
      <c r="R322" s="208"/>
      <c r="S322" s="208"/>
      <c r="T322" s="208"/>
      <c r="U322" s="208"/>
      <c r="V322" s="208"/>
      <c r="W322" s="208"/>
      <c r="X322" s="154" t="s">
        <v>69</v>
      </c>
      <c r="Y322" s="103" t="s">
        <v>70</v>
      </c>
      <c r="Z322" s="154" t="s">
        <v>75</v>
      </c>
      <c r="AA322" s="103" t="s">
        <v>70</v>
      </c>
      <c r="AB322" s="34"/>
      <c r="AC322" s="36"/>
      <c r="AD322" s="5"/>
    </row>
    <row r="323" spans="1:30" s="23" customFormat="1" x14ac:dyDescent="0.3">
      <c r="A323" s="18"/>
      <c r="B323" s="106" t="s">
        <v>59</v>
      </c>
      <c r="C323" s="37"/>
      <c r="D323" s="209"/>
      <c r="E323" s="209"/>
      <c r="F323" s="209"/>
      <c r="G323" s="209"/>
      <c r="H323" s="209"/>
      <c r="I323" s="209"/>
      <c r="J323" s="209"/>
      <c r="K323" s="209"/>
      <c r="L323" s="209"/>
      <c r="M323" s="209"/>
      <c r="N323" s="209"/>
      <c r="O323" s="209"/>
      <c r="P323" s="209"/>
      <c r="Q323" s="209"/>
      <c r="R323" s="209"/>
      <c r="S323" s="209"/>
      <c r="T323" s="209"/>
      <c r="U323" s="209"/>
      <c r="V323" s="209"/>
      <c r="W323" s="209"/>
      <c r="X323" s="106">
        <v>0</v>
      </c>
      <c r="Y323" s="192">
        <v>0</v>
      </c>
      <c r="Z323" s="107">
        <v>0</v>
      </c>
      <c r="AA323" s="192">
        <v>0</v>
      </c>
      <c r="AB323" s="37"/>
      <c r="AC323" s="21"/>
      <c r="AD323" s="22"/>
    </row>
    <row r="324" spans="1:30" s="23" customFormat="1" x14ac:dyDescent="0.3">
      <c r="A324" s="47"/>
      <c r="B324" s="97" t="s">
        <v>60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97">
        <v>0</v>
      </c>
      <c r="Y324" s="198">
        <v>0</v>
      </c>
      <c r="Z324" s="98">
        <v>0</v>
      </c>
      <c r="AA324" s="198">
        <v>0</v>
      </c>
      <c r="AB324" s="40"/>
      <c r="AC324" s="43"/>
      <c r="AD324" s="22"/>
    </row>
    <row r="325" spans="1:30" s="23" customFormat="1" x14ac:dyDescent="0.3">
      <c r="A325" s="47"/>
      <c r="B325" s="97" t="s">
        <v>61</v>
      </c>
      <c r="C325" s="40"/>
      <c r="D325" s="204"/>
      <c r="E325" s="204"/>
      <c r="F325" s="204"/>
      <c r="G325" s="204"/>
      <c r="H325" s="204"/>
      <c r="I325" s="204"/>
      <c r="J325" s="204"/>
      <c r="K325" s="204"/>
      <c r="L325" s="204"/>
      <c r="M325" s="204"/>
      <c r="N325" s="204"/>
      <c r="O325" s="204"/>
      <c r="P325" s="204"/>
      <c r="Q325" s="204"/>
      <c r="R325" s="204"/>
      <c r="S325" s="204"/>
      <c r="T325" s="204"/>
      <c r="U325" s="204"/>
      <c r="V325" s="204"/>
      <c r="W325" s="204"/>
      <c r="X325" s="97">
        <v>0</v>
      </c>
      <c r="Y325" s="198">
        <v>0</v>
      </c>
      <c r="Z325" s="98">
        <v>0</v>
      </c>
      <c r="AA325" s="198">
        <v>0</v>
      </c>
      <c r="AB325" s="40"/>
      <c r="AC325" s="43"/>
      <c r="AD325" s="22"/>
    </row>
    <row r="326" spans="1:30" s="23" customFormat="1" x14ac:dyDescent="0.3">
      <c r="A326" s="47"/>
      <c r="B326" s="97" t="s">
        <v>100</v>
      </c>
      <c r="C326" s="40"/>
      <c r="D326" s="204"/>
      <c r="E326" s="204"/>
      <c r="F326" s="204"/>
      <c r="G326" s="204"/>
      <c r="H326" s="204"/>
      <c r="I326" s="204"/>
      <c r="J326" s="204"/>
      <c r="K326" s="204"/>
      <c r="L326" s="204"/>
      <c r="M326" s="204"/>
      <c r="N326" s="204"/>
      <c r="O326" s="204"/>
      <c r="P326" s="204"/>
      <c r="Q326" s="204"/>
      <c r="R326" s="204"/>
      <c r="S326" s="204"/>
      <c r="T326" s="204"/>
      <c r="U326" s="204"/>
      <c r="V326" s="204"/>
      <c r="W326" s="204"/>
      <c r="X326" s="97">
        <v>0</v>
      </c>
      <c r="Y326" s="198">
        <v>0</v>
      </c>
      <c r="Z326" s="98">
        <v>0</v>
      </c>
      <c r="AA326" s="198">
        <v>0</v>
      </c>
      <c r="AB326" s="40"/>
      <c r="AC326" s="43"/>
      <c r="AD326" s="22"/>
    </row>
    <row r="327" spans="1:30" s="23" customFormat="1" x14ac:dyDescent="0.3">
      <c r="A327" s="47"/>
      <c r="B327" s="97" t="s">
        <v>101</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102</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103</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104</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c r="Y331" s="198"/>
      <c r="Z331" s="98"/>
      <c r="AA331" s="198"/>
      <c r="AB331" s="40"/>
      <c r="AC331" s="43"/>
      <c r="AD331" s="22"/>
    </row>
    <row r="332" spans="1:30" s="23" customFormat="1" x14ac:dyDescent="0.3">
      <c r="A332" s="47"/>
      <c r="B332" s="40" t="s">
        <v>80</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f>SUM(X323:X330)</f>
        <v>0</v>
      </c>
      <c r="Y332" s="198">
        <f>SUM(Y323:Y330)</f>
        <v>0</v>
      </c>
      <c r="Z332" s="98">
        <f>SUM(Z323:Z330)</f>
        <v>0</v>
      </c>
      <c r="AA332" s="198">
        <f>SUM(AA323:AA330)</f>
        <v>0</v>
      </c>
      <c r="AB332" s="40"/>
      <c r="AC332" s="43"/>
      <c r="AD332" s="22"/>
    </row>
    <row r="333" spans="1:30" s="23" customFormat="1" x14ac:dyDescent="0.3">
      <c r="A333" s="47"/>
      <c r="B333" s="40"/>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c r="Y333" s="198"/>
      <c r="Z333" s="98"/>
      <c r="AA333" s="198"/>
      <c r="AB333" s="40"/>
      <c r="AC333" s="43"/>
      <c r="AD333" s="22"/>
    </row>
    <row r="334" spans="1:30" s="23" customFormat="1" x14ac:dyDescent="0.3">
      <c r="A334" s="242" t="s">
        <v>282</v>
      </c>
      <c r="B334" s="243" t="s">
        <v>283</v>
      </c>
      <c r="C334" s="244"/>
      <c r="D334" s="244"/>
      <c r="E334" s="244"/>
      <c r="F334" s="244"/>
      <c r="G334" s="244"/>
      <c r="H334" s="245"/>
      <c r="I334" s="245"/>
      <c r="J334" s="245"/>
      <c r="K334" s="245"/>
      <c r="L334" s="245"/>
      <c r="M334" s="245"/>
      <c r="N334" s="245"/>
      <c r="O334" s="245"/>
      <c r="P334" s="246"/>
      <c r="Q334" s="246"/>
      <c r="R334" s="246"/>
      <c r="S334" s="246"/>
      <c r="T334" s="246"/>
      <c r="U334" s="246"/>
      <c r="V334" s="246"/>
      <c r="W334" s="246"/>
      <c r="X334" s="262" t="s">
        <v>69</v>
      </c>
      <c r="Y334" s="263" t="s">
        <v>70</v>
      </c>
      <c r="Z334" s="262" t="s">
        <v>75</v>
      </c>
      <c r="AA334" s="263" t="s">
        <v>70</v>
      </c>
      <c r="AB334" s="282" t="s">
        <v>335</v>
      </c>
      <c r="AC334" s="284"/>
      <c r="AD334" s="22"/>
    </row>
    <row r="335" spans="1:30" s="23" customFormat="1" x14ac:dyDescent="0.3">
      <c r="A335" s="247"/>
      <c r="B335" s="248" t="s">
        <v>59</v>
      </c>
      <c r="C335" s="249"/>
      <c r="D335" s="249"/>
      <c r="E335" s="249"/>
      <c r="F335" s="249"/>
      <c r="G335" s="249"/>
      <c r="H335" s="250"/>
      <c r="I335" s="250"/>
      <c r="J335" s="250"/>
      <c r="K335" s="250"/>
      <c r="L335" s="250"/>
      <c r="M335" s="250"/>
      <c r="N335" s="250"/>
      <c r="O335" s="250"/>
      <c r="P335" s="251"/>
      <c r="Q335" s="269"/>
      <c r="R335" s="269"/>
      <c r="S335" s="269"/>
      <c r="T335" s="269"/>
      <c r="U335" s="269"/>
      <c r="V335" s="269"/>
      <c r="W335" s="269"/>
      <c r="X335" s="264">
        <v>32</v>
      </c>
      <c r="Y335" s="265">
        <f>+X335/X344</f>
        <v>1</v>
      </c>
      <c r="Z335" s="215">
        <v>7798</v>
      </c>
      <c r="AA335" s="265">
        <f>+Z335/Z344</f>
        <v>1</v>
      </c>
      <c r="AB335" s="281"/>
      <c r="AC335" s="283"/>
      <c r="AD335" s="22"/>
    </row>
    <row r="336" spans="1:30" s="23" customFormat="1" x14ac:dyDescent="0.3">
      <c r="A336" s="252"/>
      <c r="B336" s="253" t="s">
        <v>60</v>
      </c>
      <c r="C336" s="254"/>
      <c r="D336" s="254"/>
      <c r="E336" s="254"/>
      <c r="F336" s="254"/>
      <c r="G336" s="254"/>
      <c r="H336" s="255"/>
      <c r="I336" s="255"/>
      <c r="J336" s="255"/>
      <c r="K336" s="255"/>
      <c r="L336" s="255"/>
      <c r="M336" s="255"/>
      <c r="N336" s="255"/>
      <c r="O336" s="255"/>
      <c r="P336" s="256"/>
      <c r="Q336" s="204"/>
      <c r="R336" s="204"/>
      <c r="S336" s="204"/>
      <c r="T336" s="204"/>
      <c r="U336" s="204"/>
      <c r="V336" s="204"/>
      <c r="W336" s="204"/>
      <c r="X336" s="266">
        <v>0</v>
      </c>
      <c r="Y336" s="267">
        <f>+X336/X344</f>
        <v>0</v>
      </c>
      <c r="Z336" s="98">
        <v>0</v>
      </c>
      <c r="AA336" s="268">
        <f>+Z336/Z344</f>
        <v>0</v>
      </c>
      <c r="AB336" s="40"/>
      <c r="AC336" s="43"/>
      <c r="AD336" s="22"/>
    </row>
    <row r="337" spans="1:30" s="23" customFormat="1" x14ac:dyDescent="0.3">
      <c r="A337" s="252"/>
      <c r="B337" s="253" t="s">
        <v>61</v>
      </c>
      <c r="C337" s="254"/>
      <c r="D337" s="254"/>
      <c r="E337" s="254"/>
      <c r="F337" s="254"/>
      <c r="G337" s="254"/>
      <c r="H337" s="255"/>
      <c r="I337" s="255"/>
      <c r="J337" s="255"/>
      <c r="K337" s="255"/>
      <c r="L337" s="255"/>
      <c r="M337" s="255"/>
      <c r="N337" s="255"/>
      <c r="O337" s="255"/>
      <c r="P337" s="256"/>
      <c r="Q337" s="204"/>
      <c r="R337" s="204"/>
      <c r="S337" s="204"/>
      <c r="T337" s="204"/>
      <c r="U337" s="204"/>
      <c r="V337" s="204"/>
      <c r="W337" s="204"/>
      <c r="X337" s="266">
        <v>0</v>
      </c>
      <c r="Y337" s="267">
        <f>+X337/X344</f>
        <v>0</v>
      </c>
      <c r="Z337" s="98">
        <v>0</v>
      </c>
      <c r="AA337" s="268">
        <f>+Z337/Z344</f>
        <v>0</v>
      </c>
      <c r="AB337" s="40"/>
      <c r="AC337" s="43"/>
      <c r="AD337" s="22"/>
    </row>
    <row r="338" spans="1:30" s="23" customFormat="1" x14ac:dyDescent="0.3">
      <c r="A338" s="252"/>
      <c r="B338" s="253" t="s">
        <v>100</v>
      </c>
      <c r="C338" s="254"/>
      <c r="D338" s="254"/>
      <c r="E338" s="254"/>
      <c r="F338" s="254"/>
      <c r="G338" s="254"/>
      <c r="H338" s="255"/>
      <c r="I338" s="255"/>
      <c r="J338" s="255"/>
      <c r="K338" s="255"/>
      <c r="L338" s="255"/>
      <c r="M338" s="255"/>
      <c r="N338" s="255"/>
      <c r="O338" s="255"/>
      <c r="P338" s="256"/>
      <c r="Q338" s="204"/>
      <c r="R338" s="204"/>
      <c r="S338" s="204"/>
      <c r="T338" s="204"/>
      <c r="U338" s="204"/>
      <c r="V338" s="204"/>
      <c r="W338" s="204"/>
      <c r="X338" s="266">
        <v>0</v>
      </c>
      <c r="Y338" s="267">
        <f>+X338/X344</f>
        <v>0</v>
      </c>
      <c r="Z338" s="98">
        <v>0</v>
      </c>
      <c r="AA338" s="268">
        <f>+Z338/Z344</f>
        <v>0</v>
      </c>
      <c r="AB338" s="40"/>
      <c r="AC338" s="43"/>
      <c r="AD338" s="22"/>
    </row>
    <row r="339" spans="1:30" s="23" customFormat="1" x14ac:dyDescent="0.3">
      <c r="A339" s="252"/>
      <c r="B339" s="253" t="s">
        <v>101</v>
      </c>
      <c r="C339" s="254"/>
      <c r="D339" s="254"/>
      <c r="E339" s="254"/>
      <c r="F339" s="254"/>
      <c r="G339" s="254"/>
      <c r="H339" s="255"/>
      <c r="I339" s="255"/>
      <c r="J339" s="255"/>
      <c r="K339" s="255"/>
      <c r="L339" s="255"/>
      <c r="M339" s="255"/>
      <c r="N339" s="255"/>
      <c r="O339" s="255"/>
      <c r="P339" s="256"/>
      <c r="Q339" s="204"/>
      <c r="R339" s="204"/>
      <c r="S339" s="204"/>
      <c r="T339" s="204"/>
      <c r="U339" s="204"/>
      <c r="V339" s="204"/>
      <c r="W339" s="204"/>
      <c r="X339" s="266">
        <v>0</v>
      </c>
      <c r="Y339" s="267">
        <f>+X339/X344</f>
        <v>0</v>
      </c>
      <c r="Z339" s="98">
        <v>0</v>
      </c>
      <c r="AA339" s="268">
        <f>+Z339/Z344</f>
        <v>0</v>
      </c>
      <c r="AB339" s="40"/>
      <c r="AC339" s="43"/>
      <c r="AD339" s="22"/>
    </row>
    <row r="340" spans="1:30" s="23" customFormat="1" x14ac:dyDescent="0.3">
      <c r="A340" s="252"/>
      <c r="B340" s="253" t="s">
        <v>102</v>
      </c>
      <c r="C340" s="254"/>
      <c r="D340" s="254"/>
      <c r="E340" s="254"/>
      <c r="F340" s="254"/>
      <c r="G340" s="254"/>
      <c r="H340" s="255"/>
      <c r="I340" s="255"/>
      <c r="J340" s="255"/>
      <c r="K340" s="255"/>
      <c r="L340" s="255"/>
      <c r="M340" s="255"/>
      <c r="N340" s="255"/>
      <c r="O340" s="255"/>
      <c r="P340" s="256"/>
      <c r="Q340" s="204"/>
      <c r="R340" s="204"/>
      <c r="S340" s="204"/>
      <c r="T340" s="204"/>
      <c r="U340" s="204"/>
      <c r="V340" s="204"/>
      <c r="W340" s="204"/>
      <c r="X340" s="266">
        <v>0</v>
      </c>
      <c r="Y340" s="267">
        <f>+X340/X344</f>
        <v>0</v>
      </c>
      <c r="Z340" s="98">
        <v>0</v>
      </c>
      <c r="AA340" s="268">
        <f>+Z340/Z344</f>
        <v>0</v>
      </c>
      <c r="AB340" s="40"/>
      <c r="AC340" s="43"/>
      <c r="AD340" s="22"/>
    </row>
    <row r="341" spans="1:30" s="23" customFormat="1" x14ac:dyDescent="0.3">
      <c r="A341" s="252"/>
      <c r="B341" s="253" t="s">
        <v>103</v>
      </c>
      <c r="C341" s="254"/>
      <c r="D341" s="254"/>
      <c r="E341" s="254"/>
      <c r="F341" s="254"/>
      <c r="G341" s="254"/>
      <c r="H341" s="255"/>
      <c r="I341" s="255"/>
      <c r="J341" s="255"/>
      <c r="K341" s="255"/>
      <c r="L341" s="255"/>
      <c r="M341" s="255"/>
      <c r="N341" s="255"/>
      <c r="O341" s="255"/>
      <c r="P341" s="256"/>
      <c r="Q341" s="204"/>
      <c r="R341" s="204"/>
      <c r="S341" s="204"/>
      <c r="T341" s="204"/>
      <c r="U341" s="204"/>
      <c r="V341" s="204"/>
      <c r="W341" s="204"/>
      <c r="X341" s="266">
        <v>0</v>
      </c>
      <c r="Y341" s="267">
        <f>+X341/X344</f>
        <v>0</v>
      </c>
      <c r="Z341" s="98">
        <v>0</v>
      </c>
      <c r="AA341" s="268">
        <f>+Z341/Z344</f>
        <v>0</v>
      </c>
      <c r="AB341" s="40"/>
      <c r="AC341" s="43"/>
      <c r="AD341" s="22"/>
    </row>
    <row r="342" spans="1:30" s="23" customFormat="1" x14ac:dyDescent="0.3">
      <c r="A342" s="252"/>
      <c r="B342" s="253" t="s">
        <v>104</v>
      </c>
      <c r="C342" s="254"/>
      <c r="D342" s="254"/>
      <c r="E342" s="254"/>
      <c r="F342" s="254"/>
      <c r="G342" s="254"/>
      <c r="H342" s="255"/>
      <c r="I342" s="255"/>
      <c r="J342" s="255"/>
      <c r="K342" s="255"/>
      <c r="L342" s="255"/>
      <c r="M342" s="255"/>
      <c r="N342" s="255"/>
      <c r="O342" s="255"/>
      <c r="P342" s="256"/>
      <c r="Q342" s="204"/>
      <c r="R342" s="204"/>
      <c r="S342" s="204"/>
      <c r="T342" s="204"/>
      <c r="U342" s="204"/>
      <c r="V342" s="204"/>
      <c r="W342" s="204"/>
      <c r="X342" s="266">
        <v>0</v>
      </c>
      <c r="Y342" s="265">
        <f>+X342/X344</f>
        <v>0</v>
      </c>
      <c r="Z342" s="98">
        <v>0</v>
      </c>
      <c r="AA342" s="268">
        <f>+Z342/Z344</f>
        <v>0</v>
      </c>
      <c r="AB342" s="40"/>
      <c r="AC342" s="43"/>
      <c r="AD342" s="22"/>
    </row>
    <row r="343" spans="1:30" s="23" customFormat="1" x14ac:dyDescent="0.3">
      <c r="A343" s="252"/>
      <c r="B343" s="253"/>
      <c r="C343" s="254"/>
      <c r="D343" s="254"/>
      <c r="E343" s="254"/>
      <c r="F343" s="254"/>
      <c r="G343" s="254"/>
      <c r="H343" s="255"/>
      <c r="I343" s="255"/>
      <c r="J343" s="255"/>
      <c r="K343" s="255"/>
      <c r="L343" s="255"/>
      <c r="M343" s="255"/>
      <c r="N343" s="255"/>
      <c r="O343" s="255"/>
      <c r="P343" s="256"/>
      <c r="Q343" s="204"/>
      <c r="R343" s="204"/>
      <c r="S343" s="204"/>
      <c r="T343" s="204"/>
      <c r="U343" s="204"/>
      <c r="V343" s="204"/>
      <c r="W343" s="204"/>
      <c r="X343" s="266"/>
      <c r="Y343" s="268"/>
      <c r="Z343" s="98"/>
      <c r="AA343" s="268"/>
      <c r="AB343" s="40"/>
      <c r="AC343" s="43"/>
      <c r="AD343" s="22"/>
    </row>
    <row r="344" spans="1:30" s="23" customFormat="1" x14ac:dyDescent="0.3">
      <c r="A344" s="252"/>
      <c r="B344" s="254" t="s">
        <v>80</v>
      </c>
      <c r="C344" s="254"/>
      <c r="D344" s="254"/>
      <c r="E344" s="254"/>
      <c r="F344" s="254"/>
      <c r="G344" s="254"/>
      <c r="H344" s="255"/>
      <c r="I344" s="255"/>
      <c r="J344" s="255"/>
      <c r="K344" s="255"/>
      <c r="L344" s="255"/>
      <c r="M344" s="255"/>
      <c r="N344" s="255"/>
      <c r="O344" s="255"/>
      <c r="P344" s="256"/>
      <c r="Q344" s="204"/>
      <c r="R344" s="204"/>
      <c r="S344" s="204"/>
      <c r="T344" s="204"/>
      <c r="U344" s="204"/>
      <c r="V344" s="204"/>
      <c r="W344" s="204"/>
      <c r="X344" s="266">
        <f>SUM(X335:X342)</f>
        <v>32</v>
      </c>
      <c r="Y344" s="268">
        <f>SUM(Y335:Y342)</f>
        <v>1</v>
      </c>
      <c r="Z344" s="98">
        <f>SUM(Z335:Z342)</f>
        <v>7798</v>
      </c>
      <c r="AA344" s="268">
        <f>SUM(AA335:AA342)</f>
        <v>1</v>
      </c>
      <c r="AB344" s="40"/>
      <c r="AC344" s="43"/>
      <c r="AD344" s="22"/>
    </row>
    <row r="345" spans="1:30" s="23" customFormat="1" ht="16.2" thickBot="1" x14ac:dyDescent="0.35">
      <c r="A345" s="252"/>
      <c r="B345" s="254" t="s">
        <v>294</v>
      </c>
      <c r="C345" s="254"/>
      <c r="D345" s="254"/>
      <c r="E345" s="254"/>
      <c r="F345" s="254"/>
      <c r="G345" s="254"/>
      <c r="H345" s="255"/>
      <c r="I345" s="255"/>
      <c r="J345" s="255"/>
      <c r="K345" s="255"/>
      <c r="L345" s="255"/>
      <c r="M345" s="255"/>
      <c r="N345" s="255"/>
      <c r="O345" s="255"/>
      <c r="P345" s="256"/>
      <c r="Q345" s="204"/>
      <c r="R345" s="204"/>
      <c r="S345" s="204"/>
      <c r="T345" s="204"/>
      <c r="U345" s="204"/>
      <c r="V345" s="204"/>
      <c r="W345" s="204"/>
      <c r="X345" s="285"/>
      <c r="Y345" s="285">
        <f>+X344/X349</f>
        <v>7.9110012360939438E-3</v>
      </c>
      <c r="Z345" s="286"/>
      <c r="AA345" s="285">
        <f>+Z344/Z349</f>
        <v>1.038355781330102E-2</v>
      </c>
      <c r="AB345" s="287"/>
      <c r="AC345" s="43"/>
      <c r="AD345" s="22"/>
    </row>
    <row r="346" spans="1:30" s="23" customFormat="1" ht="16.2" thickTop="1" x14ac:dyDescent="0.3">
      <c r="A346" s="252"/>
      <c r="B346" s="254" t="s">
        <v>336</v>
      </c>
      <c r="C346" s="254"/>
      <c r="D346" s="254"/>
      <c r="E346" s="254"/>
      <c r="F346" s="254"/>
      <c r="G346" s="254"/>
      <c r="H346" s="255"/>
      <c r="I346" s="255"/>
      <c r="J346" s="255"/>
      <c r="K346" s="255"/>
      <c r="L346" s="255"/>
      <c r="M346" s="255"/>
      <c r="N346" s="255"/>
      <c r="O346" s="255"/>
      <c r="P346" s="256"/>
      <c r="Q346" s="204"/>
      <c r="R346" s="204"/>
      <c r="S346" s="204"/>
      <c r="T346" s="204"/>
      <c r="U346" s="204"/>
      <c r="V346" s="204"/>
      <c r="W346" s="204"/>
      <c r="X346" s="290">
        <v>7</v>
      </c>
      <c r="Y346" s="291">
        <f>X346/X344</f>
        <v>0.21875</v>
      </c>
      <c r="Z346" s="292">
        <v>1694</v>
      </c>
      <c r="AA346" s="291">
        <f>Z346/Z344</f>
        <v>0.21723518850987433</v>
      </c>
      <c r="AB346" s="293">
        <v>0.97235023041474655</v>
      </c>
      <c r="AC346" s="43"/>
      <c r="AD346" s="22"/>
    </row>
    <row r="347" spans="1:30" s="23" customFormat="1" ht="16.2" thickBot="1" x14ac:dyDescent="0.35">
      <c r="A347" s="252"/>
      <c r="B347" s="254" t="s">
        <v>337</v>
      </c>
      <c r="C347" s="254"/>
      <c r="D347" s="254"/>
      <c r="E347" s="254"/>
      <c r="F347" s="254"/>
      <c r="G347" s="254"/>
      <c r="H347" s="255"/>
      <c r="I347" s="255"/>
      <c r="J347" s="255"/>
      <c r="K347" s="255"/>
      <c r="L347" s="255"/>
      <c r="M347" s="255"/>
      <c r="N347" s="255"/>
      <c r="O347" s="255"/>
      <c r="P347" s="256"/>
      <c r="Q347" s="204"/>
      <c r="R347" s="204"/>
      <c r="S347" s="204"/>
      <c r="T347" s="204"/>
      <c r="U347" s="204"/>
      <c r="V347" s="204"/>
      <c r="W347" s="204"/>
      <c r="X347" s="294">
        <v>25</v>
      </c>
      <c r="Y347" s="295">
        <f>X347/X344</f>
        <v>0.78125</v>
      </c>
      <c r="Z347" s="296">
        <v>6104</v>
      </c>
      <c r="AA347" s="295">
        <f>Z347/Z344</f>
        <v>0.78276481149012567</v>
      </c>
      <c r="AB347" s="297">
        <v>1.1729032258064516</v>
      </c>
      <c r="AC347" s="43"/>
      <c r="AD347" s="22"/>
    </row>
    <row r="348" spans="1:30" s="23" customFormat="1" ht="16.2" thickTop="1" x14ac:dyDescent="0.3">
      <c r="A348" s="252"/>
      <c r="B348" s="254"/>
      <c r="C348" s="254"/>
      <c r="D348" s="254"/>
      <c r="E348" s="254"/>
      <c r="F348" s="254"/>
      <c r="G348" s="254"/>
      <c r="H348" s="255"/>
      <c r="I348" s="255"/>
      <c r="J348" s="255"/>
      <c r="K348" s="255"/>
      <c r="L348" s="255"/>
      <c r="M348" s="255"/>
      <c r="N348" s="255"/>
      <c r="O348" s="255"/>
      <c r="P348" s="256"/>
      <c r="Q348" s="204"/>
      <c r="R348" s="204"/>
      <c r="S348" s="204"/>
      <c r="T348" s="204"/>
      <c r="U348" s="204"/>
      <c r="V348" s="204"/>
      <c r="W348" s="204"/>
      <c r="X348" s="288"/>
      <c r="Y348" s="202"/>
      <c r="Z348" s="289"/>
      <c r="AA348" s="202"/>
      <c r="AB348" s="281"/>
      <c r="AC348" s="43"/>
      <c r="AD348" s="22"/>
    </row>
    <row r="349" spans="1:30" s="23" customFormat="1" x14ac:dyDescent="0.3">
      <c r="A349" s="47"/>
      <c r="B349" s="44" t="s">
        <v>139</v>
      </c>
      <c r="C349" s="40"/>
      <c r="D349" s="204"/>
      <c r="E349" s="204"/>
      <c r="F349" s="204"/>
      <c r="G349" s="204"/>
      <c r="H349" s="204"/>
      <c r="I349" s="204"/>
      <c r="J349" s="204"/>
      <c r="K349" s="204"/>
      <c r="L349" s="204"/>
      <c r="M349" s="204"/>
      <c r="N349" s="204"/>
      <c r="O349" s="204"/>
      <c r="P349" s="204"/>
      <c r="Q349" s="204"/>
      <c r="R349" s="204"/>
      <c r="S349" s="204"/>
      <c r="T349" s="204"/>
      <c r="U349" s="204"/>
      <c r="V349" s="204"/>
      <c r="W349" s="204"/>
      <c r="X349" s="210">
        <f>X332+X310+X298</f>
        <v>4045</v>
      </c>
      <c r="Y349" s="198"/>
      <c r="Z349" s="211">
        <f>+Z332+Z310+Z298</f>
        <v>750995</v>
      </c>
      <c r="AA349" s="198"/>
      <c r="AB349" s="40"/>
      <c r="AC349" s="43"/>
      <c r="AD349" s="22"/>
    </row>
    <row r="350" spans="1:30" s="23" customFormat="1" x14ac:dyDescent="0.3">
      <c r="A350" s="47"/>
      <c r="B350" s="44" t="s">
        <v>280</v>
      </c>
      <c r="C350" s="44"/>
      <c r="D350" s="212"/>
      <c r="E350" s="212"/>
      <c r="F350" s="212"/>
      <c r="G350" s="212"/>
      <c r="H350" s="212"/>
      <c r="I350" s="212"/>
      <c r="J350" s="212"/>
      <c r="K350" s="212"/>
      <c r="L350" s="212"/>
      <c r="M350" s="212"/>
      <c r="N350" s="212"/>
      <c r="O350" s="212"/>
      <c r="P350" s="212"/>
      <c r="Q350" s="212"/>
      <c r="R350" s="212"/>
      <c r="S350" s="212"/>
      <c r="T350" s="212"/>
      <c r="U350" s="212"/>
      <c r="V350" s="212"/>
      <c r="W350" s="212"/>
      <c r="X350" s="210"/>
      <c r="Y350" s="213"/>
      <c r="Z350" s="211">
        <f>+AB64+AB63</f>
        <v>556</v>
      </c>
      <c r="AA350" s="198"/>
      <c r="AB350" s="40"/>
      <c r="AC350" s="43"/>
      <c r="AD350" s="22"/>
    </row>
    <row r="351" spans="1:30" s="23" customFormat="1" x14ac:dyDescent="0.3">
      <c r="A351" s="47"/>
      <c r="B351" s="44" t="s">
        <v>107</v>
      </c>
      <c r="C351" s="44"/>
      <c r="D351" s="212"/>
      <c r="E351" s="212"/>
      <c r="F351" s="212"/>
      <c r="G351" s="212"/>
      <c r="H351" s="212"/>
      <c r="I351" s="212"/>
      <c r="J351" s="212"/>
      <c r="K351" s="212"/>
      <c r="L351" s="212"/>
      <c r="M351" s="212"/>
      <c r="N351" s="212"/>
      <c r="O351" s="212"/>
      <c r="P351" s="212"/>
      <c r="Q351" s="212"/>
      <c r="R351" s="212"/>
      <c r="S351" s="212"/>
      <c r="T351" s="212"/>
      <c r="U351" s="212"/>
      <c r="V351" s="212"/>
      <c r="W351" s="212"/>
      <c r="X351" s="210"/>
      <c r="Y351" s="213"/>
      <c r="Z351" s="211">
        <f>+Z349+Z350</f>
        <v>751551</v>
      </c>
      <c r="AA351" s="198"/>
      <c r="AB351" s="40"/>
      <c r="AC351" s="43"/>
      <c r="AD351" s="22"/>
    </row>
    <row r="352" spans="1:30" s="23" customFormat="1" x14ac:dyDescent="0.3">
      <c r="A352" s="47"/>
      <c r="B352" s="44" t="s">
        <v>245</v>
      </c>
      <c r="C352" s="40"/>
      <c r="D352" s="204"/>
      <c r="E352" s="204"/>
      <c r="F352" s="204"/>
      <c r="G352" s="204"/>
      <c r="H352" s="204"/>
      <c r="I352" s="204"/>
      <c r="J352" s="204"/>
      <c r="K352" s="204"/>
      <c r="L352" s="204"/>
      <c r="M352" s="204"/>
      <c r="N352" s="204"/>
      <c r="O352" s="204"/>
      <c r="P352" s="204"/>
      <c r="Q352" s="204"/>
      <c r="R352" s="204"/>
      <c r="S352" s="204"/>
      <c r="T352" s="204"/>
      <c r="U352" s="204"/>
      <c r="V352" s="204"/>
      <c r="W352" s="204"/>
      <c r="X352" s="210"/>
      <c r="Y352" s="198"/>
      <c r="Z352" s="211">
        <f>+AB66</f>
        <v>751551</v>
      </c>
      <c r="AA352" s="198"/>
      <c r="AB352" s="40"/>
      <c r="AC352" s="43"/>
      <c r="AD352" s="22"/>
    </row>
    <row r="353" spans="1:30" s="23" customFormat="1" x14ac:dyDescent="0.3">
      <c r="A353" s="47"/>
      <c r="B353" s="44"/>
      <c r="C353" s="40"/>
      <c r="D353" s="204"/>
      <c r="E353" s="204"/>
      <c r="F353" s="204"/>
      <c r="G353" s="204"/>
      <c r="H353" s="204"/>
      <c r="I353" s="204"/>
      <c r="J353" s="204"/>
      <c r="K353" s="204"/>
      <c r="L353" s="204"/>
      <c r="M353" s="204"/>
      <c r="N353" s="204"/>
      <c r="O353" s="204"/>
      <c r="P353" s="204"/>
      <c r="Q353" s="204"/>
      <c r="R353" s="204"/>
      <c r="S353" s="204"/>
      <c r="T353" s="204"/>
      <c r="U353" s="204"/>
      <c r="V353" s="204"/>
      <c r="W353" s="204"/>
      <c r="X353" s="210"/>
      <c r="Y353" s="198"/>
      <c r="Z353" s="211"/>
      <c r="AA353" s="198"/>
      <c r="AB353" s="40"/>
      <c r="AC353" s="43"/>
      <c r="AD353" s="22"/>
    </row>
    <row r="354" spans="1:30" s="23" customFormat="1" x14ac:dyDescent="0.3">
      <c r="A354" s="47"/>
      <c r="B354" s="44" t="s">
        <v>327</v>
      </c>
      <c r="C354" s="40"/>
      <c r="D354" s="204"/>
      <c r="E354" s="204"/>
      <c r="F354" s="204"/>
      <c r="G354" s="204"/>
      <c r="H354" s="204"/>
      <c r="I354" s="204"/>
      <c r="J354" s="204"/>
      <c r="K354" s="204"/>
      <c r="L354" s="204"/>
      <c r="M354" s="204"/>
      <c r="N354" s="204"/>
      <c r="O354" s="204"/>
      <c r="P354" s="204"/>
      <c r="Q354" s="204"/>
      <c r="R354" s="204"/>
      <c r="S354" s="204"/>
      <c r="T354" s="204"/>
      <c r="U354" s="204"/>
      <c r="V354" s="204"/>
      <c r="W354" s="204"/>
      <c r="X354" s="210"/>
      <c r="Y354" s="198"/>
      <c r="Z354" s="236">
        <f>(F31+H31+J31+L31+N31)/AB31</f>
        <v>1</v>
      </c>
      <c r="AA354" s="198"/>
      <c r="AB354" s="40"/>
      <c r="AC354" s="43"/>
      <c r="AD354" s="22"/>
    </row>
    <row r="355" spans="1:30" s="23" customFormat="1" x14ac:dyDescent="0.3">
      <c r="A355" s="18"/>
      <c r="B355" s="20"/>
      <c r="C355" s="20"/>
      <c r="D355" s="214"/>
      <c r="E355" s="214"/>
      <c r="F355" s="214"/>
      <c r="G355" s="214"/>
      <c r="H355" s="214"/>
      <c r="I355" s="214"/>
      <c r="J355" s="214"/>
      <c r="K355" s="214"/>
      <c r="L355" s="214"/>
      <c r="M355" s="214"/>
      <c r="N355" s="214"/>
      <c r="O355" s="214"/>
      <c r="P355" s="214"/>
      <c r="Q355" s="214"/>
      <c r="R355" s="214"/>
      <c r="S355" s="214"/>
      <c r="T355" s="214"/>
      <c r="U355" s="214"/>
      <c r="V355" s="214"/>
      <c r="W355" s="214"/>
      <c r="X355" s="214"/>
      <c r="Y355" s="214"/>
      <c r="Z355" s="215"/>
      <c r="AA355" s="214"/>
      <c r="AB355" s="20"/>
      <c r="AC355" s="21"/>
      <c r="AD355" s="22"/>
    </row>
    <row r="356" spans="1:30" s="23" customFormat="1" x14ac:dyDescent="0.3">
      <c r="A356" s="18"/>
      <c r="B356" s="19" t="s">
        <v>62</v>
      </c>
      <c r="C356" s="20"/>
      <c r="D356" s="216" t="s">
        <v>66</v>
      </c>
      <c r="E356" s="19"/>
      <c r="F356" s="19" t="s">
        <v>67</v>
      </c>
      <c r="G356" s="20"/>
      <c r="H356" s="19"/>
      <c r="I356" s="20"/>
      <c r="J356" s="20"/>
      <c r="K356" s="20"/>
      <c r="L356" s="20"/>
      <c r="M356" s="20"/>
      <c r="N356" s="20"/>
      <c r="O356" s="20"/>
      <c r="P356" s="20"/>
      <c r="Q356" s="20"/>
      <c r="R356" s="20"/>
      <c r="S356" s="20"/>
      <c r="T356" s="20"/>
      <c r="U356" s="20"/>
      <c r="V356" s="20"/>
      <c r="W356" s="20"/>
      <c r="X356" s="20"/>
      <c r="Y356" s="20"/>
      <c r="Z356" s="20"/>
      <c r="AA356" s="20"/>
      <c r="AB356" s="20"/>
      <c r="AC356" s="21"/>
      <c r="AD356" s="22"/>
    </row>
    <row r="357" spans="1:30" s="23" customFormat="1" x14ac:dyDescent="0.3">
      <c r="A357" s="18"/>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1"/>
      <c r="AD357" s="22"/>
    </row>
    <row r="358" spans="1:30" s="23" customFormat="1" x14ac:dyDescent="0.3">
      <c r="A358" s="18"/>
      <c r="B358" s="19" t="s">
        <v>152</v>
      </c>
      <c r="C358" s="19"/>
      <c r="D358" s="217" t="s">
        <v>122</v>
      </c>
      <c r="E358" s="19"/>
      <c r="F358" s="19" t="s">
        <v>169</v>
      </c>
      <c r="G358" s="19"/>
      <c r="H358" s="19"/>
      <c r="I358" s="20"/>
      <c r="J358" s="20"/>
      <c r="K358" s="20"/>
      <c r="L358" s="20"/>
      <c r="M358" s="20"/>
      <c r="N358" s="20"/>
      <c r="O358" s="20"/>
      <c r="P358" s="20"/>
      <c r="Q358" s="20"/>
      <c r="R358" s="20"/>
      <c r="S358" s="20"/>
      <c r="T358" s="20"/>
      <c r="U358" s="20"/>
      <c r="V358" s="20"/>
      <c r="W358" s="20"/>
      <c r="X358" s="20"/>
      <c r="Y358" s="20"/>
      <c r="Z358" s="20"/>
      <c r="AA358" s="20"/>
      <c r="AB358" s="20"/>
      <c r="AC358" s="21"/>
      <c r="AD358" s="22"/>
    </row>
    <row r="359" spans="1:30" s="23" customFormat="1" x14ac:dyDescent="0.3">
      <c r="A359" s="18"/>
      <c r="B359" s="19" t="s">
        <v>153</v>
      </c>
      <c r="C359" s="19"/>
      <c r="D359" s="217" t="s">
        <v>98</v>
      </c>
      <c r="E359" s="19"/>
      <c r="F359" s="19" t="s">
        <v>170</v>
      </c>
      <c r="G359" s="19"/>
      <c r="H359" s="19"/>
      <c r="I359" s="20"/>
      <c r="J359" s="20"/>
      <c r="K359" s="20"/>
      <c r="L359" s="20"/>
      <c r="M359" s="20"/>
      <c r="N359" s="20"/>
      <c r="O359" s="20"/>
      <c r="P359" s="20"/>
      <c r="Q359" s="20"/>
      <c r="R359" s="20"/>
      <c r="S359" s="20"/>
      <c r="T359" s="20"/>
      <c r="U359" s="20"/>
      <c r="V359" s="20"/>
      <c r="W359" s="20"/>
      <c r="X359" s="20"/>
      <c r="Y359" s="20"/>
      <c r="Z359" s="20"/>
      <c r="AA359" s="20"/>
      <c r="AB359" s="20"/>
      <c r="AC359" s="21"/>
      <c r="AD359" s="22"/>
    </row>
    <row r="360" spans="1:30" s="23" customFormat="1" x14ac:dyDescent="0.3">
      <c r="A360" s="18"/>
      <c r="B360" s="19"/>
      <c r="C360" s="19"/>
      <c r="D360" s="217"/>
      <c r="E360" s="19"/>
      <c r="F360" s="19"/>
      <c r="G360" s="19"/>
      <c r="H360" s="19"/>
      <c r="I360" s="20"/>
      <c r="J360" s="20"/>
      <c r="K360" s="20"/>
      <c r="L360" s="20"/>
      <c r="M360" s="20"/>
      <c r="N360" s="20"/>
      <c r="O360" s="20"/>
      <c r="P360" s="20"/>
      <c r="Q360" s="20"/>
      <c r="R360" s="20"/>
      <c r="S360" s="20"/>
      <c r="T360" s="20"/>
      <c r="U360" s="20"/>
      <c r="V360" s="20"/>
      <c r="W360" s="20"/>
      <c r="X360" s="20"/>
      <c r="Y360" s="20"/>
      <c r="Z360" s="20"/>
      <c r="AA360" s="20"/>
      <c r="AB360" s="20"/>
      <c r="AC360" s="21"/>
      <c r="AD360" s="22"/>
    </row>
    <row r="361" spans="1:30" s="23" customFormat="1" x14ac:dyDescent="0.3">
      <c r="A361" s="18"/>
      <c r="B361" s="257" t="s">
        <v>326</v>
      </c>
      <c r="C361" s="19"/>
      <c r="D361" s="217"/>
      <c r="E361" s="19"/>
      <c r="F361" s="19"/>
      <c r="G361" s="19"/>
      <c r="H361" s="19"/>
      <c r="I361" s="20"/>
      <c r="J361" s="20"/>
      <c r="K361" s="20"/>
      <c r="L361" s="20"/>
      <c r="M361" s="20"/>
      <c r="N361" s="20"/>
      <c r="O361" s="20"/>
      <c r="P361" s="20"/>
      <c r="Q361" s="20"/>
      <c r="R361" s="20"/>
      <c r="S361" s="20"/>
      <c r="T361" s="20"/>
      <c r="U361" s="20"/>
      <c r="V361" s="20"/>
      <c r="W361" s="20"/>
      <c r="X361" s="20"/>
      <c r="Y361" s="20"/>
      <c r="Z361" s="20"/>
      <c r="AA361" s="20"/>
      <c r="AB361" s="20"/>
      <c r="AC361" s="21"/>
      <c r="AD361" s="22"/>
    </row>
    <row r="362" spans="1:30" x14ac:dyDescent="0.3">
      <c r="A362" s="218"/>
      <c r="B362" s="258"/>
      <c r="C362" s="219"/>
      <c r="D362" s="220"/>
      <c r="E362" s="220"/>
      <c r="F362" s="220"/>
      <c r="G362" s="220"/>
      <c r="H362" s="220"/>
      <c r="I362" s="220"/>
      <c r="J362" s="220"/>
      <c r="K362" s="220"/>
      <c r="L362" s="220"/>
      <c r="M362" s="220"/>
      <c r="N362" s="220"/>
      <c r="O362" s="220"/>
      <c r="P362" s="220"/>
      <c r="Q362" s="220"/>
      <c r="R362" s="220"/>
      <c r="S362" s="220"/>
      <c r="T362" s="220"/>
      <c r="U362" s="220"/>
      <c r="V362" s="220"/>
      <c r="W362" s="220"/>
      <c r="X362" s="220"/>
      <c r="Y362" s="220"/>
      <c r="Z362" s="220"/>
      <c r="AA362" s="220"/>
      <c r="AB362" s="220"/>
      <c r="AC362" s="221"/>
      <c r="AD362" s="5"/>
    </row>
    <row r="363" spans="1:30" ht="18" x14ac:dyDescent="0.35">
      <c r="A363" s="218"/>
      <c r="B363" s="259" t="s">
        <v>109</v>
      </c>
      <c r="C363" s="219"/>
      <c r="D363" s="220"/>
      <c r="E363" s="220"/>
      <c r="F363" s="220"/>
      <c r="G363" s="220"/>
      <c r="H363" s="220"/>
      <c r="I363" s="220"/>
      <c r="J363" s="220"/>
      <c r="K363" s="220"/>
      <c r="L363" s="220"/>
      <c r="M363" s="220"/>
      <c r="N363" s="220"/>
      <c r="O363" s="220"/>
      <c r="P363" s="260" t="s">
        <v>168</v>
      </c>
      <c r="Q363" s="220"/>
      <c r="R363" s="220"/>
      <c r="S363" s="220"/>
      <c r="T363" s="220"/>
      <c r="U363" s="220"/>
      <c r="V363" s="220"/>
      <c r="W363" s="220"/>
      <c r="X363" s="220"/>
      <c r="Y363" s="220"/>
      <c r="Z363" s="220"/>
      <c r="AA363" s="220"/>
      <c r="AB363" s="220"/>
      <c r="AC363" s="221"/>
      <c r="AD363" s="5"/>
    </row>
    <row r="364" spans="1:30" ht="18" x14ac:dyDescent="0.35">
      <c r="A364" s="218"/>
      <c r="B364" s="259"/>
      <c r="C364" s="219"/>
      <c r="D364" s="220"/>
      <c r="E364" s="220"/>
      <c r="F364" s="220"/>
      <c r="G364" s="220"/>
      <c r="H364" s="220"/>
      <c r="I364" s="220"/>
      <c r="J364" s="220"/>
      <c r="K364" s="220"/>
      <c r="L364" s="220"/>
      <c r="M364" s="220"/>
      <c r="N364" s="220"/>
      <c r="O364" s="220"/>
      <c r="P364" s="260"/>
      <c r="Q364" s="220"/>
      <c r="R364" s="220"/>
      <c r="S364" s="220"/>
      <c r="T364" s="220"/>
      <c r="U364" s="220"/>
      <c r="V364" s="220"/>
      <c r="W364" s="220"/>
      <c r="X364" s="220"/>
      <c r="Y364" s="220"/>
      <c r="Z364" s="220"/>
      <c r="AA364" s="220"/>
      <c r="AB364" s="220"/>
      <c r="AC364" s="221"/>
      <c r="AD364" s="5"/>
    </row>
    <row r="365" spans="1:30" ht="18.600000000000001" thickBot="1" x14ac:dyDescent="0.4">
      <c r="A365" s="218"/>
      <c r="B365" s="222" t="str">
        <f>B234</f>
        <v>PM27 INVESTOR REPORT QUARTER ENDING DECEMBER 2020</v>
      </c>
      <c r="C365" s="219"/>
      <c r="D365" s="220"/>
      <c r="E365" s="220"/>
      <c r="F365" s="220"/>
      <c r="G365" s="220"/>
      <c r="H365" s="220"/>
      <c r="I365" s="220"/>
      <c r="J365" s="220"/>
      <c r="K365" s="220"/>
      <c r="L365" s="220"/>
      <c r="M365" s="220"/>
      <c r="N365" s="220"/>
      <c r="O365" s="220"/>
      <c r="P365" s="220"/>
      <c r="Q365" s="220"/>
      <c r="R365" s="220"/>
      <c r="S365" s="220"/>
      <c r="T365" s="220"/>
      <c r="U365" s="220"/>
      <c r="V365" s="220"/>
      <c r="W365" s="220"/>
      <c r="X365" s="220"/>
      <c r="Y365" s="220"/>
      <c r="Z365" s="220"/>
      <c r="AA365" s="220"/>
      <c r="AB365" s="220"/>
      <c r="AC365" s="223"/>
      <c r="AD365" s="5"/>
    </row>
    <row r="366" spans="1:30" x14ac:dyDescent="0.3">
      <c r="A366" s="224"/>
      <c r="B366" s="224"/>
      <c r="C366" s="224"/>
      <c r="D366" s="224"/>
      <c r="E366" s="224"/>
      <c r="F366" s="224"/>
      <c r="G366" s="224"/>
      <c r="H366" s="224"/>
      <c r="I366" s="224"/>
      <c r="J366" s="224"/>
      <c r="K366" s="224"/>
      <c r="L366" s="224"/>
      <c r="M366" s="224"/>
      <c r="N366" s="224"/>
      <c r="O366" s="224"/>
      <c r="P366" s="224"/>
      <c r="Q366" s="224"/>
      <c r="R366" s="224"/>
      <c r="S366" s="224"/>
      <c r="T366" s="224"/>
      <c r="U366" s="224"/>
      <c r="V366" s="224"/>
      <c r="W366" s="224"/>
      <c r="X366" s="224"/>
      <c r="Y366" s="224"/>
      <c r="Z366" s="224"/>
      <c r="AA366" s="224"/>
      <c r="AB366" s="224"/>
      <c r="AC366" s="224"/>
    </row>
    <row r="368" spans="1:30" x14ac:dyDescent="0.3">
      <c r="B368" s="278" t="s">
        <v>284</v>
      </c>
    </row>
    <row r="369" spans="2:19" x14ac:dyDescent="0.3">
      <c r="B369" s="270" t="s">
        <v>285</v>
      </c>
    </row>
    <row r="370" spans="2:19" x14ac:dyDescent="0.3">
      <c r="B370" s="270" t="s">
        <v>286</v>
      </c>
    </row>
    <row r="371" spans="2:19" x14ac:dyDescent="0.3">
      <c r="B371" s="270" t="s">
        <v>287</v>
      </c>
    </row>
    <row r="372" spans="2:19" x14ac:dyDescent="0.3">
      <c r="B372" s="270" t="s">
        <v>288</v>
      </c>
    </row>
    <row r="373" spans="2:19" x14ac:dyDescent="0.3">
      <c r="B373" s="270" t="s">
        <v>289</v>
      </c>
    </row>
    <row r="374" spans="2:19" x14ac:dyDescent="0.3">
      <c r="B374" s="270" t="s">
        <v>290</v>
      </c>
    </row>
    <row r="375" spans="2:19" x14ac:dyDescent="0.3">
      <c r="B375" s="270" t="s">
        <v>291</v>
      </c>
    </row>
    <row r="376" spans="2:19" x14ac:dyDescent="0.3">
      <c r="B376" s="270"/>
    </row>
    <row r="377" spans="2:19" x14ac:dyDescent="0.3">
      <c r="B377" s="278" t="s">
        <v>328</v>
      </c>
    </row>
    <row r="378" spans="2:19" x14ac:dyDescent="0.3">
      <c r="B378" s="270" t="s">
        <v>342</v>
      </c>
    </row>
    <row r="379" spans="2:19" x14ac:dyDescent="0.3">
      <c r="B379" s="270" t="s">
        <v>347</v>
      </c>
    </row>
    <row r="380" spans="2:19" x14ac:dyDescent="0.3">
      <c r="B380" s="270"/>
    </row>
    <row r="381" spans="2:19" x14ac:dyDescent="0.3">
      <c r="B381" s="278" t="s">
        <v>292</v>
      </c>
    </row>
    <row r="382" spans="2:19" x14ac:dyDescent="0.3">
      <c r="B382" s="270" t="s">
        <v>293</v>
      </c>
    </row>
    <row r="383" spans="2:19" x14ac:dyDescent="0.3">
      <c r="B383" s="270" t="s">
        <v>339</v>
      </c>
      <c r="C383" s="271"/>
      <c r="D383" s="271"/>
      <c r="E383" s="271"/>
      <c r="F383" s="271"/>
      <c r="G383" s="271"/>
      <c r="H383" s="271"/>
      <c r="I383" s="271"/>
      <c r="J383" s="271"/>
      <c r="K383" s="271"/>
      <c r="L383" s="271"/>
      <c r="M383" s="271"/>
      <c r="N383" s="271"/>
      <c r="O383" s="271"/>
      <c r="P383" s="271"/>
      <c r="Q383" s="271"/>
      <c r="R383" s="271"/>
      <c r="S383" s="271"/>
    </row>
    <row r="384" spans="2:19" x14ac:dyDescent="0.3">
      <c r="B384" s="6" t="s">
        <v>338</v>
      </c>
      <c r="C384" s="271"/>
      <c r="D384" s="271"/>
      <c r="E384" s="271"/>
      <c r="F384" s="271"/>
      <c r="G384" s="271"/>
      <c r="H384" s="271"/>
      <c r="I384" s="271"/>
      <c r="J384" s="271"/>
      <c r="K384" s="271"/>
      <c r="L384" s="271"/>
      <c r="M384" s="271"/>
      <c r="N384" s="271"/>
      <c r="O384" s="271"/>
      <c r="P384" s="271"/>
      <c r="Q384" s="271"/>
      <c r="R384" s="271"/>
      <c r="S384" s="271"/>
    </row>
  </sheetData>
  <hyperlinks>
    <hyperlink ref="K9" r:id="rId1" display="http://www.paragon-group.co.uk" xr:uid="{35A3329A-13B9-42AE-8157-F02EB94BE871}"/>
    <hyperlink ref="P363" r:id="rId2" xr:uid="{849607CB-4CE2-4EDA-B989-9F7687F3DC3B}"/>
    <hyperlink ref="P274" r:id="rId3" xr:uid="{C1FC381D-D98C-4842-B87B-4DC96A13CA3E}"/>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3" max="18" man="1"/>
    <brk id="131" max="18" man="1"/>
    <brk id="234" max="18" man="1"/>
  </rowBreaks>
  <colBreaks count="1" manualBreakCount="1">
    <brk id="29" max="299" man="1"/>
  </colBreak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53D10-3762-4923-BA7B-2B6F343A7E1B}">
  <sheetPr>
    <tabColor rgb="FF2D2926"/>
  </sheetPr>
  <dimension ref="A1:JB384"/>
  <sheetViews>
    <sheetView showGridLines="0" showOutlineSymbols="0" zoomScale="70" zoomScaleNormal="70" workbookViewId="0"/>
  </sheetViews>
  <sheetFormatPr defaultColWidth="9.81640625" defaultRowHeight="15.6" x14ac:dyDescent="0.3"/>
  <cols>
    <col min="1" max="1" width="4" style="6" customWidth="1"/>
    <col min="2" max="2" width="71.08984375" style="6" customWidth="1"/>
    <col min="3" max="3" width="2.08984375" style="6" customWidth="1"/>
    <col min="4" max="4" width="16.08984375" style="6" customWidth="1"/>
    <col min="5" max="5" width="2.81640625" style="6" customWidth="1"/>
    <col min="6" max="6" width="16.08984375" style="6" customWidth="1"/>
    <col min="7" max="7" width="2.08984375" style="6" customWidth="1"/>
    <col min="8" max="8" width="17.81640625" style="6" customWidth="1"/>
    <col min="9" max="9" width="2.08984375" style="6" customWidth="1"/>
    <col min="10" max="10" width="14.8164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302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168</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301</v>
      </c>
      <c r="AC14" s="21"/>
      <c r="AD14" s="22"/>
    </row>
    <row r="15" spans="1:30" s="23" customFormat="1" x14ac:dyDescent="0.3">
      <c r="A15" s="18"/>
      <c r="B15" s="19" t="s">
        <v>278</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323</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3.6400000000000002E-2</v>
      </c>
      <c r="Z16" s="29" t="s">
        <v>264</v>
      </c>
      <c r="AA16" s="29">
        <v>0.96360000000000001</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3.5700000000000003E-2</v>
      </c>
      <c r="Z17" s="29" t="s">
        <v>264</v>
      </c>
      <c r="AA17" s="29">
        <v>0.96430000000000005</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6">
        <v>43951</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44308</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304</v>
      </c>
      <c r="G23" s="35"/>
      <c r="H23" s="35" t="s">
        <v>140</v>
      </c>
      <c r="I23" s="35"/>
      <c r="J23" s="35" t="s">
        <v>141</v>
      </c>
      <c r="K23" s="35"/>
      <c r="L23" s="35" t="s">
        <v>171</v>
      </c>
      <c r="M23" s="35"/>
      <c r="N23" s="35" t="s">
        <v>161</v>
      </c>
      <c r="O23" s="35"/>
      <c r="P23" s="35" t="s">
        <v>181</v>
      </c>
      <c r="Q23" s="35"/>
      <c r="R23" s="35" t="s">
        <v>182</v>
      </c>
      <c r="S23" s="35"/>
      <c r="T23" s="35" t="s">
        <v>183</v>
      </c>
      <c r="U23" s="35"/>
      <c r="V23" s="35" t="s">
        <v>184</v>
      </c>
      <c r="W23" s="35"/>
      <c r="X23" s="35" t="s">
        <v>185</v>
      </c>
      <c r="Y23" s="35" t="s">
        <v>186</v>
      </c>
      <c r="Z23" s="35"/>
      <c r="AA23" s="34"/>
      <c r="AB23" s="34"/>
      <c r="AC23" s="36"/>
      <c r="AD23" s="5"/>
    </row>
    <row r="24" spans="1:33" s="23" customFormat="1" x14ac:dyDescent="0.3">
      <c r="A24" s="18"/>
      <c r="B24" s="37" t="s">
        <v>158</v>
      </c>
      <c r="C24" s="38"/>
      <c r="D24" s="228"/>
      <c r="E24" s="228"/>
      <c r="F24" s="228" t="s">
        <v>220</v>
      </c>
      <c r="G24" s="228"/>
      <c r="H24" s="228" t="s">
        <v>221</v>
      </c>
      <c r="I24" s="228"/>
      <c r="J24" s="228" t="s">
        <v>269</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c r="E25" s="227"/>
      <c r="F25" s="227" t="s">
        <v>222</v>
      </c>
      <c r="G25" s="227"/>
      <c r="H25" s="227" t="s">
        <v>223</v>
      </c>
      <c r="I25" s="227"/>
      <c r="J25" s="227" t="s">
        <v>270</v>
      </c>
      <c r="K25" s="227"/>
      <c r="L25" s="227" t="s">
        <v>324</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159</v>
      </c>
      <c r="C26" s="41"/>
      <c r="D26" s="229"/>
      <c r="E26" s="229"/>
      <c r="F26" s="229" t="s">
        <v>220</v>
      </c>
      <c r="G26" s="229"/>
      <c r="H26" s="229" t="s">
        <v>221</v>
      </c>
      <c r="I26" s="229"/>
      <c r="J26" s="229" t="s">
        <v>269</v>
      </c>
      <c r="K26" s="229"/>
      <c r="L26" s="229" t="s">
        <v>271</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c r="E27" s="229"/>
      <c r="F27" s="229" t="s">
        <v>222</v>
      </c>
      <c r="G27" s="229"/>
      <c r="H27" s="229" t="s">
        <v>223</v>
      </c>
      <c r="I27" s="229"/>
      <c r="J27" s="229" t="s">
        <v>270</v>
      </c>
      <c r="K27" s="229"/>
      <c r="L27" s="229" t="s">
        <v>324</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c r="E28" s="227"/>
      <c r="F28" s="227" t="s">
        <v>313</v>
      </c>
      <c r="G28" s="227"/>
      <c r="H28" s="227" t="s">
        <v>314</v>
      </c>
      <c r="I28" s="227"/>
      <c r="J28" s="227" t="s">
        <v>315</v>
      </c>
      <c r="K28" s="227"/>
      <c r="L28" s="227" t="s">
        <v>316</v>
      </c>
      <c r="M28" s="227"/>
      <c r="N28" s="227" t="s">
        <v>317</v>
      </c>
      <c r="O28" s="227"/>
      <c r="P28" s="227" t="s">
        <v>318</v>
      </c>
      <c r="Q28" s="227"/>
      <c r="R28" s="227" t="s">
        <v>83</v>
      </c>
      <c r="S28" s="227"/>
      <c r="T28" s="227" t="s">
        <v>319</v>
      </c>
      <c r="U28" s="227"/>
      <c r="V28" s="227" t="s">
        <v>320</v>
      </c>
      <c r="W28" s="227"/>
      <c r="X28" s="227" t="s">
        <v>321</v>
      </c>
      <c r="Y28" s="227" t="s">
        <v>322</v>
      </c>
      <c r="Z28" s="227"/>
      <c r="AA28" s="49"/>
      <c r="AB28" s="50"/>
      <c r="AC28" s="51"/>
      <c r="AD28" s="22"/>
      <c r="AE28" s="45"/>
      <c r="AG28" s="46"/>
    </row>
    <row r="29" spans="1:33" s="23" customFormat="1" x14ac:dyDescent="0.3">
      <c r="A29" s="39"/>
      <c r="B29" s="40" t="s">
        <v>91</v>
      </c>
      <c r="C29" s="52"/>
      <c r="D29" s="54"/>
      <c r="E29" s="53"/>
      <c r="F29" s="54">
        <v>648307</v>
      </c>
      <c r="G29" s="55"/>
      <c r="H29" s="54">
        <v>41826</v>
      </c>
      <c r="I29" s="55"/>
      <c r="J29" s="54">
        <v>22814</v>
      </c>
      <c r="K29" s="55"/>
      <c r="L29" s="54">
        <v>22814</v>
      </c>
      <c r="M29" s="50"/>
      <c r="N29" s="54">
        <v>24717</v>
      </c>
      <c r="O29" s="54"/>
      <c r="P29" s="231">
        <v>11637</v>
      </c>
      <c r="Q29" s="231"/>
      <c r="R29" s="231">
        <v>4175</v>
      </c>
      <c r="S29" s="54"/>
      <c r="T29" s="54" t="s">
        <v>83</v>
      </c>
      <c r="U29" s="54"/>
      <c r="V29" s="54" t="s">
        <v>83</v>
      </c>
      <c r="W29" s="54"/>
      <c r="X29" s="54" t="s">
        <v>83</v>
      </c>
      <c r="Y29" s="54" t="s">
        <v>83</v>
      </c>
      <c r="Z29" s="54"/>
      <c r="AA29" s="52"/>
      <c r="AB29" s="50">
        <f>SUM(F29:N29)</f>
        <v>760478</v>
      </c>
      <c r="AC29" s="51"/>
      <c r="AD29" s="22"/>
    </row>
    <row r="30" spans="1:33" s="23" customFormat="1" x14ac:dyDescent="0.3">
      <c r="A30" s="47"/>
      <c r="B30" s="40" t="s">
        <v>90</v>
      </c>
      <c r="C30" s="49"/>
      <c r="D30" s="54"/>
      <c r="E30" s="54"/>
      <c r="F30" s="54">
        <f>F29*F33</f>
        <v>639379.81261000002</v>
      </c>
      <c r="G30" s="54"/>
      <c r="H30" s="54">
        <f>H29</f>
        <v>41826</v>
      </c>
      <c r="I30" s="54"/>
      <c r="J30" s="54">
        <f>J29</f>
        <v>22814</v>
      </c>
      <c r="K30" s="54"/>
      <c r="L30" s="54">
        <f>L29</f>
        <v>22814</v>
      </c>
      <c r="M30" s="54"/>
      <c r="N30" s="54">
        <f>N29</f>
        <v>24717</v>
      </c>
      <c r="O30" s="54"/>
      <c r="P30" s="54">
        <f>P29*P33</f>
        <v>10963.56681</v>
      </c>
      <c r="Q30" s="54"/>
      <c r="R30" s="54">
        <f>'December 2020'!R31</f>
        <v>0</v>
      </c>
      <c r="S30" s="54"/>
      <c r="T30" s="54" t="s">
        <v>83</v>
      </c>
      <c r="U30" s="54"/>
      <c r="V30" s="54" t="s">
        <v>83</v>
      </c>
      <c r="W30" s="54"/>
      <c r="X30" s="54" t="s">
        <v>83</v>
      </c>
      <c r="Y30" s="54" t="s">
        <v>83</v>
      </c>
      <c r="Z30" s="54"/>
      <c r="AA30" s="49"/>
      <c r="AB30" s="50">
        <f>SUM(F30:N30)</f>
        <v>751550.81261000002</v>
      </c>
      <c r="AC30" s="51"/>
      <c r="AD30" s="22"/>
    </row>
    <row r="31" spans="1:33" s="23" customFormat="1" x14ac:dyDescent="0.3">
      <c r="A31" s="47"/>
      <c r="B31" s="44" t="s">
        <v>92</v>
      </c>
      <c r="C31" s="49"/>
      <c r="D31" s="57"/>
      <c r="E31" s="57"/>
      <c r="F31" s="57">
        <f>F29*F32</f>
        <v>632793.01349000004</v>
      </c>
      <c r="G31" s="57"/>
      <c r="H31" s="57">
        <f>H29</f>
        <v>41826</v>
      </c>
      <c r="I31" s="57"/>
      <c r="J31" s="57">
        <f>J29</f>
        <v>22814</v>
      </c>
      <c r="K31" s="57"/>
      <c r="L31" s="57">
        <f>L29</f>
        <v>22814</v>
      </c>
      <c r="M31" s="57"/>
      <c r="N31" s="57">
        <f>N29</f>
        <v>24717</v>
      </c>
      <c r="O31" s="57"/>
      <c r="P31" s="57">
        <f>P29*P32</f>
        <v>10902.239820000001</v>
      </c>
      <c r="Q31" s="57"/>
      <c r="R31" s="57">
        <v>0</v>
      </c>
      <c r="S31" s="57"/>
      <c r="T31" s="57" t="s">
        <v>83</v>
      </c>
      <c r="U31" s="57"/>
      <c r="V31" s="57" t="s">
        <v>83</v>
      </c>
      <c r="W31" s="57"/>
      <c r="X31" s="57" t="s">
        <v>83</v>
      </c>
      <c r="Y31" s="57" t="s">
        <v>83</v>
      </c>
      <c r="Z31" s="57"/>
      <c r="AA31" s="49"/>
      <c r="AB31" s="56">
        <f>SUM(F31:N31)</f>
        <v>744964.01349000004</v>
      </c>
      <c r="AC31" s="51"/>
      <c r="AD31" s="22"/>
      <c r="AE31" s="235"/>
    </row>
    <row r="32" spans="1:33" s="65" customFormat="1" x14ac:dyDescent="0.3">
      <c r="A32" s="58"/>
      <c r="B32" s="166" t="s">
        <v>88</v>
      </c>
      <c r="C32" s="61"/>
      <c r="D32" s="60"/>
      <c r="E32" s="60"/>
      <c r="F32" s="60">
        <v>0.97606999999999999</v>
      </c>
      <c r="G32" s="60"/>
      <c r="H32" s="60">
        <v>1</v>
      </c>
      <c r="I32" s="60"/>
      <c r="J32" s="60">
        <v>1</v>
      </c>
      <c r="K32" s="60"/>
      <c r="L32" s="60">
        <v>1</v>
      </c>
      <c r="M32" s="60"/>
      <c r="N32" s="60">
        <v>1</v>
      </c>
      <c r="O32" s="60"/>
      <c r="P32" s="60">
        <v>0.93686000000000003</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c r="E33" s="225"/>
      <c r="F33" s="60">
        <v>0.98623000000000005</v>
      </c>
      <c r="G33" s="225"/>
      <c r="H33" s="225">
        <v>1</v>
      </c>
      <c r="I33" s="225"/>
      <c r="J33" s="225">
        <v>1</v>
      </c>
      <c r="K33" s="225"/>
      <c r="L33" s="225">
        <v>1</v>
      </c>
      <c r="M33" s="225"/>
      <c r="N33" s="225">
        <v>1</v>
      </c>
      <c r="O33" s="225"/>
      <c r="P33" s="60">
        <v>0.94213000000000002</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c r="E34" s="48"/>
      <c r="F34" s="48" t="s">
        <v>305</v>
      </c>
      <c r="G34" s="48"/>
      <c r="H34" s="48" t="s">
        <v>306</v>
      </c>
      <c r="I34" s="48"/>
      <c r="J34" s="48" t="s">
        <v>273</v>
      </c>
      <c r="K34" s="48"/>
      <c r="L34" s="48" t="s">
        <v>307</v>
      </c>
      <c r="M34" s="48"/>
      <c r="N34" s="48" t="s">
        <v>308</v>
      </c>
      <c r="O34" s="48"/>
      <c r="P34" s="48" t="s">
        <v>254</v>
      </c>
      <c r="Q34" s="48"/>
      <c r="R34" s="48" t="s">
        <v>254</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c r="E35" s="241"/>
      <c r="F35" s="241">
        <v>1.1489299999999999E-2</v>
      </c>
      <c r="G35" s="241"/>
      <c r="H35" s="241">
        <v>1.5489299999999999E-2</v>
      </c>
      <c r="I35" s="241"/>
      <c r="J35" s="241">
        <v>1.84893E-2</v>
      </c>
      <c r="K35" s="241"/>
      <c r="L35" s="241">
        <v>2.1489299999999999E-2</v>
      </c>
      <c r="M35" s="241"/>
      <c r="N35" s="241">
        <v>3.1489299999999998E-2</v>
      </c>
      <c r="O35" s="241"/>
      <c r="P35" s="241">
        <v>4.0489299999999999E-2</v>
      </c>
      <c r="Q35" s="241"/>
      <c r="R35" s="241">
        <v>4.0489299999999999E-2</v>
      </c>
      <c r="S35" s="68"/>
      <c r="T35" s="68" t="s">
        <v>83</v>
      </c>
      <c r="U35" s="68"/>
      <c r="V35" s="68" t="s">
        <v>83</v>
      </c>
      <c r="W35" s="68"/>
      <c r="X35" s="68" t="s">
        <v>83</v>
      </c>
      <c r="Y35" s="68" t="s">
        <v>83</v>
      </c>
      <c r="Z35" s="68"/>
      <c r="AA35" s="40"/>
      <c r="AB35" s="67">
        <f>SUMPRODUCT(D35:N35,D30:N30)/AB30</f>
        <v>1.2885721881782468E-2</v>
      </c>
      <c r="AC35" s="43"/>
      <c r="AD35" s="22"/>
    </row>
    <row r="36" spans="1:30" s="23" customFormat="1" x14ac:dyDescent="0.3">
      <c r="A36" s="47"/>
      <c r="B36" s="40" t="s">
        <v>10</v>
      </c>
      <c r="C36" s="69"/>
      <c r="D36" s="241"/>
      <c r="E36" s="241"/>
      <c r="F36" s="241">
        <v>1.1516500000000001E-2</v>
      </c>
      <c r="G36" s="241"/>
      <c r="H36" s="241">
        <v>1.5516500000000001E-2</v>
      </c>
      <c r="I36" s="241"/>
      <c r="J36" s="241">
        <v>1.8516500000000002E-2</v>
      </c>
      <c r="K36" s="241"/>
      <c r="L36" s="241">
        <v>2.1516500000000001E-2</v>
      </c>
      <c r="M36" s="241"/>
      <c r="N36" s="241">
        <v>3.1516500000000003E-2</v>
      </c>
      <c r="O36" s="241"/>
      <c r="P36" s="241">
        <v>4.0516499999999997E-2</v>
      </c>
      <c r="Q36" s="241"/>
      <c r="R36" s="241">
        <v>4.0516499999999997E-2</v>
      </c>
      <c r="S36" s="68"/>
      <c r="T36" s="68" t="s">
        <v>83</v>
      </c>
      <c r="U36" s="68"/>
      <c r="V36" s="68" t="s">
        <v>83</v>
      </c>
      <c r="W36" s="68"/>
      <c r="X36" s="68" t="s">
        <v>83</v>
      </c>
      <c r="Y36" s="68" t="s">
        <v>83</v>
      </c>
      <c r="Z36" s="68"/>
      <c r="AA36" s="40"/>
      <c r="AB36" s="40"/>
      <c r="AC36" s="43"/>
      <c r="AD36" s="22"/>
    </row>
    <row r="37" spans="1:30" s="23" customFormat="1" x14ac:dyDescent="0.3">
      <c r="A37" s="47"/>
      <c r="B37" s="40" t="s">
        <v>160</v>
      </c>
      <c r="C37" s="40"/>
      <c r="D37" s="69"/>
      <c r="E37" s="69"/>
      <c r="F37" s="69">
        <v>45945</v>
      </c>
      <c r="G37" s="69"/>
      <c r="H37" s="69">
        <v>45945</v>
      </c>
      <c r="I37" s="69"/>
      <c r="J37" s="69">
        <v>45945</v>
      </c>
      <c r="K37" s="69"/>
      <c r="L37" s="69">
        <v>45945</v>
      </c>
      <c r="M37" s="69"/>
      <c r="N37" s="69">
        <v>45945</v>
      </c>
      <c r="O37" s="69"/>
      <c r="P37" s="69">
        <v>45945</v>
      </c>
      <c r="Q37" s="69"/>
      <c r="R37" s="69">
        <v>45945</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c r="E38" s="69"/>
      <c r="F38" s="69">
        <v>45945</v>
      </c>
      <c r="G38" s="48"/>
      <c r="H38" s="69">
        <v>45945</v>
      </c>
      <c r="I38" s="48"/>
      <c r="J38" s="69">
        <v>45945</v>
      </c>
      <c r="K38" s="48"/>
      <c r="L38" s="69">
        <v>45945</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c r="E39" s="48"/>
      <c r="F39" s="48" t="s">
        <v>309</v>
      </c>
      <c r="G39" s="48"/>
      <c r="H39" s="48" t="s">
        <v>272</v>
      </c>
      <c r="I39" s="48"/>
      <c r="J39" s="48" t="s">
        <v>310</v>
      </c>
      <c r="K39" s="48"/>
      <c r="L39" s="48" t="s">
        <v>308</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7" t="s">
        <v>110</v>
      </c>
      <c r="AC40" s="43"/>
      <c r="AD40" s="22"/>
    </row>
    <row r="41" spans="1:30" s="23" customFormat="1" x14ac:dyDescent="0.3">
      <c r="A41" s="47"/>
      <c r="B41" s="40" t="s">
        <v>253</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32">
        <f>SUM(G29:N29)/F29</f>
        <v>0.17302142349226524</v>
      </c>
      <c r="AC41" s="43"/>
      <c r="AD41" s="22"/>
    </row>
    <row r="42" spans="1:30" s="23" customFormat="1" x14ac:dyDescent="0.3">
      <c r="A42" s="47"/>
      <c r="B42" s="40" t="s">
        <v>252</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32">
        <f>SUM(G31:N31)/F31</f>
        <v>0.17726333510123785</v>
      </c>
      <c r="AC42" s="43"/>
      <c r="AD42" s="22"/>
    </row>
    <row r="43" spans="1:30" s="23" customFormat="1" x14ac:dyDescent="0.3">
      <c r="A43" s="47"/>
      <c r="B43" s="40" t="s">
        <v>197</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1"/>
      <c r="AC44" s="43"/>
      <c r="AD44" s="22"/>
    </row>
    <row r="45" spans="1:30" s="23" customFormat="1" x14ac:dyDescent="0.3">
      <c r="A45" s="47"/>
      <c r="B45" s="40" t="s">
        <v>196</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2"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3"/>
      <c r="AA46" s="73"/>
      <c r="AB46" s="74">
        <v>44301</v>
      </c>
      <c r="AC46" s="43"/>
      <c r="AD46" s="22"/>
    </row>
    <row r="47" spans="1:30" s="23" customFormat="1" x14ac:dyDescent="0.3">
      <c r="A47" s="47"/>
      <c r="B47" s="40" t="s">
        <v>85</v>
      </c>
      <c r="C47" s="40"/>
      <c r="D47" s="75"/>
      <c r="E47" s="75"/>
      <c r="F47" s="75"/>
      <c r="G47" s="75"/>
      <c r="H47" s="75"/>
      <c r="I47" s="75"/>
      <c r="J47" s="75"/>
      <c r="K47" s="75"/>
      <c r="L47" s="75"/>
      <c r="M47" s="75"/>
      <c r="N47" s="75"/>
      <c r="O47" s="75"/>
      <c r="P47" s="75"/>
      <c r="Q47" s="75"/>
      <c r="R47" s="75"/>
      <c r="S47" s="75"/>
      <c r="T47" s="75"/>
      <c r="U47" s="75"/>
      <c r="V47" s="75"/>
      <c r="W47" s="75"/>
      <c r="X47" s="280">
        <f>+AB47-Z47+1</f>
        <v>92</v>
      </c>
      <c r="Y47" s="40"/>
      <c r="Z47" s="76">
        <v>44119</v>
      </c>
      <c r="AA47" s="77"/>
      <c r="AB47" s="76">
        <v>44210</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80">
        <f>+AB48-Z48+1</f>
        <v>90</v>
      </c>
      <c r="Y48" s="40"/>
      <c r="Z48" s="76">
        <v>44211</v>
      </c>
      <c r="AA48" s="77"/>
      <c r="AB48" s="76">
        <v>44300</v>
      </c>
      <c r="AC48" s="43"/>
      <c r="AD48" s="22"/>
    </row>
    <row r="49" spans="1:31" s="23" customFormat="1" x14ac:dyDescent="0.3">
      <c r="A49" s="47"/>
      <c r="B49" s="40" t="s">
        <v>187</v>
      </c>
      <c r="C49" s="40"/>
      <c r="D49" s="40"/>
      <c r="E49" s="40"/>
      <c r="F49" s="40"/>
      <c r="G49" s="40"/>
      <c r="H49" s="40"/>
      <c r="I49" s="40"/>
      <c r="J49" s="40"/>
      <c r="K49" s="40"/>
      <c r="L49" s="40"/>
      <c r="M49" s="40"/>
      <c r="N49" s="40"/>
      <c r="O49" s="40"/>
      <c r="P49" s="40"/>
      <c r="Q49" s="40"/>
      <c r="R49" s="40"/>
      <c r="S49" s="40"/>
      <c r="T49" s="40"/>
      <c r="U49" s="40"/>
      <c r="V49" s="40"/>
      <c r="W49" s="40"/>
      <c r="X49" s="40"/>
      <c r="Y49" s="40"/>
      <c r="Z49" s="76"/>
      <c r="AA49" s="77"/>
      <c r="AB49" s="76" t="s">
        <v>99</v>
      </c>
      <c r="AC49" s="43"/>
      <c r="AD49" s="22"/>
      <c r="AE49" s="78"/>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v>44300</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9"/>
      <c r="AA51" s="80"/>
      <c r="AB51" s="79"/>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1"/>
      <c r="AA52" s="82"/>
      <c r="AB52" s="81"/>
      <c r="AC52" s="21"/>
      <c r="AD52" s="22"/>
    </row>
    <row r="53" spans="1:31" s="23" customFormat="1" ht="18.600000000000001" thickBot="1" x14ac:dyDescent="0.4">
      <c r="A53" s="83"/>
      <c r="B53" s="84" t="s">
        <v>343</v>
      </c>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6"/>
      <c r="AC53" s="87"/>
      <c r="AD53" s="22"/>
    </row>
    <row r="54" spans="1:31" x14ac:dyDescent="0.3">
      <c r="A54" s="33"/>
      <c r="B54" s="88" t="s">
        <v>13</v>
      </c>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90"/>
      <c r="AC54" s="89"/>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1"/>
      <c r="AC55" s="10"/>
      <c r="AD55" s="5"/>
    </row>
    <row r="56" spans="1:31" s="65" customFormat="1" ht="46.8" x14ac:dyDescent="0.3">
      <c r="A56" s="92"/>
      <c r="B56" s="93" t="s">
        <v>14</v>
      </c>
      <c r="C56" s="94"/>
      <c r="D56" s="94"/>
      <c r="E56" s="94"/>
      <c r="F56" s="94"/>
      <c r="G56" s="94"/>
      <c r="H56" s="94"/>
      <c r="I56" s="94"/>
      <c r="J56" s="94"/>
      <c r="K56" s="94"/>
      <c r="L56" s="94"/>
      <c r="M56" s="94"/>
      <c r="N56" s="94"/>
      <c r="O56" s="94"/>
      <c r="P56" s="94" t="s">
        <v>63</v>
      </c>
      <c r="Q56" s="94"/>
      <c r="R56" s="94" t="s">
        <v>65</v>
      </c>
      <c r="S56" s="94"/>
      <c r="T56" s="94" t="s">
        <v>135</v>
      </c>
      <c r="U56" s="94"/>
      <c r="V56" s="94" t="s">
        <v>136</v>
      </c>
      <c r="W56" s="94"/>
      <c r="X56" s="94" t="s">
        <v>68</v>
      </c>
      <c r="Y56" s="94"/>
      <c r="Z56" s="94" t="s">
        <v>72</v>
      </c>
      <c r="AA56" s="94"/>
      <c r="AB56" s="95" t="s">
        <v>78</v>
      </c>
      <c r="AC56" s="96"/>
      <c r="AD56" s="64"/>
    </row>
    <row r="57" spans="1:31" s="23" customFormat="1" x14ac:dyDescent="0.3">
      <c r="A57" s="47"/>
      <c r="B57" s="40" t="s">
        <v>15</v>
      </c>
      <c r="C57" s="97"/>
      <c r="D57" s="97"/>
      <c r="E57" s="97"/>
      <c r="F57" s="97"/>
      <c r="G57" s="97"/>
      <c r="H57" s="98"/>
      <c r="I57" s="97"/>
      <c r="J57" s="98"/>
      <c r="K57" s="97"/>
      <c r="L57" s="97"/>
      <c r="M57" s="97"/>
      <c r="N57" s="97"/>
      <c r="O57" s="97"/>
      <c r="P57" s="238">
        <v>759666</v>
      </c>
      <c r="Q57" s="238"/>
      <c r="R57" s="237">
        <v>750995</v>
      </c>
      <c r="S57" s="238"/>
      <c r="T57" s="237">
        <f>334+18</f>
        <v>352</v>
      </c>
      <c r="U57" s="238"/>
      <c r="V57" s="238">
        <v>6235</v>
      </c>
      <c r="W57" s="238"/>
      <c r="X57" s="238">
        <v>79</v>
      </c>
      <c r="Y57" s="238"/>
      <c r="Z57" s="238">
        <v>0</v>
      </c>
      <c r="AA57" s="238"/>
      <c r="AB57" s="237">
        <f>R57-T57-V57+X57-Z57</f>
        <v>744487</v>
      </c>
      <c r="AC57" s="43"/>
      <c r="AD57" s="22"/>
      <c r="AE57" s="271"/>
    </row>
    <row r="58" spans="1:31" s="23" customFormat="1" x14ac:dyDescent="0.3">
      <c r="A58" s="47"/>
      <c r="B58" s="40" t="s">
        <v>16</v>
      </c>
      <c r="C58" s="97"/>
      <c r="D58" s="97"/>
      <c r="E58" s="97"/>
      <c r="F58" s="97"/>
      <c r="G58" s="97"/>
      <c r="H58" s="98"/>
      <c r="I58" s="97"/>
      <c r="J58" s="98"/>
      <c r="K58" s="97"/>
      <c r="L58" s="97"/>
      <c r="M58" s="97"/>
      <c r="N58" s="97"/>
      <c r="O58" s="97"/>
      <c r="P58" s="238">
        <v>0</v>
      </c>
      <c r="Q58" s="238"/>
      <c r="R58" s="237">
        <v>0</v>
      </c>
      <c r="S58" s="238"/>
      <c r="T58" s="237">
        <v>0</v>
      </c>
      <c r="U58" s="238"/>
      <c r="V58" s="238">
        <v>0</v>
      </c>
      <c r="W58" s="238"/>
      <c r="X58" s="238">
        <v>0</v>
      </c>
      <c r="Y58" s="238"/>
      <c r="Z58" s="238">
        <v>0</v>
      </c>
      <c r="AA58" s="238"/>
      <c r="AB58" s="237">
        <f>F58-J58-L58</f>
        <v>0</v>
      </c>
      <c r="AC58" s="43"/>
      <c r="AD58" s="22"/>
    </row>
    <row r="59" spans="1:31" s="23" customFormat="1" x14ac:dyDescent="0.3">
      <c r="A59" s="47"/>
      <c r="B59" s="40"/>
      <c r="C59" s="97"/>
      <c r="D59" s="97"/>
      <c r="E59" s="97"/>
      <c r="F59" s="97"/>
      <c r="G59" s="97"/>
      <c r="H59" s="98"/>
      <c r="I59" s="97"/>
      <c r="J59" s="98"/>
      <c r="K59" s="97"/>
      <c r="L59" s="97"/>
      <c r="M59" s="97"/>
      <c r="N59" s="97"/>
      <c r="O59" s="97"/>
      <c r="P59" s="238"/>
      <c r="Q59" s="238"/>
      <c r="R59" s="237"/>
      <c r="S59" s="238"/>
      <c r="T59" s="237"/>
      <c r="U59" s="238"/>
      <c r="V59" s="238"/>
      <c r="W59" s="238"/>
      <c r="X59" s="238"/>
      <c r="Y59" s="238"/>
      <c r="Z59" s="238"/>
      <c r="AA59" s="238"/>
      <c r="AB59" s="237"/>
      <c r="AC59" s="43"/>
      <c r="AD59" s="22"/>
    </row>
    <row r="60" spans="1:31" s="23" customFormat="1" x14ac:dyDescent="0.3">
      <c r="A60" s="47"/>
      <c r="B60" s="40" t="s">
        <v>17</v>
      </c>
      <c r="C60" s="97"/>
      <c r="D60" s="97"/>
      <c r="E60" s="97"/>
      <c r="F60" s="97"/>
      <c r="G60" s="97"/>
      <c r="H60" s="97"/>
      <c r="I60" s="97"/>
      <c r="J60" s="97"/>
      <c r="K60" s="97"/>
      <c r="L60" s="97"/>
      <c r="M60" s="97"/>
      <c r="N60" s="97"/>
      <c r="O60" s="97"/>
      <c r="P60" s="238">
        <f>SUM(P57:P59)</f>
        <v>759666</v>
      </c>
      <c r="Q60" s="238"/>
      <c r="R60" s="238">
        <f>R57+R58</f>
        <v>750995</v>
      </c>
      <c r="S60" s="238"/>
      <c r="T60" s="238">
        <f>T57+T58</f>
        <v>352</v>
      </c>
      <c r="U60" s="238"/>
      <c r="V60" s="238">
        <f>SUM(V57:V59)</f>
        <v>6235</v>
      </c>
      <c r="W60" s="238"/>
      <c r="X60" s="238">
        <f>SUM(X57:X59)</f>
        <v>79</v>
      </c>
      <c r="Y60" s="238"/>
      <c r="Z60" s="238">
        <f>SUM(Z57:Z59)</f>
        <v>0</v>
      </c>
      <c r="AA60" s="238"/>
      <c r="AB60" s="238">
        <f>SUM(AB57:AB59)</f>
        <v>744487</v>
      </c>
      <c r="AC60" s="43"/>
      <c r="AD60" s="22"/>
    </row>
    <row r="61" spans="1:31" s="23" customFormat="1" ht="32.1" customHeight="1" x14ac:dyDescent="0.3">
      <c r="A61" s="47"/>
      <c r="B61" s="40"/>
      <c r="C61" s="97"/>
      <c r="D61" s="97"/>
      <c r="E61" s="97"/>
      <c r="F61" s="97"/>
      <c r="G61" s="97"/>
      <c r="H61" s="97"/>
      <c r="I61" s="97"/>
      <c r="J61" s="97"/>
      <c r="K61" s="97"/>
      <c r="L61" s="97"/>
      <c r="M61" s="97"/>
      <c r="N61" s="97"/>
      <c r="O61" s="97"/>
      <c r="P61" s="238"/>
      <c r="Q61" s="238"/>
      <c r="R61" s="238"/>
      <c r="S61" s="238"/>
      <c r="T61" s="238"/>
      <c r="U61" s="238"/>
      <c r="V61" s="238"/>
      <c r="W61" s="238"/>
      <c r="X61" s="238"/>
      <c r="Y61" s="238"/>
      <c r="Z61" s="238"/>
      <c r="AA61" s="238"/>
      <c r="AB61" s="238"/>
      <c r="AC61" s="43"/>
      <c r="AD61" s="22"/>
    </row>
    <row r="62" spans="1:31" s="23" customFormat="1" x14ac:dyDescent="0.3">
      <c r="A62" s="47"/>
      <c r="B62" s="40" t="s">
        <v>18</v>
      </c>
      <c r="C62" s="97"/>
      <c r="D62" s="97"/>
      <c r="E62" s="97"/>
      <c r="F62" s="97"/>
      <c r="G62" s="97"/>
      <c r="H62" s="97"/>
      <c r="I62" s="97"/>
      <c r="J62" s="97"/>
      <c r="K62" s="97"/>
      <c r="L62" s="97"/>
      <c r="M62" s="97"/>
      <c r="N62" s="97"/>
      <c r="O62" s="97"/>
      <c r="P62" s="238">
        <v>0</v>
      </c>
      <c r="Q62" s="238"/>
      <c r="R62" s="238">
        <v>0</v>
      </c>
      <c r="S62" s="238"/>
      <c r="T62" s="238"/>
      <c r="U62" s="238"/>
      <c r="V62" s="238"/>
      <c r="W62" s="238"/>
      <c r="X62" s="238"/>
      <c r="Y62" s="238"/>
      <c r="Z62" s="238"/>
      <c r="AA62" s="238"/>
      <c r="AB62" s="237">
        <v>0</v>
      </c>
      <c r="AC62" s="43"/>
      <c r="AD62" s="22"/>
    </row>
    <row r="63" spans="1:31" s="23" customFormat="1" x14ac:dyDescent="0.3">
      <c r="A63" s="47"/>
      <c r="B63" s="40" t="s">
        <v>274</v>
      </c>
      <c r="C63" s="97"/>
      <c r="D63" s="97"/>
      <c r="E63" s="97"/>
      <c r="F63" s="97"/>
      <c r="G63" s="97"/>
      <c r="H63" s="97"/>
      <c r="I63" s="97"/>
      <c r="J63" s="97"/>
      <c r="K63" s="97"/>
      <c r="L63" s="97"/>
      <c r="M63" s="97"/>
      <c r="N63" s="97"/>
      <c r="O63" s="97"/>
      <c r="P63" s="238">
        <v>0</v>
      </c>
      <c r="Q63" s="238"/>
      <c r="R63" s="238">
        <v>4</v>
      </c>
      <c r="S63" s="238"/>
      <c r="T63" s="238">
        <v>0</v>
      </c>
      <c r="U63" s="238"/>
      <c r="V63" s="238">
        <v>0</v>
      </c>
      <c r="W63" s="238"/>
      <c r="X63" s="238"/>
      <c r="Y63" s="238"/>
      <c r="Z63" s="238"/>
      <c r="AA63" s="238"/>
      <c r="AB63" s="238">
        <f>R63+V63</f>
        <v>4</v>
      </c>
      <c r="AC63" s="43"/>
      <c r="AD63" s="22"/>
    </row>
    <row r="64" spans="1:31" s="23" customFormat="1" x14ac:dyDescent="0.3">
      <c r="A64" s="47"/>
      <c r="B64" s="40" t="s">
        <v>172</v>
      </c>
      <c r="C64" s="97"/>
      <c r="D64" s="97"/>
      <c r="E64" s="97"/>
      <c r="F64" s="97"/>
      <c r="G64" s="97"/>
      <c r="H64" s="97"/>
      <c r="I64" s="97"/>
      <c r="J64" s="97"/>
      <c r="K64" s="97"/>
      <c r="L64" s="97"/>
      <c r="M64" s="97"/>
      <c r="N64" s="97"/>
      <c r="O64" s="97"/>
      <c r="P64" s="238">
        <v>812</v>
      </c>
      <c r="Q64" s="238"/>
      <c r="R64" s="238">
        <v>552</v>
      </c>
      <c r="S64" s="238"/>
      <c r="T64" s="238"/>
      <c r="U64" s="238"/>
      <c r="V64" s="238"/>
      <c r="W64" s="238"/>
      <c r="X64" s="238">
        <f>-X57</f>
        <v>-79</v>
      </c>
      <c r="Y64" s="238"/>
      <c r="Z64" s="238"/>
      <c r="AA64" s="238"/>
      <c r="AB64" s="238">
        <f>+R64+X64</f>
        <v>473</v>
      </c>
      <c r="AC64" s="43"/>
      <c r="AD64" s="22"/>
    </row>
    <row r="65" spans="1:30" s="23" customFormat="1" x14ac:dyDescent="0.3">
      <c r="A65" s="47"/>
      <c r="B65" s="40" t="s">
        <v>19</v>
      </c>
      <c r="C65" s="97"/>
      <c r="D65" s="97"/>
      <c r="E65" s="97"/>
      <c r="F65" s="97"/>
      <c r="G65" s="97"/>
      <c r="H65" s="97"/>
      <c r="I65" s="97"/>
      <c r="J65" s="97"/>
      <c r="K65" s="97"/>
      <c r="L65" s="97"/>
      <c r="M65" s="97"/>
      <c r="N65" s="97"/>
      <c r="O65" s="97"/>
      <c r="P65" s="238">
        <v>0</v>
      </c>
      <c r="Q65" s="238"/>
      <c r="R65" s="238">
        <v>0</v>
      </c>
      <c r="S65" s="238"/>
      <c r="T65" s="238"/>
      <c r="U65" s="238"/>
      <c r="V65" s="238"/>
      <c r="W65" s="238"/>
      <c r="X65" s="238"/>
      <c r="Y65" s="238"/>
      <c r="Z65" s="238"/>
      <c r="AA65" s="238"/>
      <c r="AB65" s="238">
        <v>0</v>
      </c>
      <c r="AC65" s="43"/>
      <c r="AD65" s="22"/>
    </row>
    <row r="66" spans="1:30" s="23" customFormat="1" x14ac:dyDescent="0.3">
      <c r="A66" s="47"/>
      <c r="B66" s="40" t="s">
        <v>20</v>
      </c>
      <c r="C66" s="97"/>
      <c r="D66" s="97"/>
      <c r="E66" s="97"/>
      <c r="F66" s="97"/>
      <c r="G66" s="97"/>
      <c r="H66" s="97"/>
      <c r="I66" s="97"/>
      <c r="J66" s="97"/>
      <c r="K66" s="97"/>
      <c r="L66" s="97"/>
      <c r="M66" s="97"/>
      <c r="N66" s="97"/>
      <c r="O66" s="97"/>
      <c r="P66" s="238">
        <f>SUM(P60:P65)</f>
        <v>760478</v>
      </c>
      <c r="Q66" s="238"/>
      <c r="R66" s="238">
        <f>SUM(R60:R65)</f>
        <v>751551</v>
      </c>
      <c r="S66" s="238"/>
      <c r="T66" s="238"/>
      <c r="U66" s="238"/>
      <c r="V66" s="238"/>
      <c r="W66" s="238"/>
      <c r="X66" s="238"/>
      <c r="Y66" s="238"/>
      <c r="Z66" s="238"/>
      <c r="AA66" s="238"/>
      <c r="AB66" s="238">
        <f>SUM(AB60:AB65)</f>
        <v>744964</v>
      </c>
      <c r="AC66" s="43"/>
      <c r="AD66" s="22"/>
    </row>
    <row r="67" spans="1:30" x14ac:dyDescent="0.3">
      <c r="A67" s="7"/>
      <c r="B67" s="99"/>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1"/>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2" t="s">
        <v>21</v>
      </c>
      <c r="C69" s="102"/>
      <c r="D69" s="103"/>
      <c r="E69" s="103"/>
      <c r="F69" s="103"/>
      <c r="G69" s="103"/>
      <c r="H69" s="104"/>
      <c r="I69" s="103"/>
      <c r="J69" s="105"/>
      <c r="K69" s="103"/>
      <c r="L69" s="103"/>
      <c r="M69" s="103"/>
      <c r="N69" s="103"/>
      <c r="O69" s="103"/>
      <c r="P69" s="103"/>
      <c r="Q69" s="103"/>
      <c r="R69" s="104" t="s">
        <v>64</v>
      </c>
      <c r="S69" s="103"/>
      <c r="T69" s="105">
        <f>+Z235</f>
        <v>44286</v>
      </c>
      <c r="U69" s="103"/>
      <c r="V69" s="103"/>
      <c r="W69" s="103"/>
      <c r="X69" s="103"/>
      <c r="Y69" s="103"/>
      <c r="Z69" s="103" t="s">
        <v>73</v>
      </c>
      <c r="AA69" s="103"/>
      <c r="AB69" s="103"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100">
        <f>+R63</f>
        <v>4</v>
      </c>
      <c r="AA70" s="37"/>
      <c r="AB70" s="107">
        <v>0</v>
      </c>
      <c r="AC70" s="21"/>
      <c r="AD70" s="22"/>
    </row>
    <row r="71" spans="1:30" s="23" customFormat="1" x14ac:dyDescent="0.3">
      <c r="A71" s="47"/>
      <c r="B71" s="40" t="s">
        <v>218</v>
      </c>
      <c r="C71" s="40"/>
      <c r="D71" s="70"/>
      <c r="E71" s="70"/>
      <c r="F71" s="70"/>
      <c r="G71" s="108"/>
      <c r="H71" s="70"/>
      <c r="I71" s="40"/>
      <c r="J71" s="109"/>
      <c r="K71" s="40"/>
      <c r="L71" s="40"/>
      <c r="M71" s="40"/>
      <c r="N71" s="40"/>
      <c r="O71" s="40"/>
      <c r="P71" s="40"/>
      <c r="Q71" s="40"/>
      <c r="R71" s="40"/>
      <c r="S71" s="40"/>
      <c r="T71" s="40"/>
      <c r="U71" s="40"/>
      <c r="V71" s="40"/>
      <c r="W71" s="40"/>
      <c r="X71" s="40"/>
      <c r="Y71" s="40"/>
      <c r="Z71" s="238">
        <f>-X64</f>
        <v>79</v>
      </c>
      <c r="AA71" s="40"/>
      <c r="AB71" s="98"/>
      <c r="AC71" s="43"/>
      <c r="AD71" s="22"/>
    </row>
    <row r="72" spans="1:30" s="23" customFormat="1" x14ac:dyDescent="0.3">
      <c r="A72" s="47"/>
      <c r="B72" s="40" t="s">
        <v>217</v>
      </c>
      <c r="C72" s="40"/>
      <c r="D72" s="70"/>
      <c r="E72" s="70"/>
      <c r="F72" s="70"/>
      <c r="G72" s="108"/>
      <c r="H72" s="70"/>
      <c r="I72" s="40"/>
      <c r="J72" s="109"/>
      <c r="K72" s="40"/>
      <c r="L72" s="40"/>
      <c r="M72" s="40"/>
      <c r="N72" s="40"/>
      <c r="O72" s="40"/>
      <c r="P72" s="40"/>
      <c r="Q72" s="40"/>
      <c r="R72" s="40"/>
      <c r="S72" s="40"/>
      <c r="T72" s="40"/>
      <c r="U72" s="40"/>
      <c r="V72" s="40"/>
      <c r="W72" s="40"/>
      <c r="X72" s="40"/>
      <c r="Y72" s="40"/>
      <c r="Z72" s="238">
        <f>-Z209</f>
        <v>-79</v>
      </c>
      <c r="AA72" s="40"/>
      <c r="AB72" s="98"/>
      <c r="AC72" s="43"/>
      <c r="AD72" s="22"/>
    </row>
    <row r="73" spans="1:30" s="23" customFormat="1" x14ac:dyDescent="0.3">
      <c r="A73" s="47"/>
      <c r="B73" s="40" t="s">
        <v>23</v>
      </c>
      <c r="C73" s="40"/>
      <c r="D73" s="70"/>
      <c r="E73" s="70"/>
      <c r="F73" s="70"/>
      <c r="G73" s="108"/>
      <c r="H73" s="70"/>
      <c r="I73" s="40"/>
      <c r="J73" s="109"/>
      <c r="K73" s="40"/>
      <c r="L73" s="40"/>
      <c r="M73" s="40"/>
      <c r="N73" s="40"/>
      <c r="O73" s="40"/>
      <c r="P73" s="40"/>
      <c r="Q73" s="40"/>
      <c r="R73" s="40"/>
      <c r="S73" s="40"/>
      <c r="T73" s="40"/>
      <c r="U73" s="40"/>
      <c r="V73" s="40"/>
      <c r="W73" s="40"/>
      <c r="X73" s="40"/>
      <c r="Y73" s="40"/>
      <c r="Z73" s="238">
        <f>+T57+V57+Z57</f>
        <v>6587</v>
      </c>
      <c r="AA73" s="40"/>
      <c r="AB73" s="98"/>
      <c r="AC73" s="43"/>
      <c r="AD73" s="22"/>
    </row>
    <row r="74" spans="1:30" s="23" customFormat="1" x14ac:dyDescent="0.3">
      <c r="A74" s="47"/>
      <c r="B74" s="40" t="s">
        <v>115</v>
      </c>
      <c r="C74" s="40"/>
      <c r="D74" s="70"/>
      <c r="E74" s="70"/>
      <c r="F74" s="70"/>
      <c r="G74" s="108"/>
      <c r="H74" s="70"/>
      <c r="I74" s="40"/>
      <c r="J74" s="109"/>
      <c r="K74" s="40"/>
      <c r="L74" s="40"/>
      <c r="M74" s="40"/>
      <c r="N74" s="40"/>
      <c r="O74" s="40"/>
      <c r="P74" s="40"/>
      <c r="Q74" s="40"/>
      <c r="R74" s="40"/>
      <c r="S74" s="40"/>
      <c r="T74" s="40"/>
      <c r="U74" s="40"/>
      <c r="V74" s="40"/>
      <c r="W74" s="40"/>
      <c r="X74" s="40"/>
      <c r="Y74" s="40"/>
      <c r="Z74" s="238"/>
      <c r="AA74" s="40"/>
      <c r="AB74" s="98">
        <f>7159+265-756-17</f>
        <v>6651</v>
      </c>
      <c r="AC74" s="43"/>
      <c r="AD74" s="22"/>
    </row>
    <row r="75" spans="1:30" s="23" customFormat="1" x14ac:dyDescent="0.3">
      <c r="A75" s="47"/>
      <c r="B75" s="40" t="s">
        <v>113</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246+17</f>
        <v>263</v>
      </c>
      <c r="AC75" s="43"/>
      <c r="AD75" s="22"/>
    </row>
    <row r="76" spans="1:30" s="23" customFormat="1" x14ac:dyDescent="0.3">
      <c r="A76" s="47"/>
      <c r="B76" s="40" t="s">
        <v>114</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v>1</v>
      </c>
      <c r="AC76" s="43"/>
      <c r="AD76" s="22"/>
    </row>
    <row r="77" spans="1:30" s="23" customFormat="1" x14ac:dyDescent="0.3">
      <c r="A77" s="47"/>
      <c r="B77" s="40" t="s">
        <v>120</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59" t="s">
        <v>224</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61</v>
      </c>
      <c r="AC78" s="43"/>
      <c r="AD78" s="22"/>
    </row>
    <row r="79" spans="1:30" s="23" customFormat="1" x14ac:dyDescent="0.3">
      <c r="A79" s="47"/>
      <c r="B79" s="59" t="s">
        <v>225</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0</v>
      </c>
      <c r="AC79" s="43"/>
      <c r="AD79" s="22"/>
    </row>
    <row r="80" spans="1:30" s="23" customFormat="1" x14ac:dyDescent="0.3">
      <c r="A80" s="47"/>
      <c r="B80" s="40" t="s">
        <v>232</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f>+AB167</f>
        <v>0</v>
      </c>
      <c r="AC80" s="43"/>
      <c r="AD80" s="22"/>
    </row>
    <row r="81" spans="1:30" s="23" customFormat="1" x14ac:dyDescent="0.3">
      <c r="A81" s="47"/>
      <c r="B81" s="40" t="s">
        <v>246</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v>0</v>
      </c>
      <c r="AC81" s="43"/>
      <c r="AD81" s="22"/>
    </row>
    <row r="82" spans="1:30" s="23" customFormat="1" x14ac:dyDescent="0.3">
      <c r="A82" s="47"/>
      <c r="B82" s="59" t="s">
        <v>233</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1</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8">
        <f>SUM(Z70:Z82)</f>
        <v>6591</v>
      </c>
      <c r="AA83" s="40"/>
      <c r="AB83" s="97">
        <f>SUM(AB70:AB82)</f>
        <v>6977</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8">
        <f>-AB84</f>
        <v>0</v>
      </c>
      <c r="AA84" s="40"/>
      <c r="AB84" s="98">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8"/>
      <c r="AA85" s="40"/>
      <c r="AB85" s="98">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8">
        <f>Z83+Z84</f>
        <v>6591</v>
      </c>
      <c r="AA86" s="40"/>
      <c r="AB86" s="97">
        <f>AB83+AB84+AB85</f>
        <v>6977</v>
      </c>
      <c r="AC86" s="43"/>
      <c r="AD86" s="22"/>
    </row>
    <row r="87" spans="1:30" x14ac:dyDescent="0.3">
      <c r="A87" s="110"/>
      <c r="B87" s="111" t="s">
        <v>27</v>
      </c>
      <c r="C87" s="59"/>
      <c r="D87" s="59"/>
      <c r="E87" s="59"/>
      <c r="F87" s="59"/>
      <c r="G87" s="59"/>
      <c r="H87" s="59"/>
      <c r="I87" s="59"/>
      <c r="J87" s="59"/>
      <c r="K87" s="59"/>
      <c r="L87" s="59"/>
      <c r="M87" s="59"/>
      <c r="N87" s="59"/>
      <c r="O87" s="59"/>
      <c r="P87" s="59"/>
      <c r="Q87" s="59"/>
      <c r="R87" s="59"/>
      <c r="S87" s="59"/>
      <c r="T87" s="59"/>
      <c r="U87" s="59"/>
      <c r="V87" s="59"/>
      <c r="W87" s="59"/>
      <c r="X87" s="59"/>
      <c r="Y87" s="59"/>
      <c r="Z87" s="238"/>
      <c r="AA87" s="112"/>
      <c r="AB87" s="113"/>
      <c r="AC87" s="114"/>
      <c r="AD87" s="5"/>
    </row>
    <row r="88" spans="1:30" x14ac:dyDescent="0.3">
      <c r="A88" s="110">
        <v>1</v>
      </c>
      <c r="B88" s="59" t="s">
        <v>138</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98">
        <v>0</v>
      </c>
      <c r="AC88" s="114"/>
      <c r="AD88" s="5"/>
    </row>
    <row r="89" spans="1:30" x14ac:dyDescent="0.3">
      <c r="A89" s="110">
        <v>2</v>
      </c>
      <c r="B89" s="59" t="s">
        <v>275</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-2</v>
      </c>
      <c r="AC89" s="114"/>
      <c r="AD89" s="5"/>
    </row>
    <row r="90" spans="1:30" x14ac:dyDescent="0.3">
      <c r="A90" s="110">
        <v>3</v>
      </c>
      <c r="B90" s="59" t="s">
        <v>247</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f>-371-5-8</f>
        <v>-384</v>
      </c>
      <c r="AC90" s="114"/>
      <c r="AD90" s="5"/>
    </row>
    <row r="91" spans="1:30" x14ac:dyDescent="0.3">
      <c r="A91" s="110">
        <v>4</v>
      </c>
      <c r="B91" s="59" t="s">
        <v>82</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v>-761</v>
      </c>
      <c r="AC91" s="114"/>
      <c r="AD91" s="5"/>
    </row>
    <row r="92" spans="1:30" x14ac:dyDescent="0.3">
      <c r="A92" s="110">
        <v>5</v>
      </c>
      <c r="B92" s="59" t="s">
        <v>129</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-1811</v>
      </c>
      <c r="AC92" s="114"/>
      <c r="AD92" s="5"/>
    </row>
    <row r="93" spans="1:30" x14ac:dyDescent="0.3">
      <c r="A93" s="110">
        <v>6</v>
      </c>
      <c r="B93" s="59" t="s">
        <v>150</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-160</v>
      </c>
      <c r="AC93" s="114"/>
      <c r="AD93" s="5"/>
    </row>
    <row r="94" spans="1:30" x14ac:dyDescent="0.3">
      <c r="A94" s="110">
        <v>7</v>
      </c>
      <c r="B94" s="59" t="s">
        <v>201</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0</v>
      </c>
      <c r="AC94" s="114"/>
      <c r="AD94" s="5"/>
    </row>
    <row r="95" spans="1:30" x14ac:dyDescent="0.3">
      <c r="A95" s="110">
        <v>8</v>
      </c>
      <c r="B95" s="59" t="s">
        <v>151</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-104</v>
      </c>
      <c r="AC95" s="114"/>
      <c r="AD95" s="5"/>
    </row>
    <row r="96" spans="1:30" x14ac:dyDescent="0.3">
      <c r="A96" s="110">
        <v>9</v>
      </c>
      <c r="B96" s="59" t="s">
        <v>180</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-121</v>
      </c>
      <c r="AC96" s="114"/>
      <c r="AD96" s="5"/>
    </row>
    <row r="97" spans="1:30" x14ac:dyDescent="0.3">
      <c r="A97" s="110">
        <v>10</v>
      </c>
      <c r="B97" s="59" t="s">
        <v>130</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0</v>
      </c>
      <c r="AC97" s="114"/>
      <c r="AD97" s="5"/>
    </row>
    <row r="98" spans="1:30" x14ac:dyDescent="0.3">
      <c r="A98" s="110">
        <v>11</v>
      </c>
      <c r="B98" s="59" t="s">
        <v>200</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0</v>
      </c>
      <c r="AC98" s="114"/>
      <c r="AD98" s="5"/>
    </row>
    <row r="99" spans="1:30" x14ac:dyDescent="0.3">
      <c r="A99" s="110">
        <v>12</v>
      </c>
      <c r="B99" s="59" t="s">
        <v>33</v>
      </c>
      <c r="C99" s="59"/>
      <c r="D99" s="59"/>
      <c r="E99" s="59"/>
      <c r="F99" s="59"/>
      <c r="G99" s="59"/>
      <c r="H99" s="59"/>
      <c r="I99" s="59"/>
      <c r="J99" s="59"/>
      <c r="K99" s="59"/>
      <c r="L99" s="59"/>
      <c r="M99" s="59"/>
      <c r="N99" s="59"/>
      <c r="O99" s="59"/>
      <c r="P99" s="59"/>
      <c r="Q99" s="59"/>
      <c r="R99" s="59"/>
      <c r="S99" s="59"/>
      <c r="T99" s="59"/>
      <c r="U99" s="59"/>
      <c r="V99" s="59"/>
      <c r="W99" s="59"/>
      <c r="X99" s="59"/>
      <c r="Y99" s="59"/>
      <c r="Z99" s="238">
        <f>-AB99</f>
        <v>0</v>
      </c>
      <c r="AA99" s="112"/>
      <c r="AB99" s="98">
        <v>0</v>
      </c>
      <c r="AC99" s="114"/>
      <c r="AD99" s="5"/>
    </row>
    <row r="100" spans="1:30" x14ac:dyDescent="0.3">
      <c r="A100" s="110">
        <v>13</v>
      </c>
      <c r="B100" s="59" t="s">
        <v>276</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14</v>
      </c>
      <c r="B101" s="59" t="s">
        <v>277</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c r="AA101" s="112"/>
      <c r="AB101" s="98">
        <v>0</v>
      </c>
      <c r="AC101" s="114"/>
      <c r="AD101" s="5"/>
    </row>
    <row r="102" spans="1:30" x14ac:dyDescent="0.3">
      <c r="A102" s="110">
        <v>15</v>
      </c>
      <c r="B102" s="59" t="s">
        <v>28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-22</v>
      </c>
      <c r="AC102" s="114"/>
      <c r="AD102" s="5"/>
    </row>
    <row r="103" spans="1:30" x14ac:dyDescent="0.3">
      <c r="A103" s="110">
        <v>16</v>
      </c>
      <c r="B103" s="59" t="s">
        <v>118</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0</v>
      </c>
      <c r="AC103" s="114"/>
      <c r="AD103" s="5"/>
    </row>
    <row r="104" spans="1:30" x14ac:dyDescent="0.3">
      <c r="A104" s="110">
        <v>17</v>
      </c>
      <c r="B104" s="59" t="s">
        <v>188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0</v>
      </c>
      <c r="AC104" s="114"/>
      <c r="AD104" s="5"/>
    </row>
    <row r="105" spans="1:30" x14ac:dyDescent="0.3">
      <c r="A105" s="110">
        <v>18</v>
      </c>
      <c r="B105" s="59" t="s">
        <v>162</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-192</v>
      </c>
      <c r="AC105" s="114"/>
      <c r="AD105" s="5"/>
    </row>
    <row r="106" spans="1:30" x14ac:dyDescent="0.3">
      <c r="A106" s="110">
        <v>19</v>
      </c>
      <c r="B106" s="59" t="s">
        <v>257</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-109</v>
      </c>
      <c r="AC106" s="114"/>
      <c r="AD106" s="5"/>
    </row>
    <row r="107" spans="1:30" x14ac:dyDescent="0.3">
      <c r="A107" s="110">
        <v>20</v>
      </c>
      <c r="B107" s="59" t="s">
        <v>258</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-61</v>
      </c>
      <c r="AC107" s="114"/>
      <c r="AD107" s="5"/>
    </row>
    <row r="108" spans="1:30" x14ac:dyDescent="0.3">
      <c r="A108" s="110">
        <v>21</v>
      </c>
      <c r="B108" s="59" t="s">
        <v>259</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0</v>
      </c>
      <c r="AC108" s="114"/>
      <c r="AD108" s="5"/>
    </row>
    <row r="109" spans="1:30" x14ac:dyDescent="0.3">
      <c r="A109" s="110">
        <v>22</v>
      </c>
      <c r="B109" s="59" t="s">
        <v>260</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0</v>
      </c>
      <c r="AC109" s="114"/>
      <c r="AD109" s="5"/>
    </row>
    <row r="110" spans="1:30" x14ac:dyDescent="0.3">
      <c r="A110" s="110">
        <v>23</v>
      </c>
      <c r="B110" s="59" t="s">
        <v>131</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24</v>
      </c>
      <c r="B111" s="59" t="s">
        <v>137</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f>-13-68</f>
        <v>-81</v>
      </c>
      <c r="AC111" s="114"/>
      <c r="AD111" s="5"/>
    </row>
    <row r="112" spans="1:30" x14ac:dyDescent="0.3">
      <c r="A112" s="110">
        <v>25</v>
      </c>
      <c r="B112" s="59" t="s">
        <v>255</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-5</v>
      </c>
      <c r="AC112" s="114"/>
      <c r="AD112" s="5"/>
    </row>
    <row r="113" spans="1:30" x14ac:dyDescent="0.3">
      <c r="A113" s="110">
        <v>26</v>
      </c>
      <c r="B113" s="59" t="s">
        <v>226</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-3164</v>
      </c>
      <c r="AC113" s="114"/>
      <c r="AD113" s="5"/>
    </row>
    <row r="114" spans="1:30" x14ac:dyDescent="0.3">
      <c r="A114" s="110"/>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113"/>
      <c r="AC114" s="114"/>
      <c r="AD114" s="5"/>
    </row>
    <row r="115" spans="1:30" x14ac:dyDescent="0.3">
      <c r="A115" s="110"/>
      <c r="B115" s="111" t="s">
        <v>29</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112"/>
      <c r="AB115" s="116"/>
      <c r="AC115" s="114"/>
      <c r="AD115" s="5"/>
    </row>
    <row r="116" spans="1:30" x14ac:dyDescent="0.3">
      <c r="A116" s="110"/>
      <c r="B116" s="40" t="s">
        <v>227</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v>0</v>
      </c>
      <c r="AA116" s="112"/>
      <c r="AB116" s="116"/>
      <c r="AC116" s="114"/>
      <c r="AD116" s="5"/>
    </row>
    <row r="117" spans="1:30" s="23" customFormat="1" x14ac:dyDescent="0.3">
      <c r="A117" s="47"/>
      <c r="B117" s="40" t="s">
        <v>156</v>
      </c>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238">
        <v>0</v>
      </c>
      <c r="AA117" s="97"/>
      <c r="AB117" s="98"/>
      <c r="AC117" s="43"/>
      <c r="AD117" s="22"/>
    </row>
    <row r="118" spans="1:30" s="23" customFormat="1" x14ac:dyDescent="0.3">
      <c r="A118" s="47"/>
      <c r="B118" s="40" t="s">
        <v>157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8">
        <v>0</v>
      </c>
      <c r="AA118" s="97"/>
      <c r="AB118" s="98"/>
      <c r="AC118" s="43"/>
      <c r="AD118" s="22"/>
    </row>
    <row r="119" spans="1:30" s="23" customFormat="1" x14ac:dyDescent="0.3">
      <c r="A119" s="47"/>
      <c r="B119" s="40" t="s">
        <v>262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263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312</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-6587</v>
      </c>
      <c r="AA121" s="97"/>
      <c r="AB121" s="98"/>
      <c r="AC121" s="43"/>
      <c r="AD121" s="22"/>
    </row>
    <row r="122" spans="1:30" s="23" customFormat="1" x14ac:dyDescent="0.3">
      <c r="A122" s="47"/>
      <c r="B122" s="40" t="s">
        <v>142</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143</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0</v>
      </c>
      <c r="AA123" s="97"/>
      <c r="AB123" s="98"/>
      <c r="AC123" s="43"/>
      <c r="AD123" s="22"/>
    </row>
    <row r="124" spans="1:30" s="23" customFormat="1" x14ac:dyDescent="0.3">
      <c r="A124" s="47"/>
      <c r="B124" s="40" t="s">
        <v>173</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163</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189</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30</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f>SUM(Z116:Z126)</f>
        <v>-6587</v>
      </c>
      <c r="AA127" s="97"/>
      <c r="AB127" s="97">
        <f>SUM(AB87:AB125)</f>
        <v>-6977</v>
      </c>
      <c r="AC127" s="43"/>
      <c r="AD127" s="22"/>
    </row>
    <row r="128" spans="1:30" s="23" customFormat="1" x14ac:dyDescent="0.3">
      <c r="A128" s="47"/>
      <c r="B128" s="40" t="s">
        <v>31</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f>Z86+Z127+Z99</f>
        <v>4</v>
      </c>
      <c r="AA128" s="97"/>
      <c r="AB128" s="97">
        <f>AB86+AB127</f>
        <v>0</v>
      </c>
      <c r="AC128" s="43"/>
      <c r="AD128" s="22"/>
    </row>
    <row r="129" spans="1:30" s="23" customFormat="1" x14ac:dyDescent="0.3">
      <c r="A129" s="18"/>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106"/>
      <c r="AA129" s="106"/>
      <c r="AB129" s="106"/>
      <c r="AC129" s="21"/>
      <c r="AD129" s="22"/>
    </row>
    <row r="130" spans="1:30" s="23" customFormat="1" x14ac:dyDescent="0.3">
      <c r="A130" s="18"/>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117"/>
      <c r="AC130" s="21"/>
      <c r="AD130" s="22"/>
    </row>
    <row r="131" spans="1:30" s="23" customFormat="1" ht="18.600000000000001" thickBot="1" x14ac:dyDescent="0.4">
      <c r="A131" s="83"/>
      <c r="B131" s="84" t="str">
        <f>B53</f>
        <v>PM27 INVESTOR REPORT QUARTER ENDING MARCH 2021</v>
      </c>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118"/>
      <c r="AC131" s="87"/>
      <c r="AD131" s="22"/>
    </row>
    <row r="132" spans="1:30" x14ac:dyDescent="0.3">
      <c r="A132" s="119"/>
      <c r="B132" s="120" t="s">
        <v>32</v>
      </c>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2"/>
      <c r="AC132" s="123"/>
      <c r="AD132" s="5"/>
    </row>
    <row r="133" spans="1:30" x14ac:dyDescent="0.3">
      <c r="A133" s="7"/>
      <c r="B133" s="124"/>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1"/>
      <c r="AC133" s="10"/>
      <c r="AD133" s="5"/>
    </row>
    <row r="134" spans="1:30" x14ac:dyDescent="0.3">
      <c r="A134" s="7"/>
      <c r="B134" s="125" t="s">
        <v>192</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1"/>
      <c r="AC134" s="10"/>
      <c r="AD134" s="5"/>
    </row>
    <row r="135" spans="1:30" s="23" customFormat="1" x14ac:dyDescent="0.3">
      <c r="A135" s="47"/>
      <c r="B135" s="40" t="s">
        <v>199</v>
      </c>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98">
        <f>SUM(F29:H29)*1.5%</f>
        <v>10351.994999999999</v>
      </c>
      <c r="AC135" s="43"/>
      <c r="AD135" s="22"/>
    </row>
    <row r="136" spans="1:30" s="23" customFormat="1" x14ac:dyDescent="0.3">
      <c r="A136" s="47"/>
      <c r="B136" s="40" t="s">
        <v>204</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8">
        <f>+'December 2020'!AB143</f>
        <v>10279.994999999999</v>
      </c>
      <c r="AC136" s="43"/>
      <c r="AD136" s="22"/>
    </row>
    <row r="137" spans="1:30" s="23" customFormat="1" x14ac:dyDescent="0.3">
      <c r="A137" s="47"/>
      <c r="B137" s="40" t="s">
        <v>248</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8"/>
      <c r="AC137" s="43"/>
      <c r="AD137" s="22"/>
    </row>
    <row r="138" spans="1:30" s="23" customFormat="1" x14ac:dyDescent="0.3">
      <c r="A138" s="47"/>
      <c r="B138" s="40" t="s">
        <v>250</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v>0</v>
      </c>
      <c r="AC138" s="43"/>
      <c r="AD138" s="22"/>
    </row>
    <row r="139" spans="1:30" s="23" customFormat="1" x14ac:dyDescent="0.3">
      <c r="A139" s="47"/>
      <c r="B139" s="40" t="s">
        <v>198</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v>0</v>
      </c>
      <c r="AC139" s="43"/>
      <c r="AD139" s="22"/>
    </row>
    <row r="140" spans="1:30" s="23" customFormat="1" x14ac:dyDescent="0.3">
      <c r="A140" s="47"/>
      <c r="B140" s="40" t="s">
        <v>150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v>0</v>
      </c>
      <c r="AC140" s="43"/>
      <c r="AD140" s="22"/>
    </row>
    <row r="141" spans="1:30" s="23" customFormat="1" x14ac:dyDescent="0.3">
      <c r="A141" s="47"/>
      <c r="B141" s="40" t="s">
        <v>87</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251</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-61</v>
      </c>
      <c r="AC142" s="43"/>
      <c r="AD142" s="22"/>
    </row>
    <row r="143" spans="1:30" s="23" customFormat="1" x14ac:dyDescent="0.3">
      <c r="A143" s="47"/>
      <c r="B143" s="40" t="s">
        <v>203</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f>SUM(AB136:AB142)</f>
        <v>10218.994999999999</v>
      </c>
      <c r="AC143" s="43"/>
      <c r="AD143" s="22"/>
    </row>
    <row r="144" spans="1:30" x14ac:dyDescent="0.3">
      <c r="A144" s="7"/>
      <c r="B144" s="124"/>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1"/>
      <c r="AC144" s="10"/>
      <c r="AD144" s="5"/>
    </row>
    <row r="145" spans="1:30" x14ac:dyDescent="0.3">
      <c r="A145" s="7"/>
      <c r="B145" s="125" t="s">
        <v>190</v>
      </c>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1"/>
      <c r="AC145" s="10"/>
      <c r="AD145" s="5"/>
    </row>
    <row r="146" spans="1:30" s="23" customFormat="1" x14ac:dyDescent="0.3">
      <c r="A146" s="47"/>
      <c r="B146" s="59" t="s">
        <v>191</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SUM(J29:L29)*1.5%</f>
        <v>684.42</v>
      </c>
      <c r="AC146" s="43"/>
      <c r="AD146" s="22"/>
    </row>
    <row r="147" spans="1:30" s="23" customFormat="1" x14ac:dyDescent="0.3">
      <c r="A147" s="47"/>
      <c r="B147" s="59" t="s">
        <v>205</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8">
        <f>SUM(J29:L29)*0.015</f>
        <v>684.42</v>
      </c>
      <c r="AC147" s="43"/>
      <c r="AD147" s="22"/>
    </row>
    <row r="148" spans="1:30" s="23" customFormat="1" x14ac:dyDescent="0.3">
      <c r="A148" s="47"/>
      <c r="B148" s="59" t="s">
        <v>93</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8"/>
      <c r="AC148" s="43"/>
      <c r="AD148" s="22"/>
    </row>
    <row r="149" spans="1:30" s="23" customFormat="1" x14ac:dyDescent="0.3">
      <c r="A149" s="47"/>
      <c r="B149" s="40" t="s">
        <v>250</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v>0</v>
      </c>
      <c r="AC149" s="43"/>
      <c r="AD149" s="22"/>
    </row>
    <row r="150" spans="1:30" s="23" customFormat="1" x14ac:dyDescent="0.3">
      <c r="A150" s="47"/>
      <c r="B150" s="59" t="s">
        <v>129</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v>0</v>
      </c>
      <c r="AC150" s="43"/>
      <c r="AD150" s="22"/>
    </row>
    <row r="151" spans="1:30" s="23" customFormat="1" x14ac:dyDescent="0.3">
      <c r="A151" s="47"/>
      <c r="B151" s="59" t="s">
        <v>150</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v>0</v>
      </c>
      <c r="AC151" s="43"/>
      <c r="AD151" s="22"/>
    </row>
    <row r="152" spans="1:30" s="23" customFormat="1" x14ac:dyDescent="0.3">
      <c r="A152" s="47"/>
      <c r="B152" s="59" t="s">
        <v>151</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0" s="23" customFormat="1" x14ac:dyDescent="0.3">
      <c r="A153" s="47"/>
      <c r="B153" s="59" t="s">
        <v>180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0" s="23" customFormat="1" x14ac:dyDescent="0.3">
      <c r="A154" s="47"/>
      <c r="B154" s="59" t="s">
        <v>87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0" s="23" customFormat="1" x14ac:dyDescent="0.3">
      <c r="A155" s="47"/>
      <c r="B155" s="40" t="s">
        <v>251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0" s="23" customFormat="1" x14ac:dyDescent="0.3">
      <c r="A156" s="47"/>
      <c r="B156" s="59" t="s">
        <v>202</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f>SUM(AB147:AB155)</f>
        <v>684.42</v>
      </c>
      <c r="AC156" s="43"/>
      <c r="AD156" s="22"/>
    </row>
    <row r="157" spans="1:30" x14ac:dyDescent="0.3">
      <c r="A157" s="7"/>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126"/>
      <c r="AC157" s="10"/>
      <c r="AD157" s="5"/>
    </row>
    <row r="158" spans="1:30" x14ac:dyDescent="0.3">
      <c r="A158" s="7"/>
      <c r="B158" s="125" t="s">
        <v>174</v>
      </c>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8"/>
      <c r="AC158" s="10"/>
      <c r="AD158" s="5"/>
    </row>
    <row r="159" spans="1:30" s="23" customFormat="1" x14ac:dyDescent="0.3">
      <c r="A159" s="129"/>
      <c r="B159" s="230" t="s">
        <v>281</v>
      </c>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1">
        <f>+'December 2020'!AB162</f>
        <v>552</v>
      </c>
      <c r="AC159" s="132"/>
      <c r="AD159" s="22"/>
    </row>
    <row r="160" spans="1:30" s="23" customFormat="1" x14ac:dyDescent="0.3">
      <c r="A160" s="129"/>
      <c r="B160" s="230" t="s">
        <v>175</v>
      </c>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1">
        <f>X64</f>
        <v>-79</v>
      </c>
      <c r="AC160" s="132"/>
      <c r="AD160" s="22"/>
    </row>
    <row r="161" spans="1:262" s="23" customFormat="1" x14ac:dyDescent="0.3">
      <c r="A161" s="129"/>
      <c r="B161" s="230" t="s">
        <v>249</v>
      </c>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1">
        <v>0</v>
      </c>
      <c r="AC161" s="132"/>
      <c r="AD161" s="22"/>
    </row>
    <row r="162" spans="1:262" s="23" customFormat="1" x14ac:dyDescent="0.3">
      <c r="A162" s="129"/>
      <c r="B162" s="230" t="s">
        <v>176</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AB159+AB160</f>
        <v>473</v>
      </c>
      <c r="AC162" s="132"/>
      <c r="AD162" s="22"/>
    </row>
    <row r="163" spans="1:262" x14ac:dyDescent="0.3">
      <c r="A163" s="7"/>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126"/>
      <c r="AC163" s="10"/>
      <c r="AD163" s="5"/>
    </row>
    <row r="164" spans="1:262" x14ac:dyDescent="0.3">
      <c r="A164" s="7"/>
      <c r="B164" s="125" t="s">
        <v>34</v>
      </c>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133"/>
      <c r="AC164" s="10"/>
      <c r="AD164" s="5"/>
    </row>
    <row r="165" spans="1:262" s="23" customFormat="1" x14ac:dyDescent="0.3">
      <c r="A165" s="47"/>
      <c r="B165" s="40" t="s">
        <v>35</v>
      </c>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98">
        <v>0</v>
      </c>
      <c r="AC165" s="43"/>
      <c r="AD165" s="22"/>
    </row>
    <row r="166" spans="1:262" s="23" customFormat="1" x14ac:dyDescent="0.3">
      <c r="A166" s="47"/>
      <c r="B166" s="40" t="s">
        <v>36</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8">
        <v>0</v>
      </c>
      <c r="AC166" s="43"/>
      <c r="AD166" s="22"/>
    </row>
    <row r="167" spans="1:262" s="23" customFormat="1" x14ac:dyDescent="0.3">
      <c r="A167" s="47"/>
      <c r="B167" s="40" t="s">
        <v>219</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8">
        <v>0</v>
      </c>
      <c r="AC167" s="43"/>
      <c r="AD167" s="22"/>
    </row>
    <row r="168" spans="1:262" s="23" customFormat="1" x14ac:dyDescent="0.3">
      <c r="A168" s="47"/>
      <c r="B168" s="40" t="s">
        <v>37</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AB166+AB165+AB167</f>
        <v>0</v>
      </c>
      <c r="AC168" s="43"/>
      <c r="AD168" s="22"/>
    </row>
    <row r="169" spans="1:262" s="23" customFormat="1" x14ac:dyDescent="0.3">
      <c r="A169" s="47"/>
      <c r="B169" s="40" t="s">
        <v>268</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f>+AB99</f>
        <v>0</v>
      </c>
      <c r="AC169" s="43"/>
      <c r="AD169" s="22"/>
    </row>
    <row r="170" spans="1:262" s="23" customFormat="1" x14ac:dyDescent="0.3">
      <c r="A170" s="47"/>
      <c r="B170" s="40" t="s">
        <v>38</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f>AB168+AB169</f>
        <v>0</v>
      </c>
      <c r="AC170" s="43"/>
      <c r="AD170" s="22"/>
    </row>
    <row r="171" spans="1:262" s="23" customFormat="1" x14ac:dyDescent="0.3">
      <c r="A171" s="47"/>
      <c r="B171" s="40" t="s">
        <v>124</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-AB85</f>
        <v>0</v>
      </c>
      <c r="AC171" s="43"/>
      <c r="AD171" s="22"/>
    </row>
    <row r="172" spans="1:262" ht="16.2" thickBot="1" x14ac:dyDescent="0.35">
      <c r="A172" s="7"/>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126"/>
      <c r="AC172" s="10"/>
      <c r="AD172" s="5"/>
    </row>
    <row r="173" spans="1:262" x14ac:dyDescent="0.3">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134"/>
      <c r="AC173" s="4"/>
      <c r="AD173" s="5"/>
    </row>
    <row r="174" spans="1:262" s="136" customFormat="1" x14ac:dyDescent="0.3">
      <c r="A174" s="7"/>
      <c r="B174" s="125" t="s">
        <v>193</v>
      </c>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135"/>
      <c r="AC174" s="10"/>
      <c r="AD174" s="5"/>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row>
    <row r="175" spans="1:262" s="137" customFormat="1" x14ac:dyDescent="0.3">
      <c r="A175" s="47"/>
      <c r="B175" s="40" t="s">
        <v>332</v>
      </c>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98">
        <v>0</v>
      </c>
      <c r="AC175" s="43"/>
      <c r="AD175" s="22"/>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row>
    <row r="176" spans="1:262" s="137" customFormat="1" x14ac:dyDescent="0.3">
      <c r="A176" s="47"/>
      <c r="B176" s="40" t="s">
        <v>210</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8">
        <f>+'December 2020'!AB179</f>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7" customFormat="1" x14ac:dyDescent="0.3">
      <c r="A177" s="47"/>
      <c r="B177" s="40" t="s">
        <v>234</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8">
        <f>-AB185</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7" customFormat="1" x14ac:dyDescent="0.3">
      <c r="A178" s="47"/>
      <c r="B178" s="40" t="s">
        <v>236</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f>+AB81</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207</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+AB176+AB177-AB178</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9" customFormat="1" ht="16.2" thickBot="1" x14ac:dyDescent="0.35">
      <c r="A180" s="138"/>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126"/>
      <c r="AC180" s="10"/>
      <c r="AD180" s="5"/>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row>
    <row r="181" spans="1:262" x14ac:dyDescent="0.3">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134"/>
      <c r="AC181" s="4"/>
      <c r="AD181" s="5"/>
    </row>
    <row r="182" spans="1:262" s="136" customFormat="1" x14ac:dyDescent="0.3">
      <c r="A182" s="7"/>
      <c r="B182" s="125" t="s">
        <v>206</v>
      </c>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135"/>
      <c r="AC182" s="10"/>
      <c r="AD182" s="5"/>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row>
    <row r="183" spans="1:262" s="137" customFormat="1" x14ac:dyDescent="0.3">
      <c r="A183" s="47"/>
      <c r="B183" s="40" t="s">
        <v>208</v>
      </c>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98">
        <v>300</v>
      </c>
      <c r="AC183" s="43"/>
      <c r="AD183" s="22"/>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row>
    <row r="184" spans="1:262" s="137" customFormat="1" x14ac:dyDescent="0.3">
      <c r="A184" s="47"/>
      <c r="B184" s="40" t="s">
        <v>211</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98">
        <f>+'December 2020'!AB187</f>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7" customFormat="1" x14ac:dyDescent="0.3">
      <c r="A185" s="47"/>
      <c r="B185" s="59" t="s">
        <v>228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8">
        <v>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7" customFormat="1" x14ac:dyDescent="0.3">
      <c r="A186" s="47"/>
      <c r="B186" s="59" t="s">
        <v>229</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f>-AB100</f>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209</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AB183-AB185+AB186</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9" customFormat="1" ht="16.2" thickBot="1" x14ac:dyDescent="0.35">
      <c r="A188" s="138"/>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126"/>
      <c r="AC188" s="10"/>
      <c r="AD188" s="5"/>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row>
    <row r="189" spans="1:262" x14ac:dyDescent="0.3">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134"/>
      <c r="AC189" s="4"/>
      <c r="AD189" s="5"/>
    </row>
    <row r="190" spans="1:262" s="136" customFormat="1" x14ac:dyDescent="0.3">
      <c r="A190" s="7"/>
      <c r="B190" s="125" t="s">
        <v>212</v>
      </c>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135"/>
      <c r="AC190" s="10"/>
      <c r="AD190" s="5"/>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row>
    <row r="191" spans="1:262" s="137" customFormat="1" x14ac:dyDescent="0.3">
      <c r="A191" s="47"/>
      <c r="B191" s="40" t="s">
        <v>334</v>
      </c>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98">
        <v>0</v>
      </c>
      <c r="AC191" s="43"/>
      <c r="AD191" s="22"/>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row>
    <row r="192" spans="1:262" s="137" customFormat="1" x14ac:dyDescent="0.3">
      <c r="A192" s="47"/>
      <c r="B192" s="40" t="s">
        <v>213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98">
        <f>+'December 2020'!AB195</f>
        <v>0</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7" customFormat="1" x14ac:dyDescent="0.3">
      <c r="A193" s="47"/>
      <c r="B193" s="40" t="s">
        <v>235</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8">
        <f>AB201</f>
        <v>9</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7"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f>AB82</f>
        <v>1</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346</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AB192+AB193-AB194</f>
        <v>8</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9" customFormat="1" ht="16.2" thickBot="1" x14ac:dyDescent="0.35">
      <c r="A196" s="138"/>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126"/>
      <c r="AC196" s="10"/>
      <c r="AD196" s="5"/>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row>
    <row r="197" spans="1:262" x14ac:dyDescent="0.3">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134"/>
      <c r="AC197" s="4"/>
      <c r="AD197" s="5"/>
    </row>
    <row r="198" spans="1:262" s="136" customFormat="1" x14ac:dyDescent="0.3">
      <c r="A198" s="7"/>
      <c r="B198" s="125" t="s">
        <v>333</v>
      </c>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135"/>
      <c r="AC198" s="10"/>
      <c r="AD198" s="5"/>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row>
    <row r="199" spans="1:262" s="137" customFormat="1" x14ac:dyDescent="0.3">
      <c r="A199" s="47"/>
      <c r="B199" s="40" t="s">
        <v>214</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v>301</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7" customFormat="1" x14ac:dyDescent="0.3">
      <c r="A200" s="47"/>
      <c r="B200" s="40" t="s">
        <v>215</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98">
        <f>+'December 2020'!AB203</f>
        <v>401</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7" customFormat="1" x14ac:dyDescent="0.3">
      <c r="A201" s="47"/>
      <c r="B201" s="59" t="s">
        <v>256</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8">
        <v>9</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7" customFormat="1" x14ac:dyDescent="0.3">
      <c r="A202" s="47"/>
      <c r="B202" s="59" t="s">
        <v>231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f>-AB101</f>
        <v>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AB200-AB201+AB202</f>
        <v>392</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9" customFormat="1" ht="16.2" thickBot="1" x14ac:dyDescent="0.35">
      <c r="A204" s="138"/>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126"/>
      <c r="AC204" s="10"/>
      <c r="AD204" s="5"/>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row>
    <row r="205" spans="1:262" x14ac:dyDescent="0.3">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134"/>
      <c r="AC205" s="4"/>
      <c r="AD205" s="5"/>
    </row>
    <row r="206" spans="1:262" s="136" customFormat="1" x14ac:dyDescent="0.3">
      <c r="A206" s="7"/>
      <c r="B206" s="125" t="s">
        <v>237</v>
      </c>
      <c r="C206" s="99"/>
      <c r="D206" s="99"/>
      <c r="E206" s="99"/>
      <c r="F206" s="99"/>
      <c r="G206" s="99"/>
      <c r="H206" s="99"/>
      <c r="I206" s="99"/>
      <c r="J206" s="99"/>
      <c r="K206" s="99"/>
      <c r="L206" s="99"/>
      <c r="M206" s="99"/>
      <c r="N206" s="99"/>
      <c r="O206" s="99"/>
      <c r="P206" s="99"/>
      <c r="Q206" s="99"/>
      <c r="R206" s="99"/>
      <c r="S206" s="99"/>
      <c r="T206" s="99"/>
      <c r="U206" s="99"/>
      <c r="V206" s="99"/>
      <c r="W206" s="99"/>
      <c r="X206" s="99"/>
      <c r="Y206" s="233" t="s">
        <v>243</v>
      </c>
      <c r="Z206" s="233" t="s">
        <v>244</v>
      </c>
      <c r="AA206" s="12"/>
      <c r="AB206" s="234" t="s">
        <v>80</v>
      </c>
      <c r="AC206" s="10"/>
      <c r="AD206" s="5"/>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row>
    <row r="207" spans="1:262" s="137" customFormat="1" x14ac:dyDescent="0.3">
      <c r="A207" s="47"/>
      <c r="B207" s="40" t="s">
        <v>238</v>
      </c>
      <c r="C207" s="40"/>
      <c r="D207" s="40"/>
      <c r="E207" s="40"/>
      <c r="F207" s="40"/>
      <c r="G207" s="40"/>
      <c r="H207" s="40"/>
      <c r="I207" s="40"/>
      <c r="J207" s="40"/>
      <c r="K207" s="40"/>
      <c r="L207" s="40"/>
      <c r="M207" s="40"/>
      <c r="N207" s="40"/>
      <c r="O207" s="40"/>
      <c r="P207" s="40"/>
      <c r="Q207" s="40"/>
      <c r="R207" s="40"/>
      <c r="S207" s="40"/>
      <c r="T207" s="40"/>
      <c r="U207" s="40"/>
      <c r="V207" s="40"/>
      <c r="W207" s="40"/>
      <c r="X207" s="40"/>
      <c r="Y207" s="98">
        <f>SUM(F29:R29)*0.16</f>
        <v>124206.40000000001</v>
      </c>
      <c r="Z207" s="70"/>
      <c r="AA207" s="40"/>
      <c r="AB207" s="98"/>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7" customFormat="1" x14ac:dyDescent="0.3">
      <c r="A208" s="47"/>
      <c r="B208" s="40" t="s">
        <v>239</v>
      </c>
      <c r="C208" s="40"/>
      <c r="D208" s="40"/>
      <c r="E208" s="40"/>
      <c r="F208" s="40"/>
      <c r="G208" s="40"/>
      <c r="H208" s="40"/>
      <c r="I208" s="40"/>
      <c r="J208" s="40"/>
      <c r="K208" s="40"/>
      <c r="L208" s="40"/>
      <c r="M208" s="40"/>
      <c r="N208" s="40"/>
      <c r="O208" s="40"/>
      <c r="P208" s="40"/>
      <c r="Q208" s="40"/>
      <c r="R208" s="40"/>
      <c r="S208" s="40"/>
      <c r="T208" s="40"/>
      <c r="U208" s="40"/>
      <c r="V208" s="40"/>
      <c r="W208" s="40"/>
      <c r="X208" s="40"/>
      <c r="Y208" s="98">
        <f>+'December 2020'!Y210</f>
        <v>0</v>
      </c>
      <c r="Z208" s="98">
        <f>+'December 2020'!Z210</f>
        <v>260</v>
      </c>
      <c r="AA208" s="40"/>
      <c r="AB208" s="98">
        <f>Y208+Z208</f>
        <v>260</v>
      </c>
      <c r="AC208" s="43"/>
      <c r="AD208" s="22"/>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row>
    <row r="209" spans="1:262" s="137" customFormat="1" x14ac:dyDescent="0.3">
      <c r="A209" s="47"/>
      <c r="B209" s="40" t="s">
        <v>240</v>
      </c>
      <c r="C209" s="40"/>
      <c r="D209" s="40"/>
      <c r="E209" s="40"/>
      <c r="F209" s="40"/>
      <c r="G209" s="40"/>
      <c r="H209" s="40"/>
      <c r="I209" s="40"/>
      <c r="J209" s="40"/>
      <c r="K209" s="40"/>
      <c r="L209" s="40"/>
      <c r="M209" s="40"/>
      <c r="N209" s="40"/>
      <c r="O209" s="40"/>
      <c r="P209" s="40"/>
      <c r="Q209" s="40"/>
      <c r="R209" s="40"/>
      <c r="S209" s="40"/>
      <c r="T209" s="40"/>
      <c r="U209" s="40"/>
      <c r="V209" s="40"/>
      <c r="W209" s="40"/>
      <c r="X209" s="40"/>
      <c r="Y209" s="97">
        <v>0</v>
      </c>
      <c r="Z209" s="97">
        <v>79</v>
      </c>
      <c r="AA209" s="40"/>
      <c r="AB209" s="98">
        <f>Y209+Z209</f>
        <v>79</v>
      </c>
      <c r="AC209" s="43"/>
      <c r="AD209" s="22"/>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row>
    <row r="210" spans="1:262" s="137" customFormat="1" x14ac:dyDescent="0.3">
      <c r="A210" s="47"/>
      <c r="B210" s="40" t="s">
        <v>241</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Y208+Y209</f>
        <v>0</v>
      </c>
      <c r="Z210" s="98">
        <f>Z209+Z208</f>
        <v>339</v>
      </c>
      <c r="AA210" s="40"/>
      <c r="AB210" s="98">
        <f>Y210+Z210</f>
        <v>339</v>
      </c>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242</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Y207-Y210-Z210</f>
        <v>123867.40000000001</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9" customFormat="1" ht="16.2" thickBot="1" x14ac:dyDescent="0.35">
      <c r="A212" s="138"/>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126"/>
      <c r="AC212" s="10"/>
      <c r="AD212" s="5"/>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row>
    <row r="213" spans="1:262" x14ac:dyDescent="0.3">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134"/>
      <c r="AC213" s="4"/>
      <c r="AD213" s="5"/>
    </row>
    <row r="214" spans="1:262" s="136" customFormat="1" x14ac:dyDescent="0.3">
      <c r="A214" s="7"/>
      <c r="B214" s="125" t="s">
        <v>267</v>
      </c>
      <c r="C214" s="99"/>
      <c r="D214" s="99"/>
      <c r="E214" s="99"/>
      <c r="F214" s="99"/>
      <c r="G214" s="99"/>
      <c r="H214" s="99"/>
      <c r="I214" s="99"/>
      <c r="J214" s="99"/>
      <c r="K214" s="99"/>
      <c r="L214" s="99"/>
      <c r="M214" s="99"/>
      <c r="N214" s="99"/>
      <c r="O214" s="99"/>
      <c r="P214" s="99"/>
      <c r="Q214" s="99"/>
      <c r="R214" s="99"/>
      <c r="S214" s="99"/>
      <c r="T214" s="99"/>
      <c r="U214" s="99"/>
      <c r="V214" s="99"/>
      <c r="W214" s="99"/>
      <c r="X214" s="99"/>
      <c r="Y214" s="233"/>
      <c r="Z214" s="233"/>
      <c r="AA214" s="12"/>
      <c r="AB214" s="234" t="s">
        <v>80</v>
      </c>
      <c r="AC214" s="10"/>
      <c r="AD214" s="5"/>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row>
    <row r="215" spans="1:262" s="137" customFormat="1" x14ac:dyDescent="0.3">
      <c r="A215" s="47"/>
      <c r="B215" s="40" t="s">
        <v>265</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c r="Z215" s="70"/>
      <c r="AA215" s="40"/>
      <c r="AB215" s="237">
        <v>753000</v>
      </c>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7" customFormat="1" x14ac:dyDescent="0.3">
      <c r="A216" s="47"/>
      <c r="B216" s="40" t="s">
        <v>325</v>
      </c>
      <c r="C216" s="40"/>
      <c r="D216" s="40"/>
      <c r="E216" s="40"/>
      <c r="F216" s="40"/>
      <c r="G216" s="40"/>
      <c r="H216" s="40"/>
      <c r="I216" s="40"/>
      <c r="J216" s="40"/>
      <c r="K216" s="40"/>
      <c r="L216" s="40"/>
      <c r="M216" s="40"/>
      <c r="N216" s="40"/>
      <c r="O216" s="40"/>
      <c r="P216" s="40"/>
      <c r="Q216" s="40"/>
      <c r="R216" s="40"/>
      <c r="S216" s="40"/>
      <c r="T216" s="40"/>
      <c r="U216" s="40"/>
      <c r="V216" s="40"/>
      <c r="W216" s="40"/>
      <c r="X216" s="40"/>
      <c r="Y216" s="98"/>
      <c r="Z216" s="98"/>
      <c r="AA216" s="40"/>
      <c r="AB216" s="237">
        <v>744487</v>
      </c>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7" customFormat="1" x14ac:dyDescent="0.3">
      <c r="A217" s="47"/>
      <c r="B217" s="40" t="s">
        <v>266</v>
      </c>
      <c r="C217" s="40"/>
      <c r="D217" s="40"/>
      <c r="E217" s="40"/>
      <c r="F217" s="40"/>
      <c r="G217" s="40"/>
      <c r="H217" s="40"/>
      <c r="I217" s="40"/>
      <c r="J217" s="40"/>
      <c r="K217" s="40"/>
      <c r="L217" s="40"/>
      <c r="M217" s="40"/>
      <c r="N217" s="40"/>
      <c r="O217" s="40"/>
      <c r="P217" s="40"/>
      <c r="Q217" s="40"/>
      <c r="R217" s="40"/>
      <c r="S217" s="40"/>
      <c r="T217" s="40"/>
      <c r="U217" s="40"/>
      <c r="V217" s="40"/>
      <c r="W217" s="40"/>
      <c r="X217" s="40"/>
      <c r="Y217" s="98"/>
      <c r="Z217" s="98"/>
      <c r="AA217" s="40"/>
      <c r="AB217" s="98">
        <f>AB215-AB216</f>
        <v>8513</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7" customFormat="1" x14ac:dyDescent="0.3">
      <c r="A218" s="47"/>
      <c r="B218" s="40" t="s">
        <v>279</v>
      </c>
      <c r="C218" s="40"/>
      <c r="D218" s="40"/>
      <c r="E218" s="40"/>
      <c r="F218" s="40"/>
      <c r="G218" s="40"/>
      <c r="H218" s="40"/>
      <c r="I218" s="40"/>
      <c r="J218" s="40"/>
      <c r="K218" s="40"/>
      <c r="L218" s="40"/>
      <c r="M218" s="40"/>
      <c r="N218" s="40"/>
      <c r="O218" s="40"/>
      <c r="P218" s="40"/>
      <c r="Q218" s="40"/>
      <c r="R218" s="40"/>
      <c r="S218" s="40"/>
      <c r="T218" s="40"/>
      <c r="U218" s="40"/>
      <c r="V218" s="40"/>
      <c r="W218" s="40"/>
      <c r="X218" s="40"/>
      <c r="Y218" s="97"/>
      <c r="Z218" s="97"/>
      <c r="AA218" s="40"/>
      <c r="AB218" s="240">
        <v>4.5999999999999999E-3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9" customFormat="1" ht="16.2" thickBot="1" x14ac:dyDescent="0.35">
      <c r="A219" s="138"/>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126"/>
      <c r="AC219" s="10"/>
      <c r="AD219" s="5"/>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row>
    <row r="220" spans="1:262" x14ac:dyDescent="0.3">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134"/>
      <c r="AC220" s="4"/>
      <c r="AD220" s="5"/>
    </row>
    <row r="221" spans="1:262" x14ac:dyDescent="0.3">
      <c r="A221" s="7"/>
      <c r="B221" s="125" t="s">
        <v>39</v>
      </c>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140"/>
      <c r="AC221" s="10"/>
      <c r="AD221" s="5"/>
    </row>
    <row r="222" spans="1:262" s="23" customFormat="1" x14ac:dyDescent="0.3">
      <c r="A222" s="47"/>
      <c r="B222" s="40" t="s">
        <v>40</v>
      </c>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142">
        <f>(AB86+AB88+AB89+AB90+AB91)/-AB92</f>
        <v>3.2192159028161238</v>
      </c>
      <c r="AC222" s="43" t="s">
        <v>81</v>
      </c>
      <c r="AD222" s="22"/>
    </row>
    <row r="223" spans="1:262" s="23" customFormat="1" x14ac:dyDescent="0.3">
      <c r="A223" s="47"/>
      <c r="B223" s="40" t="s">
        <v>41</v>
      </c>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142">
        <v>2.77</v>
      </c>
      <c r="AC223" s="43" t="s">
        <v>81</v>
      </c>
      <c r="AD223" s="22"/>
    </row>
    <row r="224" spans="1:262" s="23" customFormat="1" x14ac:dyDescent="0.3">
      <c r="A224" s="47"/>
      <c r="B224" s="40" t="s">
        <v>144</v>
      </c>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141">
        <f>(AB86+AB88+AB89+AB90+AB91+AB92)/-(AB93)</f>
        <v>25.118749999999999</v>
      </c>
      <c r="AC224" s="43" t="s">
        <v>81</v>
      </c>
      <c r="AD224" s="22"/>
    </row>
    <row r="225" spans="1:30" s="23" customFormat="1" x14ac:dyDescent="0.3">
      <c r="A225" s="47"/>
      <c r="B225" s="40" t="s">
        <v>145</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v>20.23</v>
      </c>
      <c r="AC225" s="43" t="s">
        <v>81</v>
      </c>
      <c r="AD225" s="22"/>
    </row>
    <row r="226" spans="1:30" s="23" customFormat="1" x14ac:dyDescent="0.3">
      <c r="A226" s="47"/>
      <c r="B226" s="40" t="s">
        <v>146</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1">
        <f>(AB86+AB88+AB89+AB90+AB91+AB92+AB93)/-(AB95)</f>
        <v>37.105769230769234</v>
      </c>
      <c r="AC226" s="43" t="s">
        <v>81</v>
      </c>
      <c r="AD226" s="22"/>
    </row>
    <row r="227" spans="1:30" s="23" customFormat="1" x14ac:dyDescent="0.3">
      <c r="A227" s="47"/>
      <c r="B227" s="40" t="s">
        <v>147</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29.56</v>
      </c>
      <c r="AC227" s="43" t="s">
        <v>81</v>
      </c>
      <c r="AD227" s="22"/>
    </row>
    <row r="228" spans="1:30" s="23" customFormat="1" x14ac:dyDescent="0.3">
      <c r="A228" s="47"/>
      <c r="B228" s="40" t="s">
        <v>177</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(AB86+AB88+AB89+AB90+AB91+AB92+AB93+AB95)/-(AB96)</f>
        <v>31.033057851239668</v>
      </c>
      <c r="AC228" s="43" t="s">
        <v>81</v>
      </c>
      <c r="AD228" s="22"/>
    </row>
    <row r="229" spans="1:30" s="23" customFormat="1" x14ac:dyDescent="0.3">
      <c r="A229" s="47"/>
      <c r="B229" s="40" t="s">
        <v>178</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24.57</v>
      </c>
      <c r="AC229" s="43" t="s">
        <v>81</v>
      </c>
      <c r="AD229" s="22"/>
    </row>
    <row r="230" spans="1:30" s="23" customFormat="1" x14ac:dyDescent="0.3">
      <c r="A230" s="47"/>
      <c r="B230" s="40" t="s">
        <v>164</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(AB86+AB88+AB89+AB90+AB91+AB92+AB93+AB95+AB96)/-(AB105)</f>
        <v>18.927083333333332</v>
      </c>
      <c r="AC230" s="43" t="s">
        <v>81</v>
      </c>
      <c r="AD230" s="22"/>
    </row>
    <row r="231" spans="1:30" s="23" customFormat="1" x14ac:dyDescent="0.3">
      <c r="A231" s="47"/>
      <c r="B231" s="40" t="s">
        <v>165</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14.87</v>
      </c>
      <c r="AC231" s="43" t="s">
        <v>81</v>
      </c>
      <c r="AD231" s="22"/>
    </row>
    <row r="232" spans="1:30" s="23" customFormat="1" x14ac:dyDescent="0.3">
      <c r="A232" s="18"/>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21"/>
      <c r="AD232" s="22"/>
    </row>
    <row r="233" spans="1:30" s="23" customFormat="1" x14ac:dyDescent="0.3">
      <c r="A233" s="18"/>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1"/>
      <c r="AD233" s="22"/>
    </row>
    <row r="234" spans="1:30" s="23" customFormat="1" ht="18.600000000000001" thickBot="1" x14ac:dyDescent="0.4">
      <c r="A234" s="83"/>
      <c r="B234" s="84" t="str">
        <f>B131</f>
        <v>PM27 INVESTOR REPORT QUARTER ENDING MARCH 2021</v>
      </c>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7"/>
      <c r="AD234" s="22"/>
    </row>
    <row r="235" spans="1:30" x14ac:dyDescent="0.3">
      <c r="A235" s="119"/>
      <c r="B235" s="120" t="s">
        <v>42</v>
      </c>
      <c r="C235" s="143"/>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v>44286</v>
      </c>
      <c r="AA235" s="121"/>
      <c r="AB235" s="121"/>
      <c r="AC235" s="123"/>
      <c r="AD235" s="5"/>
    </row>
    <row r="236" spans="1:30" x14ac:dyDescent="0.3">
      <c r="A236" s="145"/>
      <c r="B236" s="146"/>
      <c r="C236" s="147"/>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9"/>
      <c r="AB236" s="9"/>
      <c r="AC236" s="10"/>
      <c r="AD236" s="5"/>
    </row>
    <row r="237" spans="1:30" s="23" customFormat="1" x14ac:dyDescent="0.3">
      <c r="A237" s="47"/>
      <c r="B237" s="40" t="s">
        <v>43</v>
      </c>
      <c r="C237" s="149"/>
      <c r="D237" s="73"/>
      <c r="E237" s="73"/>
      <c r="F237" s="73"/>
      <c r="G237" s="73"/>
      <c r="H237" s="73"/>
      <c r="I237" s="73"/>
      <c r="J237" s="73"/>
      <c r="K237" s="73"/>
      <c r="L237" s="73"/>
      <c r="M237" s="73"/>
      <c r="N237" s="73"/>
      <c r="O237" s="73"/>
      <c r="P237" s="73"/>
      <c r="Q237" s="73"/>
      <c r="R237" s="73"/>
      <c r="S237" s="73"/>
      <c r="T237" s="73"/>
      <c r="U237" s="73"/>
      <c r="V237" s="73"/>
      <c r="W237" s="73"/>
      <c r="X237" s="73"/>
      <c r="Y237" s="73"/>
      <c r="Z237" s="67">
        <v>3.5749999999999997E-2</v>
      </c>
      <c r="AA237" s="40"/>
      <c r="AB237" s="40"/>
      <c r="AC237" s="43"/>
      <c r="AD237" s="22"/>
    </row>
    <row r="238" spans="1:30" s="23" customFormat="1" x14ac:dyDescent="0.3">
      <c r="A238" s="47"/>
      <c r="B238" s="40" t="s">
        <v>132</v>
      </c>
      <c r="C238" s="149"/>
      <c r="D238" s="73"/>
      <c r="E238" s="73"/>
      <c r="F238" s="73"/>
      <c r="G238" s="73"/>
      <c r="H238" s="73"/>
      <c r="I238" s="73"/>
      <c r="J238" s="73"/>
      <c r="K238" s="73"/>
      <c r="L238" s="73"/>
      <c r="M238" s="73"/>
      <c r="N238" s="73"/>
      <c r="O238" s="73"/>
      <c r="P238" s="73"/>
      <c r="Q238" s="73"/>
      <c r="R238" s="73"/>
      <c r="S238" s="73"/>
      <c r="T238" s="73"/>
      <c r="U238" s="73"/>
      <c r="V238" s="73"/>
      <c r="W238" s="73"/>
      <c r="X238" s="73"/>
      <c r="Y238" s="73"/>
      <c r="Z238" s="67">
        <v>1.3036129402559968E-2</v>
      </c>
      <c r="AA238" s="40"/>
      <c r="AB238" s="40"/>
      <c r="AC238" s="43"/>
      <c r="AD238" s="22"/>
    </row>
    <row r="239" spans="1:30" s="23" customFormat="1" x14ac:dyDescent="0.3">
      <c r="A239" s="47"/>
      <c r="B239" s="40" t="s">
        <v>44</v>
      </c>
      <c r="C239" s="149"/>
      <c r="D239" s="73"/>
      <c r="E239" s="73"/>
      <c r="F239" s="73"/>
      <c r="G239" s="73"/>
      <c r="H239" s="73"/>
      <c r="I239" s="73"/>
      <c r="J239" s="73"/>
      <c r="K239" s="73"/>
      <c r="L239" s="73"/>
      <c r="M239" s="73"/>
      <c r="N239" s="73"/>
      <c r="O239" s="73"/>
      <c r="P239" s="73"/>
      <c r="Q239" s="73"/>
      <c r="R239" s="73"/>
      <c r="S239" s="73"/>
      <c r="T239" s="73"/>
      <c r="U239" s="73"/>
      <c r="V239" s="73"/>
      <c r="W239" s="73"/>
      <c r="X239" s="73"/>
      <c r="Y239" s="73"/>
      <c r="Z239" s="67">
        <f>Z237-Z238</f>
        <v>2.2713870597440029E-2</v>
      </c>
      <c r="AA239" s="40"/>
      <c r="AB239" s="40"/>
      <c r="AC239" s="43"/>
      <c r="AD239" s="22"/>
    </row>
    <row r="240" spans="1:30" s="23" customFormat="1" x14ac:dyDescent="0.3">
      <c r="A240" s="47"/>
      <c r="B240" s="40" t="s">
        <v>45</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3.576E-2</v>
      </c>
      <c r="AA240" s="40"/>
      <c r="AB240" s="40"/>
      <c r="AC240" s="43"/>
      <c r="AD240" s="22"/>
    </row>
    <row r="241" spans="1:30" s="23" customFormat="1" x14ac:dyDescent="0.3">
      <c r="A241" s="47"/>
      <c r="B241" s="40" t="s">
        <v>133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f>+AB35</f>
        <v>1.2885721881782468E-2</v>
      </c>
      <c r="AA241" s="40"/>
      <c r="AB241" s="40"/>
      <c r="AC241" s="43"/>
      <c r="AD241" s="22"/>
    </row>
    <row r="242" spans="1:30" s="23" customFormat="1" x14ac:dyDescent="0.3">
      <c r="A242" s="47"/>
      <c r="B242" s="40" t="s">
        <v>46</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2.2874278118217531E-2</v>
      </c>
      <c r="AA242" s="40"/>
      <c r="AB242" s="40"/>
      <c r="AC242" s="43"/>
      <c r="AD242" s="22"/>
    </row>
    <row r="243" spans="1:30" s="23" customFormat="1" x14ac:dyDescent="0.3">
      <c r="A243" s="47"/>
      <c r="B243" s="40" t="s">
        <v>119</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(+AB86+AB88)/R66</f>
        <v>9.2834684539039938E-3</v>
      </c>
      <c r="AA243" s="40"/>
      <c r="AB243" s="40"/>
      <c r="AC243" s="43"/>
      <c r="AD243" s="22"/>
    </row>
    <row r="244" spans="1:30" s="23" customFormat="1" x14ac:dyDescent="0.3">
      <c r="A244" s="47"/>
      <c r="B244" s="40" t="s">
        <v>112</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150">
        <v>53797</v>
      </c>
      <c r="AA244" s="40"/>
      <c r="AB244" s="40"/>
      <c r="AC244" s="43"/>
      <c r="AD244" s="22"/>
    </row>
    <row r="245" spans="1:30" s="23" customFormat="1" x14ac:dyDescent="0.3">
      <c r="A245" s="47"/>
      <c r="B245" s="40" t="s">
        <v>148</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150">
        <v>53797</v>
      </c>
      <c r="AA245" s="40"/>
      <c r="AB245" s="40"/>
      <c r="AC245" s="43"/>
      <c r="AD245" s="22"/>
    </row>
    <row r="246" spans="1:30" s="23" customFormat="1" x14ac:dyDescent="0.3">
      <c r="A246" s="47"/>
      <c r="B246" s="40" t="s">
        <v>149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150">
        <v>53797</v>
      </c>
      <c r="AA246" s="40"/>
      <c r="AB246" s="40"/>
      <c r="AC246" s="43"/>
      <c r="AD246" s="22"/>
    </row>
    <row r="247" spans="1:30" s="23" customFormat="1" x14ac:dyDescent="0.3">
      <c r="A247" s="47"/>
      <c r="B247" s="40" t="s">
        <v>179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53797</v>
      </c>
      <c r="AA247" s="40"/>
      <c r="AB247" s="40"/>
      <c r="AC247" s="43"/>
      <c r="AD247" s="22"/>
    </row>
    <row r="248" spans="1:30" s="23" customFormat="1" x14ac:dyDescent="0.3">
      <c r="A248" s="47"/>
      <c r="B248" s="40" t="s">
        <v>166</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53797</v>
      </c>
      <c r="AA248" s="40"/>
      <c r="AB248" s="40"/>
      <c r="AC248" s="43"/>
      <c r="AD248" s="22"/>
    </row>
    <row r="249" spans="1:30" s="23" customFormat="1" x14ac:dyDescent="0.3">
      <c r="A249" s="47"/>
      <c r="B249" s="40" t="s">
        <v>194</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53797</v>
      </c>
      <c r="AA249" s="40"/>
      <c r="AB249" s="40"/>
      <c r="AC249" s="43"/>
      <c r="AD249" s="22"/>
    </row>
    <row r="250" spans="1:30" s="23" customFormat="1" x14ac:dyDescent="0.3">
      <c r="A250" s="47"/>
      <c r="B250" s="40" t="s">
        <v>195</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53797</v>
      </c>
      <c r="AA250" s="40"/>
      <c r="AB250" s="40"/>
      <c r="AC250" s="43"/>
      <c r="AD250" s="22"/>
    </row>
    <row r="251" spans="1:30" s="23" customFormat="1" x14ac:dyDescent="0.3">
      <c r="A251" s="47"/>
      <c r="B251" s="40" t="s">
        <v>47</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71">
        <v>21.18</v>
      </c>
      <c r="AA251" s="40" t="s">
        <v>76</v>
      </c>
      <c r="AB251" s="40"/>
      <c r="AC251" s="43"/>
      <c r="AD251" s="22"/>
    </row>
    <row r="252" spans="1:30" s="23" customFormat="1" x14ac:dyDescent="0.3">
      <c r="A252" s="47"/>
      <c r="B252" s="40" t="s">
        <v>48</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71">
        <v>20.29</v>
      </c>
      <c r="AA252" s="40" t="s">
        <v>76</v>
      </c>
      <c r="AB252" s="40"/>
      <c r="AC252" s="43"/>
      <c r="AD252" s="22"/>
    </row>
    <row r="253" spans="1:30" s="23" customFormat="1" x14ac:dyDescent="0.3">
      <c r="A253" s="47"/>
      <c r="B253" s="40" t="s">
        <v>49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67">
        <f>(+T57+V57+Z57)/(R57+R63+R64)</f>
        <v>8.7645415946489332E-3</v>
      </c>
      <c r="AA253" s="40"/>
      <c r="AB253" s="40"/>
      <c r="AC253" s="43"/>
      <c r="AD253" s="22"/>
    </row>
    <row r="254" spans="1:30" s="23" customFormat="1" x14ac:dyDescent="0.3">
      <c r="A254" s="47"/>
      <c r="B254" s="40" t="s">
        <v>50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67">
        <v>2.12E-2</v>
      </c>
      <c r="AA254" s="40"/>
      <c r="AB254" s="40"/>
      <c r="AC254" s="43"/>
      <c r="AD254" s="22"/>
    </row>
    <row r="255" spans="1:30" x14ac:dyDescent="0.3">
      <c r="A255" s="145"/>
      <c r="B255" s="151"/>
      <c r="C255" s="151"/>
      <c r="D255" s="99"/>
      <c r="E255" s="99"/>
      <c r="F255" s="99"/>
      <c r="G255" s="99"/>
      <c r="H255" s="99"/>
      <c r="I255" s="99"/>
      <c r="J255" s="99"/>
      <c r="K255" s="99"/>
      <c r="L255" s="99"/>
      <c r="M255" s="99"/>
      <c r="N255" s="99"/>
      <c r="O255" s="99"/>
      <c r="P255" s="99"/>
      <c r="Q255" s="99"/>
      <c r="R255" s="99"/>
      <c r="S255" s="99"/>
      <c r="T255" s="99"/>
      <c r="U255" s="99"/>
      <c r="V255" s="99"/>
      <c r="W255" s="99"/>
      <c r="X255" s="99"/>
      <c r="Y255" s="99"/>
      <c r="Z255" s="126"/>
      <c r="AA255" s="99"/>
      <c r="AB255" s="152"/>
      <c r="AC255" s="10"/>
      <c r="AD255" s="5"/>
    </row>
    <row r="256" spans="1:30" x14ac:dyDescent="0.3">
      <c r="A256" s="153"/>
      <c r="B256" s="102" t="s">
        <v>51</v>
      </c>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t="s">
        <v>69</v>
      </c>
      <c r="Z256" s="154" t="s">
        <v>74</v>
      </c>
      <c r="AA256" s="34"/>
      <c r="AB256" s="34"/>
      <c r="AC256" s="36"/>
      <c r="AD256" s="5"/>
    </row>
    <row r="257" spans="1:30" s="23" customFormat="1" x14ac:dyDescent="0.3">
      <c r="A257" s="155"/>
      <c r="B257" s="37" t="s">
        <v>52</v>
      </c>
      <c r="C257" s="10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v>0</v>
      </c>
      <c r="Z257" s="157">
        <v>0</v>
      </c>
      <c r="AA257" s="37"/>
      <c r="AB257" s="158"/>
      <c r="AC257" s="159"/>
      <c r="AD257" s="22"/>
    </row>
    <row r="258" spans="1:30" s="23" customFormat="1" x14ac:dyDescent="0.3">
      <c r="A258" s="160"/>
      <c r="B258" s="40" t="s">
        <v>97</v>
      </c>
      <c r="C258" s="97"/>
      <c r="D258" s="48"/>
      <c r="E258" s="48"/>
      <c r="F258" s="48"/>
      <c r="G258" s="48"/>
      <c r="H258" s="48"/>
      <c r="I258" s="48"/>
      <c r="J258" s="48"/>
      <c r="K258" s="48"/>
      <c r="L258" s="48"/>
      <c r="M258" s="48"/>
      <c r="N258" s="48"/>
      <c r="O258" s="48"/>
      <c r="P258" s="48"/>
      <c r="Q258" s="48"/>
      <c r="R258" s="48"/>
      <c r="S258" s="48"/>
      <c r="T258" s="48"/>
      <c r="U258" s="48"/>
      <c r="V258" s="48"/>
      <c r="W258" s="48"/>
      <c r="X258" s="48"/>
      <c r="Y258" s="161">
        <f>+X310</f>
        <v>0</v>
      </c>
      <c r="Z258" s="162">
        <f>+Z310</f>
        <v>0</v>
      </c>
      <c r="AA258" s="40"/>
      <c r="AB258" s="163"/>
      <c r="AC258" s="164"/>
      <c r="AD258" s="22"/>
    </row>
    <row r="259" spans="1:30" s="23" customFormat="1" x14ac:dyDescent="0.3">
      <c r="A259" s="160"/>
      <c r="B259" s="40" t="s">
        <v>53</v>
      </c>
      <c r="C259" s="97"/>
      <c r="D259" s="48"/>
      <c r="E259" s="48"/>
      <c r="F259" s="48"/>
      <c r="G259" s="48"/>
      <c r="H259" s="48"/>
      <c r="I259" s="48"/>
      <c r="J259" s="48"/>
      <c r="K259" s="48"/>
      <c r="L259" s="48"/>
      <c r="M259" s="48"/>
      <c r="N259" s="48"/>
      <c r="O259" s="48"/>
      <c r="P259" s="48"/>
      <c r="Q259" s="48"/>
      <c r="R259" s="48"/>
      <c r="S259" s="48"/>
      <c r="T259" s="48"/>
      <c r="U259" s="48"/>
      <c r="V259" s="48"/>
      <c r="W259" s="48"/>
      <c r="X259" s="48"/>
      <c r="Y259" s="161">
        <f>+X332</f>
        <v>0</v>
      </c>
      <c r="Z259" s="162">
        <f>+Z332</f>
        <v>0</v>
      </c>
      <c r="AA259" s="40"/>
      <c r="AB259" s="163"/>
      <c r="AC259" s="164"/>
      <c r="AD259" s="22"/>
    </row>
    <row r="260" spans="1:30" x14ac:dyDescent="0.3">
      <c r="A260" s="165"/>
      <c r="B260" s="166" t="s">
        <v>167</v>
      </c>
      <c r="C260" s="167"/>
      <c r="D260" s="59"/>
      <c r="E260" s="59"/>
      <c r="F260" s="59"/>
      <c r="G260" s="59"/>
      <c r="H260" s="59"/>
      <c r="I260" s="59"/>
      <c r="J260" s="59"/>
      <c r="K260" s="59"/>
      <c r="L260" s="59"/>
      <c r="M260" s="59"/>
      <c r="N260" s="59"/>
      <c r="O260" s="59"/>
      <c r="P260" s="59"/>
      <c r="Q260" s="59"/>
      <c r="R260" s="59"/>
      <c r="S260" s="59"/>
      <c r="T260" s="59"/>
      <c r="U260" s="59"/>
      <c r="V260" s="59"/>
      <c r="W260" s="59"/>
      <c r="X260" s="59"/>
      <c r="Y260" s="112"/>
      <c r="Z260" s="162">
        <f>Z57</f>
        <v>0</v>
      </c>
      <c r="AA260" s="59"/>
      <c r="AB260" s="168"/>
      <c r="AC260" s="169"/>
      <c r="AD260" s="5"/>
    </row>
    <row r="261" spans="1:30" x14ac:dyDescent="0.3">
      <c r="A261" s="165"/>
      <c r="B261" s="166" t="s">
        <v>261</v>
      </c>
      <c r="C261" s="167"/>
      <c r="D261" s="59"/>
      <c r="E261" s="59"/>
      <c r="F261" s="59"/>
      <c r="G261" s="59"/>
      <c r="H261" s="59"/>
      <c r="I261" s="59"/>
      <c r="J261" s="59"/>
      <c r="K261" s="59"/>
      <c r="L261" s="59"/>
      <c r="M261" s="59"/>
      <c r="N261" s="59"/>
      <c r="O261" s="59"/>
      <c r="P261" s="59"/>
      <c r="Q261" s="59"/>
      <c r="R261" s="59"/>
      <c r="S261" s="59"/>
      <c r="T261" s="59"/>
      <c r="U261" s="59"/>
      <c r="V261" s="59"/>
      <c r="W261" s="59"/>
      <c r="X261" s="59"/>
      <c r="Y261" s="112"/>
      <c r="Z261" s="162">
        <f>-T63</f>
        <v>0</v>
      </c>
      <c r="AA261" s="59"/>
      <c r="AB261" s="168"/>
      <c r="AC261" s="169"/>
      <c r="AD261" s="5"/>
    </row>
    <row r="262" spans="1:30" x14ac:dyDescent="0.3">
      <c r="A262" s="170"/>
      <c r="B262" s="166" t="s">
        <v>54</v>
      </c>
      <c r="C262" s="171"/>
      <c r="D262" s="59"/>
      <c r="E262" s="59"/>
      <c r="F262" s="59"/>
      <c r="G262" s="59"/>
      <c r="H262" s="59"/>
      <c r="I262" s="59"/>
      <c r="J262" s="59"/>
      <c r="K262" s="59"/>
      <c r="L262" s="59"/>
      <c r="M262" s="59"/>
      <c r="N262" s="59"/>
      <c r="O262" s="59"/>
      <c r="P262" s="59"/>
      <c r="Q262" s="59"/>
      <c r="R262" s="59"/>
      <c r="S262" s="59"/>
      <c r="T262" s="59"/>
      <c r="U262" s="59"/>
      <c r="V262" s="59"/>
      <c r="W262" s="59"/>
      <c r="X262" s="59"/>
      <c r="Y262" s="112"/>
      <c r="Z262" s="172"/>
      <c r="AA262" s="59"/>
      <c r="AB262" s="168"/>
      <c r="AC262" s="173"/>
      <c r="AD262" s="5"/>
    </row>
    <row r="263" spans="1:30" s="23" customFormat="1" x14ac:dyDescent="0.3">
      <c r="A263" s="174"/>
      <c r="B263" s="40" t="s">
        <v>55</v>
      </c>
      <c r="C263" s="40"/>
      <c r="D263" s="40"/>
      <c r="E263" s="40"/>
      <c r="F263" s="40"/>
      <c r="G263" s="40"/>
      <c r="H263" s="40"/>
      <c r="I263" s="40"/>
      <c r="J263" s="40"/>
      <c r="K263" s="40"/>
      <c r="L263" s="40"/>
      <c r="M263" s="40"/>
      <c r="N263" s="40"/>
      <c r="O263" s="40"/>
      <c r="P263" s="40"/>
      <c r="Q263" s="40"/>
      <c r="R263" s="40"/>
      <c r="S263" s="40"/>
      <c r="T263" s="40"/>
      <c r="U263" s="40"/>
      <c r="V263" s="40"/>
      <c r="W263" s="40"/>
      <c r="X263" s="40"/>
      <c r="Y263" s="48"/>
      <c r="Z263" s="162">
        <f>AB166</f>
        <v>0</v>
      </c>
      <c r="AA263" s="40"/>
      <c r="AB263" s="163"/>
      <c r="AC263" s="175"/>
      <c r="AD263" s="22"/>
    </row>
    <row r="264" spans="1:30" s="23" customFormat="1" x14ac:dyDescent="0.3">
      <c r="A264" s="160"/>
      <c r="B264" s="40" t="s">
        <v>56</v>
      </c>
      <c r="C264" s="97"/>
      <c r="D264" s="40"/>
      <c r="E264" s="40"/>
      <c r="F264" s="40"/>
      <c r="G264" s="40"/>
      <c r="H264" s="40"/>
      <c r="I264" s="40"/>
      <c r="J264" s="40"/>
      <c r="K264" s="40"/>
      <c r="L264" s="40"/>
      <c r="M264" s="40"/>
      <c r="N264" s="40"/>
      <c r="O264" s="40"/>
      <c r="P264" s="40"/>
      <c r="Q264" s="40"/>
      <c r="R264" s="40"/>
      <c r="S264" s="40"/>
      <c r="T264" s="40"/>
      <c r="U264" s="40"/>
      <c r="V264" s="40"/>
      <c r="W264" s="40"/>
      <c r="X264" s="40"/>
      <c r="Y264" s="48"/>
      <c r="Z264" s="162">
        <f>Z263+'December 2020'!Z264</f>
        <v>1</v>
      </c>
      <c r="AA264" s="40"/>
      <c r="AB264" s="163"/>
      <c r="AC264" s="175"/>
      <c r="AD264" s="22"/>
    </row>
    <row r="265" spans="1:30" x14ac:dyDescent="0.3">
      <c r="A265" s="170"/>
      <c r="B265" s="166" t="s">
        <v>125</v>
      </c>
      <c r="C265" s="171"/>
      <c r="D265" s="59"/>
      <c r="E265" s="59"/>
      <c r="F265" s="59"/>
      <c r="G265" s="59"/>
      <c r="H265" s="59"/>
      <c r="I265" s="59"/>
      <c r="J265" s="59"/>
      <c r="K265" s="59"/>
      <c r="L265" s="59"/>
      <c r="M265" s="59"/>
      <c r="N265" s="59"/>
      <c r="O265" s="59"/>
      <c r="P265" s="59"/>
      <c r="Q265" s="59"/>
      <c r="R265" s="59"/>
      <c r="S265" s="59"/>
      <c r="T265" s="59"/>
      <c r="U265" s="59"/>
      <c r="V265" s="59"/>
      <c r="W265" s="59"/>
      <c r="X265" s="59"/>
      <c r="Y265" s="176"/>
      <c r="Z265" s="172"/>
      <c r="AA265" s="59"/>
      <c r="AB265" s="168"/>
      <c r="AC265" s="173"/>
      <c r="AD265" s="5"/>
    </row>
    <row r="266" spans="1:30" s="23" customFormat="1" x14ac:dyDescent="0.3">
      <c r="A266" s="174"/>
      <c r="B266" s="40" t="s">
        <v>134</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v>0</v>
      </c>
      <c r="Z266" s="162">
        <v>0</v>
      </c>
      <c r="AA266" s="40"/>
      <c r="AB266" s="163"/>
      <c r="AC266" s="175"/>
      <c r="AD266" s="22"/>
    </row>
    <row r="267" spans="1:30" s="23" customFormat="1" x14ac:dyDescent="0.3">
      <c r="A267" s="160"/>
      <c r="B267" s="40" t="s">
        <v>57</v>
      </c>
      <c r="C267" s="70"/>
      <c r="D267" s="40"/>
      <c r="E267" s="40"/>
      <c r="F267" s="40"/>
      <c r="G267" s="40"/>
      <c r="H267" s="40"/>
      <c r="I267" s="40"/>
      <c r="J267" s="40"/>
      <c r="K267" s="40"/>
      <c r="L267" s="40"/>
      <c r="M267" s="40"/>
      <c r="N267" s="40"/>
      <c r="O267" s="40"/>
      <c r="P267" s="40"/>
      <c r="Q267" s="40"/>
      <c r="R267" s="40"/>
      <c r="S267" s="40"/>
      <c r="T267" s="40"/>
      <c r="U267" s="40"/>
      <c r="V267" s="40"/>
      <c r="W267" s="40"/>
      <c r="X267" s="40"/>
      <c r="Y267" s="40"/>
      <c r="Z267" s="177">
        <v>0</v>
      </c>
      <c r="AA267" s="40"/>
      <c r="AB267" s="163"/>
      <c r="AC267" s="175"/>
      <c r="AD267" s="22"/>
    </row>
    <row r="268" spans="1:30" s="23" customFormat="1" x14ac:dyDescent="0.3">
      <c r="A268" s="160"/>
      <c r="B268" s="40" t="s">
        <v>58</v>
      </c>
      <c r="C268" s="70"/>
      <c r="D268" s="40"/>
      <c r="E268" s="40"/>
      <c r="F268" s="40"/>
      <c r="G268" s="40"/>
      <c r="H268" s="40"/>
      <c r="I268" s="40"/>
      <c r="J268" s="40"/>
      <c r="K268" s="40"/>
      <c r="L268" s="40"/>
      <c r="M268" s="40"/>
      <c r="N268" s="40"/>
      <c r="O268" s="40"/>
      <c r="P268" s="40"/>
      <c r="Q268" s="40"/>
      <c r="R268" s="40"/>
      <c r="S268" s="40"/>
      <c r="T268" s="40"/>
      <c r="U268" s="40"/>
      <c r="V268" s="40"/>
      <c r="W268" s="40"/>
      <c r="X268" s="40"/>
      <c r="Y268" s="40"/>
      <c r="Z268" s="177">
        <v>0</v>
      </c>
      <c r="AA268" s="40"/>
      <c r="AB268" s="163"/>
      <c r="AC268" s="175"/>
      <c r="AD268" s="22"/>
    </row>
    <row r="269" spans="1:30" x14ac:dyDescent="0.3">
      <c r="A269" s="165"/>
      <c r="B269" s="166" t="s">
        <v>116</v>
      </c>
      <c r="C269" s="178"/>
      <c r="D269" s="59"/>
      <c r="E269" s="59"/>
      <c r="F269" s="59"/>
      <c r="G269" s="59"/>
      <c r="H269" s="59"/>
      <c r="I269" s="59"/>
      <c r="J269" s="59"/>
      <c r="K269" s="59"/>
      <c r="L269" s="59"/>
      <c r="M269" s="59"/>
      <c r="N269" s="59"/>
      <c r="O269" s="59"/>
      <c r="P269" s="59"/>
      <c r="Q269" s="59"/>
      <c r="R269" s="59"/>
      <c r="S269" s="59"/>
      <c r="T269" s="59"/>
      <c r="U269" s="59"/>
      <c r="V269" s="59"/>
      <c r="W269" s="59"/>
      <c r="X269" s="59"/>
      <c r="Y269" s="112"/>
      <c r="Z269" s="179"/>
      <c r="AA269" s="59"/>
      <c r="AB269" s="168"/>
      <c r="AC269" s="173"/>
      <c r="AD269" s="5"/>
    </row>
    <row r="270" spans="1:30" s="23" customFormat="1" x14ac:dyDescent="0.3">
      <c r="A270" s="160"/>
      <c r="B270" s="40" t="s">
        <v>134</v>
      </c>
      <c r="C270" s="7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0" s="23" customFormat="1" x14ac:dyDescent="0.3">
      <c r="A271" s="160"/>
      <c r="B271" s="40" t="s">
        <v>117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71"/>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x14ac:dyDescent="0.3">
      <c r="A273" s="165"/>
      <c r="B273" s="171"/>
      <c r="C273" s="178"/>
      <c r="D273" s="59"/>
      <c r="E273" s="59"/>
      <c r="F273" s="59"/>
      <c r="G273" s="59"/>
      <c r="H273" s="59"/>
      <c r="I273" s="59"/>
      <c r="J273" s="59"/>
      <c r="K273" s="59"/>
      <c r="L273" s="59"/>
      <c r="M273" s="59"/>
      <c r="N273" s="59"/>
      <c r="O273" s="59"/>
      <c r="P273" s="59"/>
      <c r="Q273" s="59"/>
      <c r="R273" s="59"/>
      <c r="S273" s="59"/>
      <c r="T273" s="59"/>
      <c r="U273" s="59"/>
      <c r="V273" s="59"/>
      <c r="W273" s="59"/>
      <c r="X273" s="59"/>
      <c r="Y273" s="59"/>
      <c r="Z273" s="180"/>
      <c r="AA273" s="59"/>
      <c r="AB273" s="168"/>
      <c r="AC273" s="173"/>
      <c r="AD273" s="5"/>
    </row>
    <row r="274" spans="1:30" ht="18" x14ac:dyDescent="0.35">
      <c r="A274" s="165"/>
      <c r="B274" s="181" t="s">
        <v>109</v>
      </c>
      <c r="C274" s="178"/>
      <c r="D274" s="59"/>
      <c r="E274" s="59"/>
      <c r="F274" s="59"/>
      <c r="G274" s="59"/>
      <c r="H274" s="59"/>
      <c r="I274" s="59"/>
      <c r="J274" s="59"/>
      <c r="K274" s="59"/>
      <c r="L274" s="182"/>
      <c r="M274" s="182"/>
      <c r="N274" s="182"/>
      <c r="O274" s="182"/>
      <c r="P274" s="261" t="s">
        <v>168</v>
      </c>
      <c r="Q274" s="182"/>
      <c r="R274" s="182"/>
      <c r="S274" s="182"/>
      <c r="T274" s="182"/>
      <c r="U274" s="182"/>
      <c r="V274" s="182"/>
      <c r="W274" s="59"/>
      <c r="X274" s="183"/>
      <c r="Y274" s="182"/>
      <c r="Z274" s="180"/>
      <c r="AA274" s="59"/>
      <c r="AB274" s="168"/>
      <c r="AC274" s="173"/>
      <c r="AD274" s="5"/>
    </row>
    <row r="275" spans="1:30" ht="18" x14ac:dyDescent="0.35">
      <c r="A275" s="184"/>
      <c r="B275" s="185"/>
      <c r="C275" s="186"/>
      <c r="D275" s="99"/>
      <c r="E275" s="99"/>
      <c r="F275" s="99"/>
      <c r="G275" s="99"/>
      <c r="H275" s="99"/>
      <c r="I275" s="99"/>
      <c r="J275" s="99"/>
      <c r="K275" s="99"/>
      <c r="L275" s="187"/>
      <c r="M275" s="187"/>
      <c r="N275" s="187"/>
      <c r="O275" s="187"/>
      <c r="P275" s="187"/>
      <c r="Q275" s="187"/>
      <c r="R275" s="187"/>
      <c r="S275" s="187"/>
      <c r="T275" s="187"/>
      <c r="U275" s="187"/>
      <c r="V275" s="187"/>
      <c r="W275" s="99"/>
      <c r="X275" s="99"/>
      <c r="Y275" s="99"/>
      <c r="Z275" s="188"/>
      <c r="AA275" s="99"/>
      <c r="AB275" s="152"/>
      <c r="AC275" s="189"/>
      <c r="AD275" s="5"/>
    </row>
    <row r="276" spans="1:30" x14ac:dyDescent="0.3">
      <c r="A276" s="33"/>
      <c r="B276" s="102" t="s">
        <v>126</v>
      </c>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54" t="s">
        <v>69</v>
      </c>
      <c r="Y276" s="103" t="s">
        <v>70</v>
      </c>
      <c r="Z276" s="154" t="s">
        <v>75</v>
      </c>
      <c r="AA276" s="103" t="s">
        <v>70</v>
      </c>
      <c r="AB276" s="34"/>
      <c r="AC276" s="190"/>
      <c r="AD276" s="5"/>
    </row>
    <row r="277" spans="1:30" s="23" customFormat="1" x14ac:dyDescent="0.3">
      <c r="A277" s="18"/>
      <c r="B277" s="106" t="s">
        <v>59</v>
      </c>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06">
        <f t="shared" ref="X277:X284" si="0">+X289+X301+X323</f>
        <v>4015</v>
      </c>
      <c r="Y277" s="192">
        <f>X277/$X$286</f>
        <v>0.99925335988053754</v>
      </c>
      <c r="Z277" s="107">
        <f t="shared" ref="Z277:Z284" si="1">+Z289+Z301+Z323</f>
        <v>743691</v>
      </c>
      <c r="AA277" s="192">
        <f>Z277/$Z$286</f>
        <v>0.99893080738817464</v>
      </c>
      <c r="AB277" s="158"/>
      <c r="AC277" s="193"/>
      <c r="AD277" s="22"/>
    </row>
    <row r="278" spans="1:30" s="23" customFormat="1" x14ac:dyDescent="0.3">
      <c r="A278" s="47"/>
      <c r="B278" s="97" t="s">
        <v>60</v>
      </c>
      <c r="C278" s="194"/>
      <c r="D278" s="194"/>
      <c r="E278" s="194"/>
      <c r="F278" s="194"/>
      <c r="G278" s="194"/>
      <c r="H278" s="194"/>
      <c r="I278" s="194"/>
      <c r="J278" s="194"/>
      <c r="K278" s="194"/>
      <c r="L278" s="194"/>
      <c r="M278" s="194"/>
      <c r="N278" s="194"/>
      <c r="O278" s="194"/>
      <c r="P278" s="194"/>
      <c r="Q278" s="194"/>
      <c r="R278" s="194"/>
      <c r="S278" s="194"/>
      <c r="T278" s="194"/>
      <c r="U278" s="194"/>
      <c r="V278" s="194"/>
      <c r="W278" s="194"/>
      <c r="X278" s="195">
        <f t="shared" si="0"/>
        <v>2</v>
      </c>
      <c r="Y278" s="196">
        <f t="shared" ref="Y278:Y284" si="2">X278/$X$286</f>
        <v>4.9776007964161273E-4</v>
      </c>
      <c r="Z278" s="197">
        <f t="shared" si="1"/>
        <v>642</v>
      </c>
      <c r="AA278" s="198">
        <f>Z278/$Z$286</f>
        <v>8.6233876481389194E-4</v>
      </c>
      <c r="AB278" s="163"/>
      <c r="AC278" s="175"/>
      <c r="AD278" s="22"/>
    </row>
    <row r="279" spans="1:30" s="23" customFormat="1" x14ac:dyDescent="0.3">
      <c r="A279" s="47"/>
      <c r="B279" s="97" t="s">
        <v>61</v>
      </c>
      <c r="C279" s="194"/>
      <c r="D279" s="194"/>
      <c r="E279" s="194"/>
      <c r="F279" s="194"/>
      <c r="G279" s="194"/>
      <c r="H279" s="194"/>
      <c r="I279" s="194"/>
      <c r="J279" s="194"/>
      <c r="K279" s="194"/>
      <c r="L279" s="194"/>
      <c r="M279" s="194"/>
      <c r="N279" s="194"/>
      <c r="O279" s="194"/>
      <c r="P279" s="194"/>
      <c r="Q279" s="194"/>
      <c r="R279" s="194"/>
      <c r="S279" s="194"/>
      <c r="T279" s="194"/>
      <c r="U279" s="194"/>
      <c r="V279" s="194"/>
      <c r="W279" s="194"/>
      <c r="X279" s="199">
        <f t="shared" si="0"/>
        <v>1</v>
      </c>
      <c r="Y279" s="200">
        <f t="shared" si="2"/>
        <v>2.4888003982080636E-4</v>
      </c>
      <c r="Z279" s="131">
        <f t="shared" si="1"/>
        <v>154</v>
      </c>
      <c r="AA279" s="198">
        <f t="shared" ref="AA279:AA284" si="3">Z279/$Z$286</f>
        <v>2.0685384701143203E-4</v>
      </c>
      <c r="AB279" s="163"/>
      <c r="AC279" s="175"/>
      <c r="AD279" s="22"/>
    </row>
    <row r="280" spans="1:30" s="23" customFormat="1" x14ac:dyDescent="0.3">
      <c r="A280" s="47"/>
      <c r="B280" s="97" t="s">
        <v>100</v>
      </c>
      <c r="C280" s="194"/>
      <c r="D280" s="194"/>
      <c r="E280" s="194"/>
      <c r="F280" s="194"/>
      <c r="G280" s="194"/>
      <c r="H280" s="194"/>
      <c r="I280" s="194"/>
      <c r="J280" s="194"/>
      <c r="K280" s="194"/>
      <c r="L280" s="194"/>
      <c r="M280" s="194"/>
      <c r="N280" s="194"/>
      <c r="O280" s="194"/>
      <c r="P280" s="194"/>
      <c r="Q280" s="194"/>
      <c r="R280" s="194"/>
      <c r="S280" s="194"/>
      <c r="T280" s="194"/>
      <c r="U280" s="194"/>
      <c r="V280" s="194"/>
      <c r="W280" s="194"/>
      <c r="X280" s="199">
        <f t="shared" si="0"/>
        <v>0</v>
      </c>
      <c r="Y280" s="200">
        <f t="shared" si="2"/>
        <v>0</v>
      </c>
      <c r="Z280" s="131">
        <f t="shared" si="1"/>
        <v>0</v>
      </c>
      <c r="AA280" s="198">
        <f t="shared" si="3"/>
        <v>0</v>
      </c>
      <c r="AB280" s="163"/>
      <c r="AC280" s="175"/>
      <c r="AD280" s="22"/>
    </row>
    <row r="281" spans="1:30" s="23" customFormat="1" x14ac:dyDescent="0.3">
      <c r="A281" s="47"/>
      <c r="B281" s="97" t="s">
        <v>101</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9">
        <f t="shared" si="0"/>
        <v>0</v>
      </c>
      <c r="Y281" s="200">
        <f t="shared" si="2"/>
        <v>0</v>
      </c>
      <c r="Z281" s="131">
        <f t="shared" si="1"/>
        <v>0</v>
      </c>
      <c r="AA281" s="198">
        <f t="shared" si="3"/>
        <v>0</v>
      </c>
      <c r="AB281" s="163"/>
      <c r="AC281" s="175"/>
      <c r="AD281" s="22"/>
    </row>
    <row r="282" spans="1:30" s="23" customFormat="1" x14ac:dyDescent="0.3">
      <c r="A282" s="47"/>
      <c r="B282" s="97" t="s">
        <v>102</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0"/>
        <v>0</v>
      </c>
      <c r="Y282" s="200">
        <f t="shared" si="2"/>
        <v>0</v>
      </c>
      <c r="Z282" s="131">
        <f t="shared" si="1"/>
        <v>0</v>
      </c>
      <c r="AA282" s="198">
        <f t="shared" si="3"/>
        <v>0</v>
      </c>
      <c r="AB282" s="163"/>
      <c r="AC282" s="175"/>
      <c r="AD282" s="22"/>
    </row>
    <row r="283" spans="1:30" s="23" customFormat="1" x14ac:dyDescent="0.3">
      <c r="A283" s="47"/>
      <c r="B283" s="97" t="s">
        <v>103</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201">
        <f t="shared" si="0"/>
        <v>0</v>
      </c>
      <c r="Y283" s="202">
        <f t="shared" si="2"/>
        <v>0</v>
      </c>
      <c r="Z283" s="203">
        <f t="shared" si="1"/>
        <v>0</v>
      </c>
      <c r="AA283" s="198">
        <f t="shared" si="3"/>
        <v>0</v>
      </c>
      <c r="AB283" s="163"/>
      <c r="AC283" s="175"/>
      <c r="AD283" s="22"/>
    </row>
    <row r="284" spans="1:30" s="23" customFormat="1" x14ac:dyDescent="0.3">
      <c r="A284" s="47"/>
      <c r="B284" s="97" t="s">
        <v>104</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06">
        <f t="shared" si="0"/>
        <v>0</v>
      </c>
      <c r="Y284" s="198">
        <f t="shared" si="2"/>
        <v>0</v>
      </c>
      <c r="Z284" s="107">
        <f t="shared" si="1"/>
        <v>0</v>
      </c>
      <c r="AA284" s="198">
        <f t="shared" si="3"/>
        <v>0</v>
      </c>
      <c r="AB284" s="163"/>
      <c r="AC284" s="175"/>
      <c r="AD284" s="22"/>
    </row>
    <row r="285" spans="1:30" s="23" customFormat="1" x14ac:dyDescent="0.3">
      <c r="A285" s="47"/>
      <c r="B285" s="97"/>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97"/>
      <c r="Y285" s="198"/>
      <c r="Z285" s="98"/>
      <c r="AA285" s="198"/>
      <c r="AB285" s="163"/>
      <c r="AC285" s="175"/>
      <c r="AD285" s="22"/>
    </row>
    <row r="286" spans="1:30" s="23" customFormat="1" x14ac:dyDescent="0.3">
      <c r="A286" s="47"/>
      <c r="B286" s="40" t="s">
        <v>80</v>
      </c>
      <c r="C286" s="40"/>
      <c r="D286" s="204"/>
      <c r="E286" s="204"/>
      <c r="F286" s="204"/>
      <c r="G286" s="204"/>
      <c r="H286" s="204"/>
      <c r="I286" s="204"/>
      <c r="J286" s="204"/>
      <c r="K286" s="204"/>
      <c r="L286" s="204"/>
      <c r="M286" s="204"/>
      <c r="N286" s="204"/>
      <c r="O286" s="204"/>
      <c r="P286" s="204"/>
      <c r="Q286" s="204"/>
      <c r="R286" s="204"/>
      <c r="S286" s="204"/>
      <c r="T286" s="204"/>
      <c r="U286" s="204"/>
      <c r="V286" s="204"/>
      <c r="W286" s="204"/>
      <c r="X286" s="97">
        <f>SUM(X277:X285)</f>
        <v>4018</v>
      </c>
      <c r="Y286" s="198">
        <f>SUM(Y277:Y285)</f>
        <v>1</v>
      </c>
      <c r="Z286" s="98">
        <f>SUM(Z277:Z285)</f>
        <v>744487</v>
      </c>
      <c r="AA286" s="198">
        <f>SUM(AA277:AA285)</f>
        <v>1</v>
      </c>
      <c r="AB286" s="40"/>
      <c r="AC286" s="43"/>
      <c r="AD286" s="22"/>
    </row>
    <row r="287" spans="1:30" x14ac:dyDescent="0.3">
      <c r="A287" s="7"/>
      <c r="B287" s="151"/>
      <c r="C287" s="186"/>
      <c r="D287" s="99"/>
      <c r="E287" s="99"/>
      <c r="F287" s="99"/>
      <c r="G287" s="99"/>
      <c r="H287" s="99"/>
      <c r="I287" s="99"/>
      <c r="J287" s="99"/>
      <c r="K287" s="99"/>
      <c r="L287" s="99"/>
      <c r="M287" s="99"/>
      <c r="N287" s="99"/>
      <c r="O287" s="99"/>
      <c r="P287" s="99"/>
      <c r="Q287" s="99"/>
      <c r="R287" s="99"/>
      <c r="S287" s="99"/>
      <c r="T287" s="99"/>
      <c r="U287" s="99"/>
      <c r="V287" s="99"/>
      <c r="W287" s="99"/>
      <c r="X287" s="99"/>
      <c r="Y287" s="99"/>
      <c r="Z287" s="188"/>
      <c r="AA287" s="99"/>
      <c r="AB287" s="99"/>
      <c r="AC287" s="10"/>
      <c r="AD287" s="5"/>
    </row>
    <row r="288" spans="1:30" x14ac:dyDescent="0.3">
      <c r="A288" s="33"/>
      <c r="B288" s="102" t="s">
        <v>105</v>
      </c>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54" t="s">
        <v>69</v>
      </c>
      <c r="Y288" s="103" t="s">
        <v>70</v>
      </c>
      <c r="Z288" s="154" t="s">
        <v>75</v>
      </c>
      <c r="AA288" s="103" t="s">
        <v>70</v>
      </c>
      <c r="AB288" s="34"/>
      <c r="AC288" s="190"/>
      <c r="AD288" s="5"/>
    </row>
    <row r="289" spans="1:31" s="23" customFormat="1" x14ac:dyDescent="0.3">
      <c r="A289" s="18"/>
      <c r="B289" s="106" t="s">
        <v>59</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06">
        <v>4015</v>
      </c>
      <c r="Y289" s="192">
        <f>X289/$X$298</f>
        <v>0.99925335988053754</v>
      </c>
      <c r="Z289" s="107">
        <v>743691</v>
      </c>
      <c r="AA289" s="192">
        <f>Z289/$Z$298</f>
        <v>0.99893080738817464</v>
      </c>
      <c r="AB289" s="158"/>
      <c r="AC289" s="193"/>
      <c r="AD289" s="22"/>
    </row>
    <row r="290" spans="1:31" s="23" customFormat="1" x14ac:dyDescent="0.3">
      <c r="A290" s="47"/>
      <c r="B290" s="97" t="s">
        <v>60</v>
      </c>
      <c r="C290" s="194"/>
      <c r="D290" s="194"/>
      <c r="E290" s="194"/>
      <c r="F290" s="194"/>
      <c r="G290" s="194"/>
      <c r="H290" s="194"/>
      <c r="I290" s="194"/>
      <c r="J290" s="194"/>
      <c r="K290" s="194"/>
      <c r="L290" s="194"/>
      <c r="M290" s="194"/>
      <c r="N290" s="194"/>
      <c r="O290" s="194"/>
      <c r="P290" s="194"/>
      <c r="Q290" s="194"/>
      <c r="R290" s="194"/>
      <c r="S290" s="194"/>
      <c r="T290" s="194"/>
      <c r="U290" s="194"/>
      <c r="V290" s="194"/>
      <c r="W290" s="194"/>
      <c r="X290" s="97">
        <v>2</v>
      </c>
      <c r="Y290" s="198">
        <f t="shared" ref="Y290:Y296" si="4">X290/$X$298</f>
        <v>4.9776007964161273E-4</v>
      </c>
      <c r="Z290" s="98">
        <v>642</v>
      </c>
      <c r="AA290" s="198">
        <f t="shared" ref="AA290:AA296" si="5">Z290/$Z$298</f>
        <v>8.6233876481389194E-4</v>
      </c>
      <c r="AB290" s="163"/>
      <c r="AC290" s="175"/>
      <c r="AD290" s="22"/>
      <c r="AE290" s="115"/>
    </row>
    <row r="291" spans="1:31" s="23" customFormat="1" x14ac:dyDescent="0.3">
      <c r="A291" s="47"/>
      <c r="B291" s="97" t="s">
        <v>61</v>
      </c>
      <c r="C291" s="194"/>
      <c r="D291" s="194"/>
      <c r="E291" s="194"/>
      <c r="F291" s="194"/>
      <c r="G291" s="194"/>
      <c r="H291" s="194"/>
      <c r="I291" s="194"/>
      <c r="J291" s="194"/>
      <c r="K291" s="194"/>
      <c r="L291" s="194"/>
      <c r="M291" s="194"/>
      <c r="N291" s="194"/>
      <c r="O291" s="194"/>
      <c r="P291" s="194"/>
      <c r="Q291" s="194"/>
      <c r="R291" s="194"/>
      <c r="S291" s="194"/>
      <c r="T291" s="194"/>
      <c r="U291" s="194"/>
      <c r="V291" s="194"/>
      <c r="W291" s="194"/>
      <c r="X291" s="97">
        <v>1</v>
      </c>
      <c r="Y291" s="198">
        <f t="shared" si="4"/>
        <v>2.4888003982080636E-4</v>
      </c>
      <c r="Z291" s="98">
        <v>154</v>
      </c>
      <c r="AA291" s="198">
        <f t="shared" si="5"/>
        <v>2.0685384701143203E-4</v>
      </c>
      <c r="AB291" s="163"/>
      <c r="AC291" s="175"/>
      <c r="AD291" s="22"/>
    </row>
    <row r="292" spans="1:31" s="23" customFormat="1" x14ac:dyDescent="0.3">
      <c r="A292" s="47"/>
      <c r="B292" s="97" t="s">
        <v>100</v>
      </c>
      <c r="C292" s="194"/>
      <c r="D292" s="194"/>
      <c r="E292" s="194"/>
      <c r="F292" s="194"/>
      <c r="G292" s="194"/>
      <c r="H292" s="194"/>
      <c r="I292" s="194"/>
      <c r="J292" s="194"/>
      <c r="K292" s="194"/>
      <c r="L292" s="194"/>
      <c r="M292" s="194"/>
      <c r="N292" s="194"/>
      <c r="O292" s="194"/>
      <c r="P292" s="194"/>
      <c r="Q292" s="194"/>
      <c r="R292" s="194"/>
      <c r="S292" s="194"/>
      <c r="T292" s="194"/>
      <c r="U292" s="194"/>
      <c r="V292" s="194"/>
      <c r="W292" s="194"/>
      <c r="X292" s="97">
        <v>0</v>
      </c>
      <c r="Y292" s="198">
        <f t="shared" si="4"/>
        <v>0</v>
      </c>
      <c r="Z292" s="98">
        <v>0</v>
      </c>
      <c r="AA292" s="198">
        <f t="shared" si="5"/>
        <v>0</v>
      </c>
      <c r="AB292" s="163"/>
      <c r="AC292" s="175"/>
      <c r="AD292" s="22"/>
      <c r="AE292" s="115"/>
    </row>
    <row r="293" spans="1:31" s="23" customFormat="1" x14ac:dyDescent="0.3">
      <c r="A293" s="47"/>
      <c r="B293" s="97" t="s">
        <v>101</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0</v>
      </c>
      <c r="Y293" s="198">
        <f t="shared" si="4"/>
        <v>0</v>
      </c>
      <c r="Z293" s="98">
        <v>0</v>
      </c>
      <c r="AA293" s="198">
        <f t="shared" si="5"/>
        <v>0</v>
      </c>
      <c r="AB293" s="163"/>
      <c r="AC293" s="175"/>
      <c r="AD293" s="22"/>
    </row>
    <row r="294" spans="1:31" s="23" customFormat="1" x14ac:dyDescent="0.3">
      <c r="A294" s="47"/>
      <c r="B294" s="97" t="s">
        <v>102</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4"/>
        <v>0</v>
      </c>
      <c r="Z294" s="98">
        <v>0</v>
      </c>
      <c r="AA294" s="198">
        <f t="shared" si="5"/>
        <v>0</v>
      </c>
      <c r="AB294" s="163"/>
      <c r="AC294" s="175"/>
      <c r="AD294" s="22"/>
      <c r="AE294" s="115"/>
    </row>
    <row r="295" spans="1:31" s="23" customFormat="1" x14ac:dyDescent="0.3">
      <c r="A295" s="47"/>
      <c r="B295" s="97" t="s">
        <v>103</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0</v>
      </c>
      <c r="Y295" s="198">
        <f>X295/$X$298</f>
        <v>0</v>
      </c>
      <c r="Z295" s="98">
        <v>0</v>
      </c>
      <c r="AA295" s="198">
        <f t="shared" si="5"/>
        <v>0</v>
      </c>
      <c r="AB295" s="163"/>
      <c r="AC295" s="175"/>
      <c r="AD295" s="22"/>
    </row>
    <row r="296" spans="1:31" s="23" customFormat="1" x14ac:dyDescent="0.3">
      <c r="A296" s="47"/>
      <c r="B296" s="97" t="s">
        <v>104</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4"/>
        <v>0</v>
      </c>
      <c r="Z296" s="98">
        <v>0</v>
      </c>
      <c r="AA296" s="198">
        <f t="shared" si="5"/>
        <v>0</v>
      </c>
      <c r="AB296" s="163"/>
      <c r="AC296" s="175"/>
      <c r="AD296" s="22"/>
      <c r="AE296" s="115"/>
    </row>
    <row r="297" spans="1:31" s="23" customFormat="1" x14ac:dyDescent="0.3">
      <c r="A297" s="47"/>
      <c r="B297" s="97"/>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c r="Y297" s="198"/>
      <c r="Z297" s="98"/>
      <c r="AA297" s="198"/>
      <c r="AB297" s="163"/>
      <c r="AC297" s="175"/>
      <c r="AD297" s="22"/>
    </row>
    <row r="298" spans="1:31" s="23" customFormat="1" x14ac:dyDescent="0.3">
      <c r="A298" s="47"/>
      <c r="B298" s="40" t="s">
        <v>80</v>
      </c>
      <c r="C298" s="40"/>
      <c r="D298" s="204"/>
      <c r="E298" s="204"/>
      <c r="F298" s="204"/>
      <c r="G298" s="204"/>
      <c r="H298" s="204"/>
      <c r="I298" s="204"/>
      <c r="J298" s="204"/>
      <c r="K298" s="204"/>
      <c r="L298" s="204"/>
      <c r="M298" s="204"/>
      <c r="N298" s="204"/>
      <c r="O298" s="204"/>
      <c r="P298" s="204"/>
      <c r="Q298" s="204"/>
      <c r="R298" s="204"/>
      <c r="S298" s="204"/>
      <c r="T298" s="204"/>
      <c r="U298" s="204"/>
      <c r="V298" s="204"/>
      <c r="W298" s="204"/>
      <c r="X298" s="97">
        <f>SUM(X289:X297)</f>
        <v>4018</v>
      </c>
      <c r="Y298" s="198">
        <f>SUM(Y289:Y297)</f>
        <v>1</v>
      </c>
      <c r="Z298" s="98">
        <f>SUM(Z289:Z297)</f>
        <v>744487</v>
      </c>
      <c r="AA298" s="198">
        <f>SUM(AA289:AA297)</f>
        <v>1</v>
      </c>
      <c r="AB298" s="40"/>
      <c r="AC298" s="43"/>
      <c r="AD298" s="22"/>
    </row>
    <row r="299" spans="1:31" x14ac:dyDescent="0.3">
      <c r="A299" s="7"/>
      <c r="B299" s="99"/>
      <c r="C299" s="99"/>
      <c r="D299" s="205"/>
      <c r="E299" s="205"/>
      <c r="F299" s="205"/>
      <c r="G299" s="205"/>
      <c r="H299" s="205"/>
      <c r="I299" s="205"/>
      <c r="J299" s="205"/>
      <c r="K299" s="205"/>
      <c r="L299" s="205"/>
      <c r="M299" s="205"/>
      <c r="N299" s="205"/>
      <c r="O299" s="205"/>
      <c r="P299" s="205"/>
      <c r="Q299" s="205"/>
      <c r="R299" s="205"/>
      <c r="S299" s="205"/>
      <c r="T299" s="205"/>
      <c r="U299" s="205"/>
      <c r="V299" s="205"/>
      <c r="W299" s="205"/>
      <c r="X299" s="100"/>
      <c r="Y299" s="206"/>
      <c r="Z299" s="207"/>
      <c r="AA299" s="206"/>
      <c r="AB299" s="99"/>
      <c r="AC299" s="10"/>
      <c r="AD299" s="5"/>
    </row>
    <row r="300" spans="1:31" x14ac:dyDescent="0.3">
      <c r="A300" s="33"/>
      <c r="B300" s="102" t="s">
        <v>121</v>
      </c>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54" t="s">
        <v>69</v>
      </c>
      <c r="Y300" s="103" t="s">
        <v>70</v>
      </c>
      <c r="Z300" s="154" t="s">
        <v>75</v>
      </c>
      <c r="AA300" s="103" t="s">
        <v>70</v>
      </c>
      <c r="AB300" s="34"/>
      <c r="AC300" s="36"/>
      <c r="AD300" s="5"/>
    </row>
    <row r="301" spans="1:31" s="23" customFormat="1" x14ac:dyDescent="0.3">
      <c r="A301" s="18"/>
      <c r="B301" s="106" t="s">
        <v>59</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06">
        <v>0</v>
      </c>
      <c r="Y301" s="192">
        <v>0</v>
      </c>
      <c r="Z301" s="107">
        <v>0</v>
      </c>
      <c r="AA301" s="192">
        <v>0</v>
      </c>
      <c r="AB301" s="37"/>
      <c r="AC301" s="21"/>
      <c r="AD301" s="22"/>
    </row>
    <row r="302" spans="1:31" s="23" customFormat="1" x14ac:dyDescent="0.3">
      <c r="A302" s="47"/>
      <c r="B302" s="97" t="s">
        <v>60</v>
      </c>
      <c r="C302" s="194"/>
      <c r="D302" s="194"/>
      <c r="E302" s="194"/>
      <c r="F302" s="194"/>
      <c r="G302" s="194"/>
      <c r="H302" s="194"/>
      <c r="I302" s="194"/>
      <c r="J302" s="194"/>
      <c r="K302" s="194"/>
      <c r="L302" s="194"/>
      <c r="M302" s="194"/>
      <c r="N302" s="194"/>
      <c r="O302" s="194"/>
      <c r="P302" s="194"/>
      <c r="Q302" s="194"/>
      <c r="R302" s="194"/>
      <c r="S302" s="194"/>
      <c r="T302" s="194"/>
      <c r="U302" s="194"/>
      <c r="V302" s="194"/>
      <c r="W302" s="194"/>
      <c r="X302" s="97">
        <v>0</v>
      </c>
      <c r="Y302" s="198">
        <v>0</v>
      </c>
      <c r="Z302" s="98">
        <v>0</v>
      </c>
      <c r="AA302" s="198">
        <v>0</v>
      </c>
      <c r="AB302" s="40"/>
      <c r="AC302" s="43"/>
      <c r="AD302" s="22"/>
    </row>
    <row r="303" spans="1:31" s="23" customFormat="1" x14ac:dyDescent="0.3">
      <c r="A303" s="47"/>
      <c r="B303" s="97" t="s">
        <v>61</v>
      </c>
      <c r="C303" s="194"/>
      <c r="D303" s="194"/>
      <c r="E303" s="194"/>
      <c r="F303" s="194"/>
      <c r="G303" s="194"/>
      <c r="H303" s="194"/>
      <c r="I303" s="194"/>
      <c r="J303" s="194"/>
      <c r="K303" s="194"/>
      <c r="L303" s="194"/>
      <c r="M303" s="194"/>
      <c r="N303" s="194"/>
      <c r="O303" s="194"/>
      <c r="P303" s="194"/>
      <c r="Q303" s="194"/>
      <c r="R303" s="194"/>
      <c r="S303" s="194"/>
      <c r="T303" s="194"/>
      <c r="U303" s="194"/>
      <c r="V303" s="194"/>
      <c r="W303" s="194"/>
      <c r="X303" s="97">
        <v>0</v>
      </c>
      <c r="Y303" s="198">
        <v>0</v>
      </c>
      <c r="Z303" s="98">
        <v>0</v>
      </c>
      <c r="AA303" s="198">
        <v>0</v>
      </c>
      <c r="AB303" s="40"/>
      <c r="AC303" s="43"/>
      <c r="AD303" s="22"/>
    </row>
    <row r="304" spans="1:31" s="23" customFormat="1" x14ac:dyDescent="0.3">
      <c r="A304" s="47"/>
      <c r="B304" s="97" t="s">
        <v>100</v>
      </c>
      <c r="C304" s="194"/>
      <c r="D304" s="194"/>
      <c r="E304" s="194"/>
      <c r="F304" s="194"/>
      <c r="G304" s="194"/>
      <c r="H304" s="194"/>
      <c r="I304" s="194"/>
      <c r="J304" s="194"/>
      <c r="K304" s="194"/>
      <c r="L304" s="194"/>
      <c r="M304" s="194"/>
      <c r="N304" s="194"/>
      <c r="O304" s="194"/>
      <c r="P304" s="194"/>
      <c r="Q304" s="194"/>
      <c r="R304" s="194"/>
      <c r="S304" s="194"/>
      <c r="T304" s="194"/>
      <c r="U304" s="194"/>
      <c r="V304" s="194"/>
      <c r="W304" s="194"/>
      <c r="X304" s="97">
        <v>0</v>
      </c>
      <c r="Y304" s="198">
        <v>0</v>
      </c>
      <c r="Z304" s="98">
        <v>0</v>
      </c>
      <c r="AA304" s="198">
        <v>0</v>
      </c>
      <c r="AB304" s="40"/>
      <c r="AC304" s="43"/>
      <c r="AD304" s="22"/>
    </row>
    <row r="305" spans="1:30" s="23" customFormat="1" x14ac:dyDescent="0.3">
      <c r="A305" s="47"/>
      <c r="B305" s="97" t="s">
        <v>101</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102</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103</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104</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c r="Y309" s="198"/>
      <c r="Z309" s="98"/>
      <c r="AA309" s="198"/>
      <c r="AB309" s="40"/>
      <c r="AC309" s="43"/>
      <c r="AD309" s="22"/>
    </row>
    <row r="310" spans="1:30" s="23" customFormat="1" x14ac:dyDescent="0.3">
      <c r="A310" s="47"/>
      <c r="B310" s="40" t="s">
        <v>80</v>
      </c>
      <c r="C310" s="40"/>
      <c r="D310" s="204"/>
      <c r="E310" s="204"/>
      <c r="F310" s="204"/>
      <c r="G310" s="204"/>
      <c r="H310" s="204"/>
      <c r="I310" s="204"/>
      <c r="J310" s="204"/>
      <c r="K310" s="204"/>
      <c r="L310" s="204"/>
      <c r="M310" s="204"/>
      <c r="N310" s="204"/>
      <c r="O310" s="204"/>
      <c r="P310" s="204"/>
      <c r="Q310" s="204"/>
      <c r="R310" s="204"/>
      <c r="S310" s="204"/>
      <c r="T310" s="204"/>
      <c r="U310" s="204"/>
      <c r="V310" s="204"/>
      <c r="W310" s="204"/>
      <c r="X310" s="97">
        <f>SUM(X301:X309)</f>
        <v>0</v>
      </c>
      <c r="Y310" s="198">
        <f>SUM(Y301:Y309)</f>
        <v>0</v>
      </c>
      <c r="Z310" s="98">
        <f>SUM(Z301:Z309)</f>
        <v>0</v>
      </c>
      <c r="AA310" s="198">
        <f>SUM(AA301:AA309)</f>
        <v>0</v>
      </c>
      <c r="AB310" s="40"/>
      <c r="AC310" s="43"/>
      <c r="AD310" s="22"/>
    </row>
    <row r="311" spans="1:30" s="23" customFormat="1" x14ac:dyDescent="0.3">
      <c r="A311" s="47"/>
      <c r="B311" s="40"/>
      <c r="C311" s="40"/>
      <c r="D311" s="204"/>
      <c r="E311" s="204"/>
      <c r="F311" s="204"/>
      <c r="G311" s="204"/>
      <c r="H311" s="204"/>
      <c r="I311" s="204"/>
      <c r="J311" s="204"/>
      <c r="K311" s="204"/>
      <c r="L311" s="204"/>
      <c r="M311" s="204"/>
      <c r="N311" s="204"/>
      <c r="O311" s="204"/>
      <c r="P311" s="204"/>
      <c r="Q311" s="204"/>
      <c r="R311" s="204"/>
      <c r="S311" s="204"/>
      <c r="T311" s="204"/>
      <c r="U311" s="204"/>
      <c r="V311" s="204"/>
      <c r="W311" s="204"/>
      <c r="X311" s="97"/>
      <c r="Y311" s="198"/>
      <c r="Z311" s="98"/>
      <c r="AA311" s="198"/>
      <c r="AB311" s="40"/>
      <c r="AC311" s="43"/>
      <c r="AD311" s="22"/>
    </row>
    <row r="312" spans="1:30" s="23" customFormat="1" x14ac:dyDescent="0.3">
      <c r="A312" s="242"/>
      <c r="B312" s="243" t="s">
        <v>299</v>
      </c>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62" t="s">
        <v>69</v>
      </c>
      <c r="Y312" s="263" t="s">
        <v>70</v>
      </c>
      <c r="Z312" s="262" t="s">
        <v>75</v>
      </c>
      <c r="AA312" s="263" t="s">
        <v>70</v>
      </c>
      <c r="AB312" s="243"/>
      <c r="AC312" s="243"/>
      <c r="AD312" s="22"/>
    </row>
    <row r="313" spans="1:30" s="23" customFormat="1" x14ac:dyDescent="0.3">
      <c r="A313" s="272"/>
      <c r="B313" s="273" t="s">
        <v>295</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275">
        <v>0</v>
      </c>
      <c r="Y313" s="276">
        <v>0</v>
      </c>
      <c r="Z313" s="277">
        <v>0</v>
      </c>
      <c r="AA313" s="276">
        <v>0</v>
      </c>
      <c r="AB313" s="40"/>
      <c r="AC313" s="43"/>
      <c r="AD313" s="22"/>
    </row>
    <row r="314" spans="1:30" s="23" customFormat="1" x14ac:dyDescent="0.3">
      <c r="A314" s="272"/>
      <c r="B314" s="273" t="s">
        <v>296</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275">
        <v>0</v>
      </c>
      <c r="Y314" s="276">
        <v>0</v>
      </c>
      <c r="Z314" s="277">
        <v>0</v>
      </c>
      <c r="AA314" s="276">
        <v>0</v>
      </c>
      <c r="AB314" s="40"/>
      <c r="AC314" s="43"/>
      <c r="AD314" s="22"/>
    </row>
    <row r="315" spans="1:30" s="23" customFormat="1" x14ac:dyDescent="0.3">
      <c r="A315" s="272"/>
      <c r="B315" s="273" t="s">
        <v>297</v>
      </c>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275">
        <v>0</v>
      </c>
      <c r="Y315" s="276">
        <v>0</v>
      </c>
      <c r="Z315" s="277">
        <v>0</v>
      </c>
      <c r="AA315" s="276">
        <v>0</v>
      </c>
      <c r="AB315" s="40"/>
      <c r="AC315" s="43"/>
      <c r="AD315" s="22"/>
    </row>
    <row r="316" spans="1:30" s="23" customFormat="1" x14ac:dyDescent="0.3">
      <c r="A316" s="272"/>
      <c r="B316" s="273" t="s">
        <v>298</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5">
        <v>0</v>
      </c>
      <c r="Y316" s="276">
        <v>0</v>
      </c>
      <c r="Z316" s="277">
        <v>0</v>
      </c>
      <c r="AA316" s="276">
        <v>0</v>
      </c>
      <c r="AB316" s="40"/>
      <c r="AC316" s="43"/>
      <c r="AD316" s="22"/>
    </row>
    <row r="317" spans="1:30" s="23" customFormat="1" x14ac:dyDescent="0.3">
      <c r="A317" s="272"/>
      <c r="B317" s="273" t="s">
        <v>368</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5">
        <v>0</v>
      </c>
      <c r="Y317" s="276">
        <v>0</v>
      </c>
      <c r="Z317" s="277">
        <v>0</v>
      </c>
      <c r="AA317" s="276">
        <v>0</v>
      </c>
      <c r="AB317" s="40"/>
      <c r="AC317" s="43"/>
      <c r="AD317" s="22"/>
    </row>
    <row r="318" spans="1:30" s="23" customFormat="1" x14ac:dyDescent="0.3">
      <c r="A318" s="272"/>
      <c r="B318" s="274" t="s">
        <v>300</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5">
        <v>0</v>
      </c>
      <c r="Y318" s="276">
        <v>0</v>
      </c>
      <c r="Z318" s="277">
        <v>0</v>
      </c>
      <c r="AA318" s="276">
        <v>0</v>
      </c>
      <c r="AB318" s="40"/>
      <c r="AC318" s="43"/>
      <c r="AD318" s="22"/>
    </row>
    <row r="319" spans="1:30" s="23" customFormat="1" x14ac:dyDescent="0.3">
      <c r="A319" s="272"/>
      <c r="B319" s="273"/>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5"/>
      <c r="Y319" s="276"/>
      <c r="Z319" s="277"/>
      <c r="AA319" s="276"/>
      <c r="AB319" s="40"/>
      <c r="AC319" s="43"/>
      <c r="AD319" s="22"/>
    </row>
    <row r="320" spans="1:30" s="23" customFormat="1" x14ac:dyDescent="0.3">
      <c r="A320" s="272"/>
      <c r="B320" s="273" t="s">
        <v>80</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5">
        <f>SUM(X313:X319)</f>
        <v>0</v>
      </c>
      <c r="Y320" s="276">
        <f>SUM(Y313:Y318)</f>
        <v>0</v>
      </c>
      <c r="Z320" s="277">
        <f>SUM(Z313:Z318)</f>
        <v>0</v>
      </c>
      <c r="AA320" s="276">
        <f>SUM(AA313:AA319)</f>
        <v>0</v>
      </c>
      <c r="AB320" s="40"/>
      <c r="AC320" s="43"/>
      <c r="AD320" s="22"/>
    </row>
    <row r="321" spans="1:30" x14ac:dyDescent="0.3">
      <c r="A321" s="7"/>
      <c r="B321" s="99"/>
      <c r="C321" s="99"/>
      <c r="D321" s="205"/>
      <c r="E321" s="205"/>
      <c r="F321" s="205"/>
      <c r="G321" s="205"/>
      <c r="H321" s="205"/>
      <c r="I321" s="205"/>
      <c r="J321" s="205"/>
      <c r="K321" s="205"/>
      <c r="L321" s="205"/>
      <c r="M321" s="205"/>
      <c r="N321" s="205"/>
      <c r="O321" s="205"/>
      <c r="P321" s="205"/>
      <c r="Q321" s="205"/>
      <c r="R321" s="205"/>
      <c r="S321" s="205"/>
      <c r="T321" s="205"/>
      <c r="U321" s="205"/>
      <c r="V321" s="205"/>
      <c r="W321" s="205"/>
      <c r="X321" s="100"/>
      <c r="Y321" s="206"/>
      <c r="Z321" s="207"/>
      <c r="AA321" s="206"/>
      <c r="AB321" s="99"/>
      <c r="AC321" s="10"/>
      <c r="AD321" s="5"/>
    </row>
    <row r="322" spans="1:30" x14ac:dyDescent="0.3">
      <c r="A322" s="33"/>
      <c r="B322" s="102" t="s">
        <v>106</v>
      </c>
      <c r="C322" s="34"/>
      <c r="D322" s="208"/>
      <c r="E322" s="208"/>
      <c r="F322" s="208"/>
      <c r="G322" s="208"/>
      <c r="H322" s="208"/>
      <c r="I322" s="208"/>
      <c r="J322" s="208"/>
      <c r="K322" s="208"/>
      <c r="L322" s="208"/>
      <c r="M322" s="208"/>
      <c r="N322" s="208"/>
      <c r="O322" s="208"/>
      <c r="P322" s="208"/>
      <c r="Q322" s="208"/>
      <c r="R322" s="208"/>
      <c r="S322" s="208"/>
      <c r="T322" s="208"/>
      <c r="U322" s="208"/>
      <c r="V322" s="208"/>
      <c r="W322" s="208"/>
      <c r="X322" s="154" t="s">
        <v>69</v>
      </c>
      <c r="Y322" s="103" t="s">
        <v>70</v>
      </c>
      <c r="Z322" s="154" t="s">
        <v>75</v>
      </c>
      <c r="AA322" s="103" t="s">
        <v>70</v>
      </c>
      <c r="AB322" s="34"/>
      <c r="AC322" s="36"/>
      <c r="AD322" s="5"/>
    </row>
    <row r="323" spans="1:30" s="23" customFormat="1" x14ac:dyDescent="0.3">
      <c r="A323" s="18"/>
      <c r="B323" s="106" t="s">
        <v>59</v>
      </c>
      <c r="C323" s="37"/>
      <c r="D323" s="209"/>
      <c r="E323" s="209"/>
      <c r="F323" s="209"/>
      <c r="G323" s="209"/>
      <c r="H323" s="209"/>
      <c r="I323" s="209"/>
      <c r="J323" s="209"/>
      <c r="K323" s="209"/>
      <c r="L323" s="209"/>
      <c r="M323" s="209"/>
      <c r="N323" s="209"/>
      <c r="O323" s="209"/>
      <c r="P323" s="209"/>
      <c r="Q323" s="209"/>
      <c r="R323" s="209"/>
      <c r="S323" s="209"/>
      <c r="T323" s="209"/>
      <c r="U323" s="209"/>
      <c r="V323" s="209"/>
      <c r="W323" s="209"/>
      <c r="X323" s="106">
        <v>0</v>
      </c>
      <c r="Y323" s="192">
        <v>0</v>
      </c>
      <c r="Z323" s="107">
        <v>0</v>
      </c>
      <c r="AA323" s="192">
        <v>0</v>
      </c>
      <c r="AB323" s="37"/>
      <c r="AC323" s="21"/>
      <c r="AD323" s="22"/>
    </row>
    <row r="324" spans="1:30" s="23" customFormat="1" x14ac:dyDescent="0.3">
      <c r="A324" s="47"/>
      <c r="B324" s="97" t="s">
        <v>60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97">
        <v>0</v>
      </c>
      <c r="Y324" s="198">
        <v>0</v>
      </c>
      <c r="Z324" s="98">
        <v>0</v>
      </c>
      <c r="AA324" s="198">
        <v>0</v>
      </c>
      <c r="AB324" s="40"/>
      <c r="AC324" s="43"/>
      <c r="AD324" s="22"/>
    </row>
    <row r="325" spans="1:30" s="23" customFormat="1" x14ac:dyDescent="0.3">
      <c r="A325" s="47"/>
      <c r="B325" s="97" t="s">
        <v>61</v>
      </c>
      <c r="C325" s="40"/>
      <c r="D325" s="204"/>
      <c r="E325" s="204"/>
      <c r="F325" s="204"/>
      <c r="G325" s="204"/>
      <c r="H325" s="204"/>
      <c r="I325" s="204"/>
      <c r="J325" s="204"/>
      <c r="K325" s="204"/>
      <c r="L325" s="204"/>
      <c r="M325" s="204"/>
      <c r="N325" s="204"/>
      <c r="O325" s="204"/>
      <c r="P325" s="204"/>
      <c r="Q325" s="204"/>
      <c r="R325" s="204"/>
      <c r="S325" s="204"/>
      <c r="T325" s="204"/>
      <c r="U325" s="204"/>
      <c r="V325" s="204"/>
      <c r="W325" s="204"/>
      <c r="X325" s="97">
        <v>0</v>
      </c>
      <c r="Y325" s="198">
        <v>0</v>
      </c>
      <c r="Z325" s="98">
        <v>0</v>
      </c>
      <c r="AA325" s="198">
        <v>0</v>
      </c>
      <c r="AB325" s="40"/>
      <c r="AC325" s="43"/>
      <c r="AD325" s="22"/>
    </row>
    <row r="326" spans="1:30" s="23" customFormat="1" x14ac:dyDescent="0.3">
      <c r="A326" s="47"/>
      <c r="B326" s="97" t="s">
        <v>100</v>
      </c>
      <c r="C326" s="40"/>
      <c r="D326" s="204"/>
      <c r="E326" s="204"/>
      <c r="F326" s="204"/>
      <c r="G326" s="204"/>
      <c r="H326" s="204"/>
      <c r="I326" s="204"/>
      <c r="J326" s="204"/>
      <c r="K326" s="204"/>
      <c r="L326" s="204"/>
      <c r="M326" s="204"/>
      <c r="N326" s="204"/>
      <c r="O326" s="204"/>
      <c r="P326" s="204"/>
      <c r="Q326" s="204"/>
      <c r="R326" s="204"/>
      <c r="S326" s="204"/>
      <c r="T326" s="204"/>
      <c r="U326" s="204"/>
      <c r="V326" s="204"/>
      <c r="W326" s="204"/>
      <c r="X326" s="97">
        <v>0</v>
      </c>
      <c r="Y326" s="198">
        <v>0</v>
      </c>
      <c r="Z326" s="98">
        <v>0</v>
      </c>
      <c r="AA326" s="198">
        <v>0</v>
      </c>
      <c r="AB326" s="40"/>
      <c r="AC326" s="43"/>
      <c r="AD326" s="22"/>
    </row>
    <row r="327" spans="1:30" s="23" customFormat="1" x14ac:dyDescent="0.3">
      <c r="A327" s="47"/>
      <c r="B327" s="97" t="s">
        <v>101</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102</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103</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104</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c r="Y331" s="198"/>
      <c r="Z331" s="98"/>
      <c r="AA331" s="198"/>
      <c r="AB331" s="40"/>
      <c r="AC331" s="43"/>
      <c r="AD331" s="22"/>
    </row>
    <row r="332" spans="1:30" s="23" customFormat="1" x14ac:dyDescent="0.3">
      <c r="A332" s="47"/>
      <c r="B332" s="40" t="s">
        <v>80</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f>SUM(X323:X330)</f>
        <v>0</v>
      </c>
      <c r="Y332" s="198">
        <f>SUM(Y323:Y330)</f>
        <v>0</v>
      </c>
      <c r="Z332" s="98">
        <f>SUM(Z323:Z330)</f>
        <v>0</v>
      </c>
      <c r="AA332" s="198">
        <f>SUM(AA323:AA330)</f>
        <v>0</v>
      </c>
      <c r="AB332" s="40"/>
      <c r="AC332" s="43"/>
      <c r="AD332" s="22"/>
    </row>
    <row r="333" spans="1:30" s="23" customFormat="1" x14ac:dyDescent="0.3">
      <c r="A333" s="47"/>
      <c r="B333" s="40"/>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c r="Y333" s="198"/>
      <c r="Z333" s="98"/>
      <c r="AA333" s="198"/>
      <c r="AB333" s="40"/>
      <c r="AC333" s="43"/>
      <c r="AD333" s="22"/>
    </row>
    <row r="334" spans="1:30" s="23" customFormat="1" x14ac:dyDescent="0.3">
      <c r="A334" s="242" t="s">
        <v>282</v>
      </c>
      <c r="B334" s="243" t="s">
        <v>283</v>
      </c>
      <c r="C334" s="244"/>
      <c r="D334" s="244"/>
      <c r="E334" s="244"/>
      <c r="F334" s="244"/>
      <c r="G334" s="244"/>
      <c r="H334" s="245"/>
      <c r="I334" s="245"/>
      <c r="J334" s="245"/>
      <c r="K334" s="245"/>
      <c r="L334" s="245"/>
      <c r="M334" s="245"/>
      <c r="N334" s="245"/>
      <c r="O334" s="245"/>
      <c r="P334" s="246"/>
      <c r="Q334" s="246"/>
      <c r="R334" s="246"/>
      <c r="S334" s="246"/>
      <c r="T334" s="246"/>
      <c r="U334" s="246"/>
      <c r="V334" s="246"/>
      <c r="W334" s="246"/>
      <c r="X334" s="262" t="s">
        <v>69</v>
      </c>
      <c r="Y334" s="263" t="s">
        <v>70</v>
      </c>
      <c r="Z334" s="262" t="s">
        <v>75</v>
      </c>
      <c r="AA334" s="263" t="s">
        <v>70</v>
      </c>
      <c r="AB334" s="282" t="s">
        <v>335</v>
      </c>
      <c r="AC334" s="284"/>
      <c r="AD334" s="22"/>
    </row>
    <row r="335" spans="1:30" s="23" customFormat="1" x14ac:dyDescent="0.3">
      <c r="A335" s="247"/>
      <c r="B335" s="248" t="s">
        <v>59</v>
      </c>
      <c r="C335" s="249"/>
      <c r="D335" s="249"/>
      <c r="E335" s="249"/>
      <c r="F335" s="249"/>
      <c r="G335" s="249"/>
      <c r="H335" s="250"/>
      <c r="I335" s="250"/>
      <c r="J335" s="250"/>
      <c r="K335" s="250"/>
      <c r="L335" s="250"/>
      <c r="M335" s="250"/>
      <c r="N335" s="250"/>
      <c r="O335" s="250"/>
      <c r="P335" s="251"/>
      <c r="Q335" s="269"/>
      <c r="R335" s="269"/>
      <c r="S335" s="269"/>
      <c r="T335" s="269"/>
      <c r="U335" s="269"/>
      <c r="V335" s="269"/>
      <c r="W335" s="269"/>
      <c r="X335" s="264">
        <v>23</v>
      </c>
      <c r="Y335" s="265">
        <f>+X335/X344</f>
        <v>1</v>
      </c>
      <c r="Z335" s="215">
        <v>3513</v>
      </c>
      <c r="AA335" s="265">
        <f>+Z335/Z344</f>
        <v>1</v>
      </c>
      <c r="AB335" s="281"/>
      <c r="AC335" s="283"/>
      <c r="AD335" s="22"/>
    </row>
    <row r="336" spans="1:30" s="23" customFormat="1" x14ac:dyDescent="0.3">
      <c r="A336" s="252"/>
      <c r="B336" s="253" t="s">
        <v>60</v>
      </c>
      <c r="C336" s="254"/>
      <c r="D336" s="254"/>
      <c r="E336" s="254"/>
      <c r="F336" s="254"/>
      <c r="G336" s="254"/>
      <c r="H336" s="255"/>
      <c r="I336" s="255"/>
      <c r="J336" s="255"/>
      <c r="K336" s="255"/>
      <c r="L336" s="255"/>
      <c r="M336" s="255"/>
      <c r="N336" s="255"/>
      <c r="O336" s="255"/>
      <c r="P336" s="256"/>
      <c r="Q336" s="204"/>
      <c r="R336" s="204"/>
      <c r="S336" s="204"/>
      <c r="T336" s="204"/>
      <c r="U336" s="204"/>
      <c r="V336" s="204"/>
      <c r="W336" s="204"/>
      <c r="X336" s="266">
        <v>0</v>
      </c>
      <c r="Y336" s="267">
        <f>+X336/X344</f>
        <v>0</v>
      </c>
      <c r="Z336" s="98">
        <v>0</v>
      </c>
      <c r="AA336" s="268">
        <f>+Z336/Z344</f>
        <v>0</v>
      </c>
      <c r="AB336" s="40"/>
      <c r="AC336" s="43"/>
      <c r="AD336" s="22"/>
    </row>
    <row r="337" spans="1:30" s="23" customFormat="1" x14ac:dyDescent="0.3">
      <c r="A337" s="252"/>
      <c r="B337" s="253" t="s">
        <v>61</v>
      </c>
      <c r="C337" s="254"/>
      <c r="D337" s="254"/>
      <c r="E337" s="254"/>
      <c r="F337" s="254"/>
      <c r="G337" s="254"/>
      <c r="H337" s="255"/>
      <c r="I337" s="255"/>
      <c r="J337" s="255"/>
      <c r="K337" s="255"/>
      <c r="L337" s="255"/>
      <c r="M337" s="255"/>
      <c r="N337" s="255"/>
      <c r="O337" s="255"/>
      <c r="P337" s="256"/>
      <c r="Q337" s="204"/>
      <c r="R337" s="204"/>
      <c r="S337" s="204"/>
      <c r="T337" s="204"/>
      <c r="U337" s="204"/>
      <c r="V337" s="204"/>
      <c r="W337" s="204"/>
      <c r="X337" s="266">
        <v>0</v>
      </c>
      <c r="Y337" s="267">
        <f>+X337/X344</f>
        <v>0</v>
      </c>
      <c r="Z337" s="98">
        <v>0</v>
      </c>
      <c r="AA337" s="268">
        <f>+Z337/Z344</f>
        <v>0</v>
      </c>
      <c r="AB337" s="40"/>
      <c r="AC337" s="43"/>
      <c r="AD337" s="22"/>
    </row>
    <row r="338" spans="1:30" s="23" customFormat="1" x14ac:dyDescent="0.3">
      <c r="A338" s="252"/>
      <c r="B338" s="253" t="s">
        <v>100</v>
      </c>
      <c r="C338" s="254"/>
      <c r="D338" s="254"/>
      <c r="E338" s="254"/>
      <c r="F338" s="254"/>
      <c r="G338" s="254"/>
      <c r="H338" s="255"/>
      <c r="I338" s="255"/>
      <c r="J338" s="255"/>
      <c r="K338" s="255"/>
      <c r="L338" s="255"/>
      <c r="M338" s="255"/>
      <c r="N338" s="255"/>
      <c r="O338" s="255"/>
      <c r="P338" s="256"/>
      <c r="Q338" s="204"/>
      <c r="R338" s="204"/>
      <c r="S338" s="204"/>
      <c r="T338" s="204"/>
      <c r="U338" s="204"/>
      <c r="V338" s="204"/>
      <c r="W338" s="204"/>
      <c r="X338" s="266">
        <v>0</v>
      </c>
      <c r="Y338" s="267">
        <f>+X338/X344</f>
        <v>0</v>
      </c>
      <c r="Z338" s="98">
        <v>0</v>
      </c>
      <c r="AA338" s="268">
        <f>+Z338/Z344</f>
        <v>0</v>
      </c>
      <c r="AB338" s="40"/>
      <c r="AC338" s="43"/>
      <c r="AD338" s="22"/>
    </row>
    <row r="339" spans="1:30" s="23" customFormat="1" x14ac:dyDescent="0.3">
      <c r="A339" s="252"/>
      <c r="B339" s="253" t="s">
        <v>101</v>
      </c>
      <c r="C339" s="254"/>
      <c r="D339" s="254"/>
      <c r="E339" s="254"/>
      <c r="F339" s="254"/>
      <c r="G339" s="254"/>
      <c r="H339" s="255"/>
      <c r="I339" s="255"/>
      <c r="J339" s="255"/>
      <c r="K339" s="255"/>
      <c r="L339" s="255"/>
      <c r="M339" s="255"/>
      <c r="N339" s="255"/>
      <c r="O339" s="255"/>
      <c r="P339" s="256"/>
      <c r="Q339" s="204"/>
      <c r="R339" s="204"/>
      <c r="S339" s="204"/>
      <c r="T339" s="204"/>
      <c r="U339" s="204"/>
      <c r="V339" s="204"/>
      <c r="W339" s="204"/>
      <c r="X339" s="266">
        <v>0</v>
      </c>
      <c r="Y339" s="267">
        <f>+X339/X344</f>
        <v>0</v>
      </c>
      <c r="Z339" s="98">
        <v>0</v>
      </c>
      <c r="AA339" s="268">
        <f>+Z339/Z344</f>
        <v>0</v>
      </c>
      <c r="AB339" s="40"/>
      <c r="AC339" s="43"/>
      <c r="AD339" s="22"/>
    </row>
    <row r="340" spans="1:30" s="23" customFormat="1" x14ac:dyDescent="0.3">
      <c r="A340" s="252"/>
      <c r="B340" s="253" t="s">
        <v>102</v>
      </c>
      <c r="C340" s="254"/>
      <c r="D340" s="254"/>
      <c r="E340" s="254"/>
      <c r="F340" s="254"/>
      <c r="G340" s="254"/>
      <c r="H340" s="255"/>
      <c r="I340" s="255"/>
      <c r="J340" s="255"/>
      <c r="K340" s="255"/>
      <c r="L340" s="255"/>
      <c r="M340" s="255"/>
      <c r="N340" s="255"/>
      <c r="O340" s="255"/>
      <c r="P340" s="256"/>
      <c r="Q340" s="204"/>
      <c r="R340" s="204"/>
      <c r="S340" s="204"/>
      <c r="T340" s="204"/>
      <c r="U340" s="204"/>
      <c r="V340" s="204"/>
      <c r="W340" s="204"/>
      <c r="X340" s="266">
        <v>0</v>
      </c>
      <c r="Y340" s="267">
        <f>+X340/X344</f>
        <v>0</v>
      </c>
      <c r="Z340" s="98">
        <v>0</v>
      </c>
      <c r="AA340" s="268">
        <f>+Z340/Z344</f>
        <v>0</v>
      </c>
      <c r="AB340" s="40"/>
      <c r="AC340" s="43"/>
      <c r="AD340" s="22"/>
    </row>
    <row r="341" spans="1:30" s="23" customFormat="1" x14ac:dyDescent="0.3">
      <c r="A341" s="252"/>
      <c r="B341" s="253" t="s">
        <v>103</v>
      </c>
      <c r="C341" s="254"/>
      <c r="D341" s="254"/>
      <c r="E341" s="254"/>
      <c r="F341" s="254"/>
      <c r="G341" s="254"/>
      <c r="H341" s="255"/>
      <c r="I341" s="255"/>
      <c r="J341" s="255"/>
      <c r="K341" s="255"/>
      <c r="L341" s="255"/>
      <c r="M341" s="255"/>
      <c r="N341" s="255"/>
      <c r="O341" s="255"/>
      <c r="P341" s="256"/>
      <c r="Q341" s="204"/>
      <c r="R341" s="204"/>
      <c r="S341" s="204"/>
      <c r="T341" s="204"/>
      <c r="U341" s="204"/>
      <c r="V341" s="204"/>
      <c r="W341" s="204"/>
      <c r="X341" s="266">
        <v>0</v>
      </c>
      <c r="Y341" s="267">
        <f>+X341/X344</f>
        <v>0</v>
      </c>
      <c r="Z341" s="98">
        <v>0</v>
      </c>
      <c r="AA341" s="268">
        <f>+Z341/Z344</f>
        <v>0</v>
      </c>
      <c r="AB341" s="40"/>
      <c r="AC341" s="43"/>
      <c r="AD341" s="22"/>
    </row>
    <row r="342" spans="1:30" s="23" customFormat="1" x14ac:dyDescent="0.3">
      <c r="A342" s="252"/>
      <c r="B342" s="253" t="s">
        <v>104</v>
      </c>
      <c r="C342" s="254"/>
      <c r="D342" s="254"/>
      <c r="E342" s="254"/>
      <c r="F342" s="254"/>
      <c r="G342" s="254"/>
      <c r="H342" s="255"/>
      <c r="I342" s="255"/>
      <c r="J342" s="255"/>
      <c r="K342" s="255"/>
      <c r="L342" s="255"/>
      <c r="M342" s="255"/>
      <c r="N342" s="255"/>
      <c r="O342" s="255"/>
      <c r="P342" s="256"/>
      <c r="Q342" s="204"/>
      <c r="R342" s="204"/>
      <c r="S342" s="204"/>
      <c r="T342" s="204"/>
      <c r="U342" s="204"/>
      <c r="V342" s="204"/>
      <c r="W342" s="204"/>
      <c r="X342" s="266">
        <v>0</v>
      </c>
      <c r="Y342" s="265">
        <f>+X342/X344</f>
        <v>0</v>
      </c>
      <c r="Z342" s="98">
        <v>0</v>
      </c>
      <c r="AA342" s="268">
        <f>+Z342/Z344</f>
        <v>0</v>
      </c>
      <c r="AB342" s="40"/>
      <c r="AC342" s="43"/>
      <c r="AD342" s="22"/>
    </row>
    <row r="343" spans="1:30" s="23" customFormat="1" x14ac:dyDescent="0.3">
      <c r="A343" s="252"/>
      <c r="B343" s="253"/>
      <c r="C343" s="254"/>
      <c r="D343" s="254"/>
      <c r="E343" s="254"/>
      <c r="F343" s="254"/>
      <c r="G343" s="254"/>
      <c r="H343" s="255"/>
      <c r="I343" s="255"/>
      <c r="J343" s="255"/>
      <c r="K343" s="255"/>
      <c r="L343" s="255"/>
      <c r="M343" s="255"/>
      <c r="N343" s="255"/>
      <c r="O343" s="255"/>
      <c r="P343" s="256"/>
      <c r="Q343" s="204"/>
      <c r="R343" s="204"/>
      <c r="S343" s="204"/>
      <c r="T343" s="204"/>
      <c r="U343" s="204"/>
      <c r="V343" s="204"/>
      <c r="W343" s="204"/>
      <c r="X343" s="266"/>
      <c r="Y343" s="268"/>
      <c r="Z343" s="98"/>
      <c r="AA343" s="268"/>
      <c r="AB343" s="40"/>
      <c r="AC343" s="43"/>
      <c r="AD343" s="22"/>
    </row>
    <row r="344" spans="1:30" s="23" customFormat="1" x14ac:dyDescent="0.3">
      <c r="A344" s="252"/>
      <c r="B344" s="254" t="s">
        <v>80</v>
      </c>
      <c r="C344" s="254"/>
      <c r="D344" s="254"/>
      <c r="E344" s="254"/>
      <c r="F344" s="254"/>
      <c r="G344" s="254"/>
      <c r="H344" s="255"/>
      <c r="I344" s="255"/>
      <c r="J344" s="255"/>
      <c r="K344" s="255"/>
      <c r="L344" s="255"/>
      <c r="M344" s="255"/>
      <c r="N344" s="255"/>
      <c r="O344" s="255"/>
      <c r="P344" s="256"/>
      <c r="Q344" s="204"/>
      <c r="R344" s="204"/>
      <c r="S344" s="204"/>
      <c r="T344" s="204"/>
      <c r="U344" s="204"/>
      <c r="V344" s="204"/>
      <c r="W344" s="204"/>
      <c r="X344" s="266">
        <f>SUM(X335:X342)</f>
        <v>23</v>
      </c>
      <c r="Y344" s="268">
        <f>SUM(Y335:Y342)</f>
        <v>1</v>
      </c>
      <c r="Z344" s="98">
        <f>SUM(Z335:Z342)</f>
        <v>3513</v>
      </c>
      <c r="AA344" s="268">
        <f>SUM(AA335:AA342)</f>
        <v>1</v>
      </c>
      <c r="AB344" s="40"/>
      <c r="AC344" s="43"/>
      <c r="AD344" s="22"/>
    </row>
    <row r="345" spans="1:30" s="23" customFormat="1" ht="16.2" thickBot="1" x14ac:dyDescent="0.35">
      <c r="A345" s="252"/>
      <c r="B345" s="254" t="s">
        <v>294</v>
      </c>
      <c r="C345" s="254"/>
      <c r="D345" s="254"/>
      <c r="E345" s="254"/>
      <c r="F345" s="254"/>
      <c r="G345" s="254"/>
      <c r="H345" s="255"/>
      <c r="I345" s="255"/>
      <c r="J345" s="255"/>
      <c r="K345" s="255"/>
      <c r="L345" s="255"/>
      <c r="M345" s="255"/>
      <c r="N345" s="255"/>
      <c r="O345" s="255"/>
      <c r="P345" s="256"/>
      <c r="Q345" s="204"/>
      <c r="R345" s="204"/>
      <c r="S345" s="204"/>
      <c r="T345" s="204"/>
      <c r="U345" s="204"/>
      <c r="V345" s="204"/>
      <c r="W345" s="204"/>
      <c r="X345" s="285"/>
      <c r="Y345" s="285">
        <f>+X344/X349</f>
        <v>5.7242409158785468E-3</v>
      </c>
      <c r="Z345" s="286"/>
      <c r="AA345" s="285">
        <f>+Z344/Z349</f>
        <v>4.7186854840984465E-3</v>
      </c>
      <c r="AB345" s="287"/>
      <c r="AC345" s="43"/>
      <c r="AD345" s="22"/>
    </row>
    <row r="346" spans="1:30" s="23" customFormat="1" ht="16.2" thickTop="1" x14ac:dyDescent="0.3">
      <c r="A346" s="252"/>
      <c r="B346" s="254" t="s">
        <v>336</v>
      </c>
      <c r="C346" s="254"/>
      <c r="D346" s="254"/>
      <c r="E346" s="254"/>
      <c r="F346" s="254"/>
      <c r="G346" s="254"/>
      <c r="H346" s="255"/>
      <c r="I346" s="255"/>
      <c r="J346" s="255"/>
      <c r="K346" s="255"/>
      <c r="L346" s="255"/>
      <c r="M346" s="255"/>
      <c r="N346" s="255"/>
      <c r="O346" s="255"/>
      <c r="P346" s="256"/>
      <c r="Q346" s="204"/>
      <c r="R346" s="204"/>
      <c r="S346" s="204"/>
      <c r="T346" s="204"/>
      <c r="U346" s="204"/>
      <c r="V346" s="204"/>
      <c r="W346" s="204"/>
      <c r="X346" s="290">
        <v>6</v>
      </c>
      <c r="Y346" s="291">
        <f>X346/X344</f>
        <v>0.2608695652173913</v>
      </c>
      <c r="Z346" s="292">
        <v>1203</v>
      </c>
      <c r="AA346" s="291">
        <f>Z346/Z344</f>
        <v>0.34244235695986336</v>
      </c>
      <c r="AB346" s="293">
        <v>0.65053763440860224</v>
      </c>
      <c r="AC346" s="43"/>
      <c r="AD346" s="22"/>
    </row>
    <row r="347" spans="1:30" s="23" customFormat="1" ht="16.2" thickBot="1" x14ac:dyDescent="0.35">
      <c r="A347" s="252"/>
      <c r="B347" s="254" t="s">
        <v>337</v>
      </c>
      <c r="C347" s="254"/>
      <c r="D347" s="254"/>
      <c r="E347" s="254"/>
      <c r="F347" s="254"/>
      <c r="G347" s="254"/>
      <c r="H347" s="255"/>
      <c r="I347" s="255"/>
      <c r="J347" s="255"/>
      <c r="K347" s="255"/>
      <c r="L347" s="255"/>
      <c r="M347" s="255"/>
      <c r="N347" s="255"/>
      <c r="O347" s="255"/>
      <c r="P347" s="256"/>
      <c r="Q347" s="204"/>
      <c r="R347" s="204"/>
      <c r="S347" s="204"/>
      <c r="T347" s="204"/>
      <c r="U347" s="204"/>
      <c r="V347" s="204"/>
      <c r="W347" s="204"/>
      <c r="X347" s="294">
        <v>17</v>
      </c>
      <c r="Y347" s="295">
        <f>X347/X344</f>
        <v>0.73913043478260865</v>
      </c>
      <c r="Z347" s="296">
        <v>2310</v>
      </c>
      <c r="AA347" s="295">
        <f>Z347/Z344</f>
        <v>0.65755764304013664</v>
      </c>
      <c r="AB347" s="297">
        <v>1.0929791271347249</v>
      </c>
      <c r="AC347" s="43"/>
      <c r="AD347" s="22"/>
    </row>
    <row r="348" spans="1:30" s="23" customFormat="1" ht="16.2" thickTop="1" x14ac:dyDescent="0.3">
      <c r="A348" s="252"/>
      <c r="B348" s="254"/>
      <c r="C348" s="254"/>
      <c r="D348" s="254"/>
      <c r="E348" s="254"/>
      <c r="F348" s="254"/>
      <c r="G348" s="254"/>
      <c r="H348" s="255"/>
      <c r="I348" s="255"/>
      <c r="J348" s="255"/>
      <c r="K348" s="255"/>
      <c r="L348" s="255"/>
      <c r="M348" s="255"/>
      <c r="N348" s="255"/>
      <c r="O348" s="255"/>
      <c r="P348" s="256"/>
      <c r="Q348" s="204"/>
      <c r="R348" s="204"/>
      <c r="S348" s="204"/>
      <c r="T348" s="204"/>
      <c r="U348" s="204"/>
      <c r="V348" s="204"/>
      <c r="W348" s="204"/>
      <c r="X348" s="288"/>
      <c r="Y348" s="202"/>
      <c r="Z348" s="289"/>
      <c r="AA348" s="202"/>
      <c r="AB348" s="281"/>
      <c r="AC348" s="43"/>
      <c r="AD348" s="22"/>
    </row>
    <row r="349" spans="1:30" s="23" customFormat="1" x14ac:dyDescent="0.3">
      <c r="A349" s="47"/>
      <c r="B349" s="44" t="s">
        <v>139</v>
      </c>
      <c r="C349" s="40"/>
      <c r="D349" s="204"/>
      <c r="E349" s="204"/>
      <c r="F349" s="204"/>
      <c r="G349" s="204"/>
      <c r="H349" s="204"/>
      <c r="I349" s="204"/>
      <c r="J349" s="204"/>
      <c r="K349" s="204"/>
      <c r="L349" s="204"/>
      <c r="M349" s="204"/>
      <c r="N349" s="204"/>
      <c r="O349" s="204"/>
      <c r="P349" s="204"/>
      <c r="Q349" s="204"/>
      <c r="R349" s="204"/>
      <c r="S349" s="204"/>
      <c r="T349" s="204"/>
      <c r="U349" s="204"/>
      <c r="V349" s="204"/>
      <c r="W349" s="204"/>
      <c r="X349" s="210">
        <f>X332+X310+X298</f>
        <v>4018</v>
      </c>
      <c r="Y349" s="198"/>
      <c r="Z349" s="211">
        <f>+Z332+Z310+Z298</f>
        <v>744487</v>
      </c>
      <c r="AA349" s="198"/>
      <c r="AB349" s="40"/>
      <c r="AC349" s="43"/>
      <c r="AD349" s="22"/>
    </row>
    <row r="350" spans="1:30" s="23" customFormat="1" x14ac:dyDescent="0.3">
      <c r="A350" s="47"/>
      <c r="B350" s="44" t="s">
        <v>280</v>
      </c>
      <c r="C350" s="44"/>
      <c r="D350" s="212"/>
      <c r="E350" s="212"/>
      <c r="F350" s="212"/>
      <c r="G350" s="212"/>
      <c r="H350" s="212"/>
      <c r="I350" s="212"/>
      <c r="J350" s="212"/>
      <c r="K350" s="212"/>
      <c r="L350" s="212"/>
      <c r="M350" s="212"/>
      <c r="N350" s="212"/>
      <c r="O350" s="212"/>
      <c r="P350" s="212"/>
      <c r="Q350" s="212"/>
      <c r="R350" s="212"/>
      <c r="S350" s="212"/>
      <c r="T350" s="212"/>
      <c r="U350" s="212"/>
      <c r="V350" s="212"/>
      <c r="W350" s="212"/>
      <c r="X350" s="210"/>
      <c r="Y350" s="213"/>
      <c r="Z350" s="211">
        <f>+AB64+AB63</f>
        <v>477</v>
      </c>
      <c r="AA350" s="198"/>
      <c r="AB350" s="40"/>
      <c r="AC350" s="43"/>
      <c r="AD350" s="22"/>
    </row>
    <row r="351" spans="1:30" s="23" customFormat="1" x14ac:dyDescent="0.3">
      <c r="A351" s="47"/>
      <c r="B351" s="44" t="s">
        <v>107</v>
      </c>
      <c r="C351" s="44"/>
      <c r="D351" s="212"/>
      <c r="E351" s="212"/>
      <c r="F351" s="212"/>
      <c r="G351" s="212"/>
      <c r="H351" s="212"/>
      <c r="I351" s="212"/>
      <c r="J351" s="212"/>
      <c r="K351" s="212"/>
      <c r="L351" s="212"/>
      <c r="M351" s="212"/>
      <c r="N351" s="212"/>
      <c r="O351" s="212"/>
      <c r="P351" s="212"/>
      <c r="Q351" s="212"/>
      <c r="R351" s="212"/>
      <c r="S351" s="212"/>
      <c r="T351" s="212"/>
      <c r="U351" s="212"/>
      <c r="V351" s="212"/>
      <c r="W351" s="212"/>
      <c r="X351" s="210"/>
      <c r="Y351" s="213"/>
      <c r="Z351" s="211">
        <f>+Z349+Z350</f>
        <v>744964</v>
      </c>
      <c r="AA351" s="198"/>
      <c r="AB351" s="40"/>
      <c r="AC351" s="43"/>
      <c r="AD351" s="22"/>
    </row>
    <row r="352" spans="1:30" s="23" customFormat="1" x14ac:dyDescent="0.3">
      <c r="A352" s="47"/>
      <c r="B352" s="44" t="s">
        <v>245</v>
      </c>
      <c r="C352" s="40"/>
      <c r="D352" s="204"/>
      <c r="E352" s="204"/>
      <c r="F352" s="204"/>
      <c r="G352" s="204"/>
      <c r="H352" s="204"/>
      <c r="I352" s="204"/>
      <c r="J352" s="204"/>
      <c r="K352" s="204"/>
      <c r="L352" s="204"/>
      <c r="M352" s="204"/>
      <c r="N352" s="204"/>
      <c r="O352" s="204"/>
      <c r="P352" s="204"/>
      <c r="Q352" s="204"/>
      <c r="R352" s="204"/>
      <c r="S352" s="204"/>
      <c r="T352" s="204"/>
      <c r="U352" s="204"/>
      <c r="V352" s="204"/>
      <c r="W352" s="204"/>
      <c r="X352" s="210"/>
      <c r="Y352" s="198"/>
      <c r="Z352" s="211">
        <f>+AB66</f>
        <v>744964</v>
      </c>
      <c r="AA352" s="198"/>
      <c r="AB352" s="40"/>
      <c r="AC352" s="43"/>
      <c r="AD352" s="22"/>
    </row>
    <row r="353" spans="1:30" s="23" customFormat="1" x14ac:dyDescent="0.3">
      <c r="A353" s="47"/>
      <c r="B353" s="44"/>
      <c r="C353" s="40"/>
      <c r="D353" s="204"/>
      <c r="E353" s="204"/>
      <c r="F353" s="204"/>
      <c r="G353" s="204"/>
      <c r="H353" s="204"/>
      <c r="I353" s="204"/>
      <c r="J353" s="204"/>
      <c r="K353" s="204"/>
      <c r="L353" s="204"/>
      <c r="M353" s="204"/>
      <c r="N353" s="204"/>
      <c r="O353" s="204"/>
      <c r="P353" s="204"/>
      <c r="Q353" s="204"/>
      <c r="R353" s="204"/>
      <c r="S353" s="204"/>
      <c r="T353" s="204"/>
      <c r="U353" s="204"/>
      <c r="V353" s="204"/>
      <c r="W353" s="204"/>
      <c r="X353" s="210"/>
      <c r="Y353" s="198"/>
      <c r="Z353" s="211"/>
      <c r="AA353" s="198"/>
      <c r="AB353" s="40"/>
      <c r="AC353" s="43"/>
      <c r="AD353" s="22"/>
    </row>
    <row r="354" spans="1:30" s="23" customFormat="1" x14ac:dyDescent="0.3">
      <c r="A354" s="47"/>
      <c r="B354" s="44" t="s">
        <v>327</v>
      </c>
      <c r="C354" s="40"/>
      <c r="D354" s="204"/>
      <c r="E354" s="204"/>
      <c r="F354" s="204"/>
      <c r="G354" s="204"/>
      <c r="H354" s="204"/>
      <c r="I354" s="204"/>
      <c r="J354" s="204"/>
      <c r="K354" s="204"/>
      <c r="L354" s="204"/>
      <c r="M354" s="204"/>
      <c r="N354" s="204"/>
      <c r="O354" s="204"/>
      <c r="P354" s="204"/>
      <c r="Q354" s="204"/>
      <c r="R354" s="204"/>
      <c r="S354" s="204"/>
      <c r="T354" s="204"/>
      <c r="U354" s="204"/>
      <c r="V354" s="204"/>
      <c r="W354" s="204"/>
      <c r="X354" s="210"/>
      <c r="Y354" s="198"/>
      <c r="Z354" s="236">
        <f>(F31+H31+J31+L31+N31)/AB31</f>
        <v>1</v>
      </c>
      <c r="AA354" s="198"/>
      <c r="AB354" s="40"/>
      <c r="AC354" s="43"/>
      <c r="AD354" s="22"/>
    </row>
    <row r="355" spans="1:30" s="23" customFormat="1" x14ac:dyDescent="0.3">
      <c r="A355" s="18"/>
      <c r="B355" s="20"/>
      <c r="C355" s="20"/>
      <c r="D355" s="214"/>
      <c r="E355" s="214"/>
      <c r="F355" s="214"/>
      <c r="G355" s="214"/>
      <c r="H355" s="214"/>
      <c r="I355" s="214"/>
      <c r="J355" s="214"/>
      <c r="K355" s="214"/>
      <c r="L355" s="214"/>
      <c r="M355" s="214"/>
      <c r="N355" s="214"/>
      <c r="O355" s="214"/>
      <c r="P355" s="214"/>
      <c r="Q355" s="214"/>
      <c r="R355" s="214"/>
      <c r="S355" s="214"/>
      <c r="T355" s="214"/>
      <c r="U355" s="214"/>
      <c r="V355" s="214"/>
      <c r="W355" s="214"/>
      <c r="X355" s="214"/>
      <c r="Y355" s="214"/>
      <c r="Z355" s="215"/>
      <c r="AA355" s="214"/>
      <c r="AB355" s="20"/>
      <c r="AC355" s="21"/>
      <c r="AD355" s="22"/>
    </row>
    <row r="356" spans="1:30" s="23" customFormat="1" x14ac:dyDescent="0.3">
      <c r="A356" s="18"/>
      <c r="B356" s="19" t="s">
        <v>62</v>
      </c>
      <c r="C356" s="20"/>
      <c r="D356" s="216" t="s">
        <v>66</v>
      </c>
      <c r="E356" s="19"/>
      <c r="F356" s="19" t="s">
        <v>67</v>
      </c>
      <c r="G356" s="20"/>
      <c r="H356" s="19"/>
      <c r="I356" s="20"/>
      <c r="J356" s="20"/>
      <c r="K356" s="20"/>
      <c r="L356" s="20"/>
      <c r="M356" s="20"/>
      <c r="N356" s="20"/>
      <c r="O356" s="20"/>
      <c r="P356" s="20"/>
      <c r="Q356" s="20"/>
      <c r="R356" s="20"/>
      <c r="S356" s="20"/>
      <c r="T356" s="20"/>
      <c r="U356" s="20"/>
      <c r="V356" s="20"/>
      <c r="W356" s="20"/>
      <c r="X356" s="20"/>
      <c r="Y356" s="20"/>
      <c r="Z356" s="20"/>
      <c r="AA356" s="20"/>
      <c r="AB356" s="20"/>
      <c r="AC356" s="21"/>
      <c r="AD356" s="22"/>
    </row>
    <row r="357" spans="1:30" s="23" customFormat="1" x14ac:dyDescent="0.3">
      <c r="A357" s="18"/>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1"/>
      <c r="AD357" s="22"/>
    </row>
    <row r="358" spans="1:30" s="23" customFormat="1" x14ac:dyDescent="0.3">
      <c r="A358" s="18"/>
      <c r="B358" s="19" t="s">
        <v>152</v>
      </c>
      <c r="C358" s="19"/>
      <c r="D358" s="217" t="s">
        <v>122</v>
      </c>
      <c r="E358" s="19"/>
      <c r="F358" s="19" t="s">
        <v>169</v>
      </c>
      <c r="G358" s="19"/>
      <c r="H358" s="19"/>
      <c r="I358" s="20"/>
      <c r="J358" s="20"/>
      <c r="K358" s="20"/>
      <c r="L358" s="20"/>
      <c r="M358" s="20"/>
      <c r="N358" s="20"/>
      <c r="O358" s="20"/>
      <c r="P358" s="20"/>
      <c r="Q358" s="20"/>
      <c r="R358" s="20"/>
      <c r="S358" s="20"/>
      <c r="T358" s="20"/>
      <c r="U358" s="20"/>
      <c r="V358" s="20"/>
      <c r="W358" s="20"/>
      <c r="X358" s="20"/>
      <c r="Y358" s="20"/>
      <c r="Z358" s="20"/>
      <c r="AA358" s="20"/>
      <c r="AB358" s="20"/>
      <c r="AC358" s="21"/>
      <c r="AD358" s="22"/>
    </row>
    <row r="359" spans="1:30" s="23" customFormat="1" x14ac:dyDescent="0.3">
      <c r="A359" s="18"/>
      <c r="B359" s="19" t="s">
        <v>153</v>
      </c>
      <c r="C359" s="19"/>
      <c r="D359" s="217" t="s">
        <v>98</v>
      </c>
      <c r="E359" s="19"/>
      <c r="F359" s="19" t="s">
        <v>170</v>
      </c>
      <c r="G359" s="19"/>
      <c r="H359" s="19"/>
      <c r="I359" s="20"/>
      <c r="J359" s="20"/>
      <c r="K359" s="20"/>
      <c r="L359" s="20"/>
      <c r="M359" s="20"/>
      <c r="N359" s="20"/>
      <c r="O359" s="20"/>
      <c r="P359" s="20"/>
      <c r="Q359" s="20"/>
      <c r="R359" s="20"/>
      <c r="S359" s="20"/>
      <c r="T359" s="20"/>
      <c r="U359" s="20"/>
      <c r="V359" s="20"/>
      <c r="W359" s="20"/>
      <c r="X359" s="20"/>
      <c r="Y359" s="20"/>
      <c r="Z359" s="20"/>
      <c r="AA359" s="20"/>
      <c r="AB359" s="20"/>
      <c r="AC359" s="21"/>
      <c r="AD359" s="22"/>
    </row>
    <row r="360" spans="1:30" s="23" customFormat="1" x14ac:dyDescent="0.3">
      <c r="A360" s="18"/>
      <c r="B360" s="19"/>
      <c r="C360" s="19"/>
      <c r="D360" s="217"/>
      <c r="E360" s="19"/>
      <c r="F360" s="19"/>
      <c r="G360" s="19"/>
      <c r="H360" s="19"/>
      <c r="I360" s="20"/>
      <c r="J360" s="20"/>
      <c r="K360" s="20"/>
      <c r="L360" s="20"/>
      <c r="M360" s="20"/>
      <c r="N360" s="20"/>
      <c r="O360" s="20"/>
      <c r="P360" s="20"/>
      <c r="Q360" s="20"/>
      <c r="R360" s="20"/>
      <c r="S360" s="20"/>
      <c r="T360" s="20"/>
      <c r="U360" s="20"/>
      <c r="V360" s="20"/>
      <c r="W360" s="20"/>
      <c r="X360" s="20"/>
      <c r="Y360" s="20"/>
      <c r="Z360" s="20"/>
      <c r="AA360" s="20"/>
      <c r="AB360" s="20"/>
      <c r="AC360" s="21"/>
      <c r="AD360" s="22"/>
    </row>
    <row r="361" spans="1:30" s="23" customFormat="1" x14ac:dyDescent="0.3">
      <c r="A361" s="18"/>
      <c r="B361" s="257" t="s">
        <v>326</v>
      </c>
      <c r="C361" s="19"/>
      <c r="D361" s="217"/>
      <c r="E361" s="19"/>
      <c r="F361" s="19"/>
      <c r="G361" s="19"/>
      <c r="H361" s="19"/>
      <c r="I361" s="20"/>
      <c r="J361" s="20"/>
      <c r="K361" s="20"/>
      <c r="L361" s="20"/>
      <c r="M361" s="20"/>
      <c r="N361" s="20"/>
      <c r="O361" s="20"/>
      <c r="P361" s="20"/>
      <c r="Q361" s="20"/>
      <c r="R361" s="20"/>
      <c r="S361" s="20"/>
      <c r="T361" s="20"/>
      <c r="U361" s="20"/>
      <c r="V361" s="20"/>
      <c r="W361" s="20"/>
      <c r="X361" s="20"/>
      <c r="Y361" s="20"/>
      <c r="Z361" s="20"/>
      <c r="AA361" s="20"/>
      <c r="AB361" s="20"/>
      <c r="AC361" s="21"/>
      <c r="AD361" s="22"/>
    </row>
    <row r="362" spans="1:30" x14ac:dyDescent="0.3">
      <c r="A362" s="218"/>
      <c r="B362" s="258"/>
      <c r="C362" s="219"/>
      <c r="D362" s="220"/>
      <c r="E362" s="220"/>
      <c r="F362" s="220"/>
      <c r="G362" s="220"/>
      <c r="H362" s="220"/>
      <c r="I362" s="220"/>
      <c r="J362" s="220"/>
      <c r="K362" s="220"/>
      <c r="L362" s="220"/>
      <c r="M362" s="220"/>
      <c r="N362" s="220"/>
      <c r="O362" s="220"/>
      <c r="P362" s="220"/>
      <c r="Q362" s="220"/>
      <c r="R362" s="220"/>
      <c r="S362" s="220"/>
      <c r="T362" s="220"/>
      <c r="U362" s="220"/>
      <c r="V362" s="220"/>
      <c r="W362" s="220"/>
      <c r="X362" s="220"/>
      <c r="Y362" s="220"/>
      <c r="Z362" s="220"/>
      <c r="AA362" s="220"/>
      <c r="AB362" s="220"/>
      <c r="AC362" s="221"/>
      <c r="AD362" s="5"/>
    </row>
    <row r="363" spans="1:30" ht="18" x14ac:dyDescent="0.35">
      <c r="A363" s="218"/>
      <c r="B363" s="259" t="s">
        <v>109</v>
      </c>
      <c r="C363" s="219"/>
      <c r="D363" s="220"/>
      <c r="E363" s="220"/>
      <c r="F363" s="220"/>
      <c r="G363" s="220"/>
      <c r="H363" s="220"/>
      <c r="I363" s="220"/>
      <c r="J363" s="220"/>
      <c r="K363" s="220"/>
      <c r="L363" s="220"/>
      <c r="M363" s="220"/>
      <c r="N363" s="220"/>
      <c r="O363" s="220"/>
      <c r="P363" s="260" t="s">
        <v>168</v>
      </c>
      <c r="Q363" s="220"/>
      <c r="R363" s="220"/>
      <c r="S363" s="220"/>
      <c r="T363" s="220"/>
      <c r="U363" s="220"/>
      <c r="V363" s="220"/>
      <c r="W363" s="220"/>
      <c r="X363" s="220"/>
      <c r="Y363" s="220"/>
      <c r="Z363" s="220"/>
      <c r="AA363" s="220"/>
      <c r="AB363" s="220"/>
      <c r="AC363" s="221"/>
      <c r="AD363" s="5"/>
    </row>
    <row r="364" spans="1:30" ht="18" x14ac:dyDescent="0.35">
      <c r="A364" s="218"/>
      <c r="B364" s="259"/>
      <c r="C364" s="219"/>
      <c r="D364" s="220"/>
      <c r="E364" s="220"/>
      <c r="F364" s="220"/>
      <c r="G364" s="220"/>
      <c r="H364" s="220"/>
      <c r="I364" s="220"/>
      <c r="J364" s="220"/>
      <c r="K364" s="220"/>
      <c r="L364" s="220"/>
      <c r="M364" s="220"/>
      <c r="N364" s="220"/>
      <c r="O364" s="220"/>
      <c r="P364" s="260"/>
      <c r="Q364" s="220"/>
      <c r="R364" s="220"/>
      <c r="S364" s="220"/>
      <c r="T364" s="220"/>
      <c r="U364" s="220"/>
      <c r="V364" s="220"/>
      <c r="W364" s="220"/>
      <c r="X364" s="220"/>
      <c r="Y364" s="220"/>
      <c r="Z364" s="220"/>
      <c r="AA364" s="220"/>
      <c r="AB364" s="220"/>
      <c r="AC364" s="221"/>
      <c r="AD364" s="5"/>
    </row>
    <row r="365" spans="1:30" ht="18.600000000000001" thickBot="1" x14ac:dyDescent="0.4">
      <c r="A365" s="218"/>
      <c r="B365" s="222" t="str">
        <f>B234</f>
        <v>PM27 INVESTOR REPORT QUARTER ENDING MARCH 2021</v>
      </c>
      <c r="C365" s="219"/>
      <c r="D365" s="220"/>
      <c r="E365" s="220"/>
      <c r="F365" s="220"/>
      <c r="G365" s="220"/>
      <c r="H365" s="220"/>
      <c r="I365" s="220"/>
      <c r="J365" s="220"/>
      <c r="K365" s="220"/>
      <c r="L365" s="220"/>
      <c r="M365" s="220"/>
      <c r="N365" s="220"/>
      <c r="O365" s="220"/>
      <c r="P365" s="220"/>
      <c r="Q365" s="220"/>
      <c r="R365" s="220"/>
      <c r="S365" s="220"/>
      <c r="T365" s="220"/>
      <c r="U365" s="220"/>
      <c r="V365" s="220"/>
      <c r="W365" s="220"/>
      <c r="X365" s="220"/>
      <c r="Y365" s="220"/>
      <c r="Z365" s="220"/>
      <c r="AA365" s="220"/>
      <c r="AB365" s="220"/>
      <c r="AC365" s="223"/>
      <c r="AD365" s="5"/>
    </row>
    <row r="366" spans="1:30" x14ac:dyDescent="0.3">
      <c r="A366" s="224"/>
      <c r="B366" s="224"/>
      <c r="C366" s="224"/>
      <c r="D366" s="224"/>
      <c r="E366" s="224"/>
      <c r="F366" s="224"/>
      <c r="G366" s="224"/>
      <c r="H366" s="224"/>
      <c r="I366" s="224"/>
      <c r="J366" s="224"/>
      <c r="K366" s="224"/>
      <c r="L366" s="224"/>
      <c r="M366" s="224"/>
      <c r="N366" s="224"/>
      <c r="O366" s="224"/>
      <c r="P366" s="224"/>
      <c r="Q366" s="224"/>
      <c r="R366" s="224"/>
      <c r="S366" s="224"/>
      <c r="T366" s="224"/>
      <c r="U366" s="224"/>
      <c r="V366" s="224"/>
      <c r="W366" s="224"/>
      <c r="X366" s="224"/>
      <c r="Y366" s="224"/>
      <c r="Z366" s="224"/>
      <c r="AA366" s="224"/>
      <c r="AB366" s="224"/>
      <c r="AC366" s="224"/>
    </row>
    <row r="368" spans="1:30" x14ac:dyDescent="0.3">
      <c r="B368" s="278" t="s">
        <v>284</v>
      </c>
    </row>
    <row r="369" spans="2:19" x14ac:dyDescent="0.3">
      <c r="B369" s="270" t="s">
        <v>285</v>
      </c>
    </row>
    <row r="370" spans="2:19" x14ac:dyDescent="0.3">
      <c r="B370" s="270" t="s">
        <v>286</v>
      </c>
    </row>
    <row r="371" spans="2:19" x14ac:dyDescent="0.3">
      <c r="B371" s="270" t="s">
        <v>287</v>
      </c>
    </row>
    <row r="372" spans="2:19" x14ac:dyDescent="0.3">
      <c r="B372" s="270" t="s">
        <v>288</v>
      </c>
    </row>
    <row r="373" spans="2:19" x14ac:dyDescent="0.3">
      <c r="B373" s="270" t="s">
        <v>289</v>
      </c>
    </row>
    <row r="374" spans="2:19" x14ac:dyDescent="0.3">
      <c r="B374" s="270" t="s">
        <v>290</v>
      </c>
    </row>
    <row r="375" spans="2:19" x14ac:dyDescent="0.3">
      <c r="B375" s="270" t="s">
        <v>291</v>
      </c>
    </row>
    <row r="376" spans="2:19" x14ac:dyDescent="0.3">
      <c r="B376" s="270"/>
    </row>
    <row r="377" spans="2:19" x14ac:dyDescent="0.3">
      <c r="B377" s="278" t="s">
        <v>328</v>
      </c>
    </row>
    <row r="378" spans="2:19" x14ac:dyDescent="0.3">
      <c r="B378" s="270" t="s">
        <v>342</v>
      </c>
    </row>
    <row r="379" spans="2:19" x14ac:dyDescent="0.3">
      <c r="B379" s="270" t="s">
        <v>344</v>
      </c>
    </row>
    <row r="380" spans="2:19" x14ac:dyDescent="0.3">
      <c r="B380" s="270"/>
    </row>
    <row r="381" spans="2:19" x14ac:dyDescent="0.3">
      <c r="B381" s="278" t="s">
        <v>292</v>
      </c>
    </row>
    <row r="382" spans="2:19" x14ac:dyDescent="0.3">
      <c r="B382" s="270" t="s">
        <v>293</v>
      </c>
    </row>
    <row r="383" spans="2:19" x14ac:dyDescent="0.3">
      <c r="B383" s="270" t="s">
        <v>339</v>
      </c>
      <c r="C383" s="271"/>
      <c r="D383" s="271"/>
      <c r="E383" s="271"/>
      <c r="F383" s="271"/>
      <c r="G383" s="271"/>
      <c r="H383" s="271"/>
      <c r="I383" s="271"/>
      <c r="J383" s="271"/>
      <c r="K383" s="271"/>
      <c r="L383" s="271"/>
      <c r="M383" s="271"/>
      <c r="N383" s="271"/>
      <c r="O383" s="271"/>
      <c r="P383" s="271"/>
      <c r="Q383" s="271"/>
      <c r="R383" s="271"/>
      <c r="S383" s="271"/>
    </row>
    <row r="384" spans="2:19" x14ac:dyDescent="0.3">
      <c r="B384" s="6" t="s">
        <v>338</v>
      </c>
      <c r="C384" s="271"/>
      <c r="D384" s="271"/>
      <c r="E384" s="271"/>
      <c r="F384" s="271"/>
      <c r="G384" s="271"/>
      <c r="H384" s="271"/>
      <c r="I384" s="271"/>
      <c r="J384" s="271"/>
      <c r="K384" s="271"/>
      <c r="L384" s="271"/>
      <c r="M384" s="271"/>
      <c r="N384" s="271"/>
      <c r="O384" s="271"/>
      <c r="P384" s="271"/>
      <c r="Q384" s="271"/>
      <c r="R384" s="271"/>
      <c r="S384" s="271"/>
    </row>
  </sheetData>
  <hyperlinks>
    <hyperlink ref="K9" r:id="rId1" display="http://www.paragon-group.co.uk" xr:uid="{C63B0E62-0950-4402-82DA-3F9452AD62AE}"/>
    <hyperlink ref="P363" r:id="rId2" xr:uid="{1EDE2CE3-4558-4827-85A3-581023B44B3F}"/>
    <hyperlink ref="P274" r:id="rId3" xr:uid="{582FE93E-37BA-4EDF-951A-2E8BD7A346EA}"/>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3" max="18" man="1"/>
    <brk id="131" max="18" man="1"/>
    <brk id="234" max="18" man="1"/>
  </rowBreaks>
  <colBreaks count="1" manualBreakCount="1">
    <brk id="29" max="299" man="1"/>
  </col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BB4CB-B30B-4CF1-B3DC-8075A0ED52E1}">
  <sheetPr>
    <tabColor rgb="FF89CB31"/>
  </sheetPr>
  <dimension ref="A1:JB384"/>
  <sheetViews>
    <sheetView showGridLines="0" showOutlineSymbols="0" zoomScale="70" zoomScaleNormal="70" workbookViewId="0"/>
  </sheetViews>
  <sheetFormatPr defaultColWidth="9.81640625" defaultRowHeight="15.6" x14ac:dyDescent="0.3"/>
  <cols>
    <col min="1" max="1" width="4" style="6" customWidth="1"/>
    <col min="2" max="2" width="71.08984375" style="6" customWidth="1"/>
    <col min="3" max="3" width="2.08984375" style="6" customWidth="1"/>
    <col min="4" max="4" width="16.08984375" style="6" customWidth="1"/>
    <col min="5" max="5" width="2.81640625" style="6" customWidth="1"/>
    <col min="6" max="6" width="16.08984375" style="6" customWidth="1"/>
    <col min="7" max="7" width="2.08984375" style="6" customWidth="1"/>
    <col min="8" max="8" width="17.81640625" style="6" customWidth="1"/>
    <col min="9" max="9" width="2.08984375" style="6" customWidth="1"/>
    <col min="10" max="10" width="14.8164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302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168</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301</v>
      </c>
      <c r="AC14" s="21"/>
      <c r="AD14" s="22"/>
    </row>
    <row r="15" spans="1:30" s="23" customFormat="1" x14ac:dyDescent="0.3">
      <c r="A15" s="18"/>
      <c r="B15" s="19" t="s">
        <v>278</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323</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3.6400000000000002E-2</v>
      </c>
      <c r="Z16" s="29" t="s">
        <v>264</v>
      </c>
      <c r="AA16" s="29">
        <v>0.96360000000000001</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3.2599999999999997E-2</v>
      </c>
      <c r="Z17" s="29" t="s">
        <v>264</v>
      </c>
      <c r="AA17" s="29">
        <v>0.96740000000000004</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6">
        <v>43951</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44399</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304</v>
      </c>
      <c r="G23" s="35"/>
      <c r="H23" s="35" t="s">
        <v>140</v>
      </c>
      <c r="I23" s="35"/>
      <c r="J23" s="35" t="s">
        <v>141</v>
      </c>
      <c r="K23" s="35"/>
      <c r="L23" s="35" t="s">
        <v>171</v>
      </c>
      <c r="M23" s="35"/>
      <c r="N23" s="35" t="s">
        <v>161</v>
      </c>
      <c r="O23" s="35"/>
      <c r="P23" s="35" t="s">
        <v>181</v>
      </c>
      <c r="Q23" s="35"/>
      <c r="R23" s="35" t="s">
        <v>182</v>
      </c>
      <c r="S23" s="35"/>
      <c r="T23" s="35" t="s">
        <v>183</v>
      </c>
      <c r="U23" s="35"/>
      <c r="V23" s="35" t="s">
        <v>184</v>
      </c>
      <c r="W23" s="35"/>
      <c r="X23" s="35" t="s">
        <v>185</v>
      </c>
      <c r="Y23" s="35" t="s">
        <v>186</v>
      </c>
      <c r="Z23" s="35"/>
      <c r="AA23" s="34"/>
      <c r="AB23" s="34"/>
      <c r="AC23" s="36"/>
      <c r="AD23" s="5"/>
    </row>
    <row r="24" spans="1:33" s="23" customFormat="1" x14ac:dyDescent="0.3">
      <c r="A24" s="18"/>
      <c r="B24" s="37" t="s">
        <v>158</v>
      </c>
      <c r="C24" s="38"/>
      <c r="D24" s="228"/>
      <c r="E24" s="228"/>
      <c r="F24" s="228" t="s">
        <v>220</v>
      </c>
      <c r="G24" s="228"/>
      <c r="H24" s="228" t="s">
        <v>221</v>
      </c>
      <c r="I24" s="228"/>
      <c r="J24" s="228" t="s">
        <v>269</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c r="E25" s="227"/>
      <c r="F25" s="227" t="s">
        <v>222</v>
      </c>
      <c r="G25" s="227"/>
      <c r="H25" s="227" t="s">
        <v>223</v>
      </c>
      <c r="I25" s="227"/>
      <c r="J25" s="227" t="s">
        <v>270</v>
      </c>
      <c r="K25" s="227"/>
      <c r="L25" s="227" t="s">
        <v>324</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159</v>
      </c>
      <c r="C26" s="41"/>
      <c r="D26" s="229"/>
      <c r="E26" s="229"/>
      <c r="F26" s="229" t="s">
        <v>220</v>
      </c>
      <c r="G26" s="229"/>
      <c r="H26" s="229" t="s">
        <v>221</v>
      </c>
      <c r="I26" s="229"/>
      <c r="J26" s="229" t="s">
        <v>269</v>
      </c>
      <c r="K26" s="229"/>
      <c r="L26" s="229" t="s">
        <v>271</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c r="E27" s="229"/>
      <c r="F27" s="229" t="s">
        <v>222</v>
      </c>
      <c r="G27" s="229"/>
      <c r="H27" s="229" t="s">
        <v>223</v>
      </c>
      <c r="I27" s="229"/>
      <c r="J27" s="229" t="s">
        <v>270</v>
      </c>
      <c r="K27" s="229"/>
      <c r="L27" s="229" t="s">
        <v>324</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c r="E28" s="227"/>
      <c r="F28" s="227" t="s">
        <v>313</v>
      </c>
      <c r="G28" s="227"/>
      <c r="H28" s="227" t="s">
        <v>314</v>
      </c>
      <c r="I28" s="227"/>
      <c r="J28" s="227" t="s">
        <v>315</v>
      </c>
      <c r="K28" s="227"/>
      <c r="L28" s="227" t="s">
        <v>316</v>
      </c>
      <c r="M28" s="227"/>
      <c r="N28" s="227" t="s">
        <v>317</v>
      </c>
      <c r="O28" s="227"/>
      <c r="P28" s="227" t="s">
        <v>318</v>
      </c>
      <c r="Q28" s="227"/>
      <c r="R28" s="227" t="s">
        <v>83</v>
      </c>
      <c r="S28" s="227"/>
      <c r="T28" s="227" t="s">
        <v>319</v>
      </c>
      <c r="U28" s="227"/>
      <c r="V28" s="227" t="s">
        <v>320</v>
      </c>
      <c r="W28" s="227"/>
      <c r="X28" s="227" t="s">
        <v>321</v>
      </c>
      <c r="Y28" s="227" t="s">
        <v>322</v>
      </c>
      <c r="Z28" s="227"/>
      <c r="AA28" s="49"/>
      <c r="AB28" s="50"/>
      <c r="AC28" s="51"/>
      <c r="AD28" s="22"/>
      <c r="AE28" s="45"/>
      <c r="AG28" s="46"/>
    </row>
    <row r="29" spans="1:33" s="23" customFormat="1" x14ac:dyDescent="0.3">
      <c r="A29" s="39"/>
      <c r="B29" s="40" t="s">
        <v>91</v>
      </c>
      <c r="C29" s="52"/>
      <c r="D29" s="54"/>
      <c r="E29" s="53"/>
      <c r="F29" s="54">
        <v>648307</v>
      </c>
      <c r="G29" s="55"/>
      <c r="H29" s="54">
        <v>41826</v>
      </c>
      <c r="I29" s="55"/>
      <c r="J29" s="54">
        <v>22814</v>
      </c>
      <c r="K29" s="55"/>
      <c r="L29" s="54">
        <v>22814</v>
      </c>
      <c r="M29" s="50"/>
      <c r="N29" s="54">
        <v>24717</v>
      </c>
      <c r="O29" s="54"/>
      <c r="P29" s="231">
        <v>11637</v>
      </c>
      <c r="Q29" s="231"/>
      <c r="R29" s="231">
        <v>4175</v>
      </c>
      <c r="S29" s="54"/>
      <c r="T29" s="54" t="s">
        <v>83</v>
      </c>
      <c r="U29" s="54"/>
      <c r="V29" s="54" t="s">
        <v>83</v>
      </c>
      <c r="W29" s="54"/>
      <c r="X29" s="54" t="s">
        <v>83</v>
      </c>
      <c r="Y29" s="54" t="s">
        <v>83</v>
      </c>
      <c r="Z29" s="54"/>
      <c r="AA29" s="52"/>
      <c r="AB29" s="50">
        <f>SUM(F29:N29)</f>
        <v>760478</v>
      </c>
      <c r="AC29" s="51"/>
      <c r="AD29" s="22"/>
    </row>
    <row r="30" spans="1:33" s="23" customFormat="1" x14ac:dyDescent="0.3">
      <c r="A30" s="47"/>
      <c r="B30" s="40" t="s">
        <v>90</v>
      </c>
      <c r="C30" s="49"/>
      <c r="D30" s="54"/>
      <c r="E30" s="54"/>
      <c r="F30" s="54">
        <f>F29*F33</f>
        <v>632793.01349000004</v>
      </c>
      <c r="G30" s="54"/>
      <c r="H30" s="54">
        <f>H29</f>
        <v>41826</v>
      </c>
      <c r="I30" s="54"/>
      <c r="J30" s="54">
        <f>J29</f>
        <v>22814</v>
      </c>
      <c r="K30" s="54"/>
      <c r="L30" s="54">
        <f>L29</f>
        <v>22814</v>
      </c>
      <c r="M30" s="54"/>
      <c r="N30" s="54">
        <f>N29</f>
        <v>24717</v>
      </c>
      <c r="O30" s="54"/>
      <c r="P30" s="54">
        <f>P29*P33</f>
        <v>10902.239820000001</v>
      </c>
      <c r="Q30" s="54"/>
      <c r="R30" s="54">
        <f>'December 2020'!R31</f>
        <v>0</v>
      </c>
      <c r="S30" s="54"/>
      <c r="T30" s="54" t="s">
        <v>83</v>
      </c>
      <c r="U30" s="54"/>
      <c r="V30" s="54" t="s">
        <v>83</v>
      </c>
      <c r="W30" s="54"/>
      <c r="X30" s="54" t="s">
        <v>83</v>
      </c>
      <c r="Y30" s="54" t="s">
        <v>83</v>
      </c>
      <c r="Z30" s="54"/>
      <c r="AA30" s="49"/>
      <c r="AB30" s="50">
        <f>SUM(F30:N30)</f>
        <v>744964.01349000004</v>
      </c>
      <c r="AC30" s="51"/>
      <c r="AD30" s="22"/>
    </row>
    <row r="31" spans="1:33" s="23" customFormat="1" x14ac:dyDescent="0.3">
      <c r="A31" s="47"/>
      <c r="B31" s="44" t="s">
        <v>92</v>
      </c>
      <c r="C31" s="49"/>
      <c r="D31" s="57"/>
      <c r="E31" s="57"/>
      <c r="F31" s="57">
        <f>F29*F32</f>
        <v>624177.01345999993</v>
      </c>
      <c r="G31" s="57"/>
      <c r="H31" s="57">
        <f>H29</f>
        <v>41826</v>
      </c>
      <c r="I31" s="57"/>
      <c r="J31" s="57">
        <f>J29</f>
        <v>22814</v>
      </c>
      <c r="K31" s="57"/>
      <c r="L31" s="57">
        <f>L29</f>
        <v>22814</v>
      </c>
      <c r="M31" s="57"/>
      <c r="N31" s="57">
        <f>N29</f>
        <v>24717</v>
      </c>
      <c r="O31" s="57"/>
      <c r="P31" s="57">
        <f>P29*P32</f>
        <v>10803.20895</v>
      </c>
      <c r="Q31" s="57"/>
      <c r="R31" s="57">
        <v>0</v>
      </c>
      <c r="S31" s="57"/>
      <c r="T31" s="57" t="s">
        <v>83</v>
      </c>
      <c r="U31" s="57"/>
      <c r="V31" s="57" t="s">
        <v>83</v>
      </c>
      <c r="W31" s="57"/>
      <c r="X31" s="57" t="s">
        <v>83</v>
      </c>
      <c r="Y31" s="57" t="s">
        <v>83</v>
      </c>
      <c r="Z31" s="57"/>
      <c r="AA31" s="49"/>
      <c r="AB31" s="56">
        <f>SUM(F31:N31)</f>
        <v>736348.01345999993</v>
      </c>
      <c r="AC31" s="51"/>
      <c r="AD31" s="22"/>
      <c r="AE31" s="235"/>
    </row>
    <row r="32" spans="1:33" s="65" customFormat="1" x14ac:dyDescent="0.3">
      <c r="A32" s="58"/>
      <c r="B32" s="166" t="s">
        <v>88</v>
      </c>
      <c r="C32" s="61"/>
      <c r="D32" s="60"/>
      <c r="E32" s="60"/>
      <c r="F32" s="60">
        <v>0.96277999999999997</v>
      </c>
      <c r="G32" s="60"/>
      <c r="H32" s="60">
        <v>1</v>
      </c>
      <c r="I32" s="60"/>
      <c r="J32" s="60">
        <v>1</v>
      </c>
      <c r="K32" s="60"/>
      <c r="L32" s="60">
        <v>1</v>
      </c>
      <c r="M32" s="60"/>
      <c r="N32" s="60">
        <v>1</v>
      </c>
      <c r="O32" s="60"/>
      <c r="P32" s="60">
        <v>0.92835000000000001</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c r="E33" s="225"/>
      <c r="F33" s="60">
        <v>0.97606999999999999</v>
      </c>
      <c r="G33" s="225"/>
      <c r="H33" s="225">
        <v>1</v>
      </c>
      <c r="I33" s="225"/>
      <c r="J33" s="225">
        <v>1</v>
      </c>
      <c r="K33" s="225"/>
      <c r="L33" s="225">
        <v>1</v>
      </c>
      <c r="M33" s="225"/>
      <c r="N33" s="225">
        <v>1</v>
      </c>
      <c r="O33" s="225"/>
      <c r="P33" s="60">
        <v>0.93686000000000003</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c r="E34" s="48"/>
      <c r="F34" s="48" t="s">
        <v>305</v>
      </c>
      <c r="G34" s="48"/>
      <c r="H34" s="48" t="s">
        <v>306</v>
      </c>
      <c r="I34" s="48"/>
      <c r="J34" s="48" t="s">
        <v>273</v>
      </c>
      <c r="K34" s="48"/>
      <c r="L34" s="48" t="s">
        <v>307</v>
      </c>
      <c r="M34" s="48"/>
      <c r="N34" s="48" t="s">
        <v>308</v>
      </c>
      <c r="O34" s="48"/>
      <c r="P34" s="48" t="s">
        <v>254</v>
      </c>
      <c r="Q34" s="48"/>
      <c r="R34" s="48" t="s">
        <v>254</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c r="E35" s="241"/>
      <c r="F35" s="241">
        <v>1.1495E-2</v>
      </c>
      <c r="G35" s="241"/>
      <c r="H35" s="241">
        <v>1.5495E-2</v>
      </c>
      <c r="I35" s="241"/>
      <c r="J35" s="241">
        <v>1.8495000000000001E-2</v>
      </c>
      <c r="K35" s="241"/>
      <c r="L35" s="241">
        <v>2.1495E-2</v>
      </c>
      <c r="M35" s="241"/>
      <c r="N35" s="241">
        <v>3.1495000000000002E-2</v>
      </c>
      <c r="O35" s="241"/>
      <c r="P35" s="241">
        <v>4.0495000000000003E-2</v>
      </c>
      <c r="Q35" s="241"/>
      <c r="R35" s="241">
        <v>4.0495000000000003E-2</v>
      </c>
      <c r="S35" s="68"/>
      <c r="T35" s="68" t="s">
        <v>83</v>
      </c>
      <c r="U35" s="68"/>
      <c r="V35" s="68" t="s">
        <v>83</v>
      </c>
      <c r="W35" s="68"/>
      <c r="X35" s="68" t="s">
        <v>83</v>
      </c>
      <c r="Y35" s="68" t="s">
        <v>83</v>
      </c>
      <c r="Z35" s="68"/>
      <c r="AA35" s="40"/>
      <c r="AB35" s="67">
        <f>SUMPRODUCT(D35:N35,D30:N30)/AB30</f>
        <v>1.2903768720361938E-2</v>
      </c>
      <c r="AC35" s="43"/>
      <c r="AD35" s="22"/>
    </row>
    <row r="36" spans="1:30" s="23" customFormat="1" x14ac:dyDescent="0.3">
      <c r="A36" s="47"/>
      <c r="B36" s="40" t="s">
        <v>10</v>
      </c>
      <c r="C36" s="69"/>
      <c r="D36" s="241"/>
      <c r="E36" s="241"/>
      <c r="F36" s="241">
        <v>1.1489299999999999E-2</v>
      </c>
      <c r="G36" s="241"/>
      <c r="H36" s="241">
        <v>1.5489299999999999E-2</v>
      </c>
      <c r="I36" s="241"/>
      <c r="J36" s="241">
        <v>1.84893E-2</v>
      </c>
      <c r="K36" s="241"/>
      <c r="L36" s="241">
        <v>2.1489299999999999E-2</v>
      </c>
      <c r="M36" s="241"/>
      <c r="N36" s="241">
        <v>3.1489299999999998E-2</v>
      </c>
      <c r="O36" s="241"/>
      <c r="P36" s="241">
        <v>4.0489299999999999E-2</v>
      </c>
      <c r="Q36" s="241"/>
      <c r="R36" s="241">
        <v>4.0489299999999999E-2</v>
      </c>
      <c r="S36" s="68"/>
      <c r="T36" s="68" t="s">
        <v>83</v>
      </c>
      <c r="U36" s="68"/>
      <c r="V36" s="68" t="s">
        <v>83</v>
      </c>
      <c r="W36" s="68"/>
      <c r="X36" s="68" t="s">
        <v>83</v>
      </c>
      <c r="Y36" s="68" t="s">
        <v>83</v>
      </c>
      <c r="Z36" s="68"/>
      <c r="AA36" s="40"/>
      <c r="AB36" s="40"/>
      <c r="AC36" s="43"/>
      <c r="AD36" s="22"/>
    </row>
    <row r="37" spans="1:30" s="23" customFormat="1" x14ac:dyDescent="0.3">
      <c r="A37" s="47"/>
      <c r="B37" s="40" t="s">
        <v>160</v>
      </c>
      <c r="C37" s="40"/>
      <c r="D37" s="69"/>
      <c r="E37" s="69"/>
      <c r="F37" s="69">
        <v>45945</v>
      </c>
      <c r="G37" s="69"/>
      <c r="H37" s="69">
        <v>45945</v>
      </c>
      <c r="I37" s="69"/>
      <c r="J37" s="69">
        <v>45945</v>
      </c>
      <c r="K37" s="69"/>
      <c r="L37" s="69">
        <v>45945</v>
      </c>
      <c r="M37" s="69"/>
      <c r="N37" s="69">
        <v>45945</v>
      </c>
      <c r="O37" s="69"/>
      <c r="P37" s="69">
        <v>45945</v>
      </c>
      <c r="Q37" s="69"/>
      <c r="R37" s="69">
        <v>45945</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c r="E38" s="69"/>
      <c r="F38" s="69">
        <v>45945</v>
      </c>
      <c r="G38" s="48"/>
      <c r="H38" s="69">
        <v>45945</v>
      </c>
      <c r="I38" s="48"/>
      <c r="J38" s="69">
        <v>45945</v>
      </c>
      <c r="K38" s="48"/>
      <c r="L38" s="69">
        <v>45945</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c r="E39" s="48"/>
      <c r="F39" s="48" t="s">
        <v>309</v>
      </c>
      <c r="G39" s="48"/>
      <c r="H39" s="48" t="s">
        <v>272</v>
      </c>
      <c r="I39" s="48"/>
      <c r="J39" s="48" t="s">
        <v>310</v>
      </c>
      <c r="K39" s="48"/>
      <c r="L39" s="48" t="s">
        <v>308</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7" t="s">
        <v>110</v>
      </c>
      <c r="AC40" s="43"/>
      <c r="AD40" s="22"/>
    </row>
    <row r="41" spans="1:30" s="23" customFormat="1" x14ac:dyDescent="0.3">
      <c r="A41" s="47"/>
      <c r="B41" s="40" t="s">
        <v>253</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32">
        <f>SUM(G29:N29)/F29</f>
        <v>0.17302142349226524</v>
      </c>
      <c r="AC41" s="43"/>
      <c r="AD41" s="22"/>
    </row>
    <row r="42" spans="1:30" s="23" customFormat="1" x14ac:dyDescent="0.3">
      <c r="A42" s="47"/>
      <c r="B42" s="40" t="s">
        <v>252</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32">
        <f>SUM(G31:N31)/F31</f>
        <v>0.17971023857191182</v>
      </c>
      <c r="AC42" s="43"/>
      <c r="AD42" s="22"/>
    </row>
    <row r="43" spans="1:30" s="23" customFormat="1" x14ac:dyDescent="0.3">
      <c r="A43" s="47"/>
      <c r="B43" s="40" t="s">
        <v>197</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1"/>
      <c r="AC44" s="43"/>
      <c r="AD44" s="22"/>
    </row>
    <row r="45" spans="1:30" s="23" customFormat="1" x14ac:dyDescent="0.3">
      <c r="A45" s="47"/>
      <c r="B45" s="40" t="s">
        <v>196</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2"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3"/>
      <c r="AA46" s="73"/>
      <c r="AB46" s="74">
        <v>44392</v>
      </c>
      <c r="AC46" s="43"/>
      <c r="AD46" s="22"/>
    </row>
    <row r="47" spans="1:30" s="23" customFormat="1" x14ac:dyDescent="0.3">
      <c r="A47" s="47"/>
      <c r="B47" s="40" t="s">
        <v>85</v>
      </c>
      <c r="C47" s="40"/>
      <c r="D47" s="75"/>
      <c r="E47" s="75"/>
      <c r="F47" s="75"/>
      <c r="G47" s="75"/>
      <c r="H47" s="75"/>
      <c r="I47" s="75"/>
      <c r="J47" s="75"/>
      <c r="K47" s="75"/>
      <c r="L47" s="75"/>
      <c r="M47" s="75"/>
      <c r="N47" s="75"/>
      <c r="O47" s="75"/>
      <c r="P47" s="75"/>
      <c r="Q47" s="75"/>
      <c r="R47" s="75"/>
      <c r="S47" s="75"/>
      <c r="T47" s="75"/>
      <c r="U47" s="75"/>
      <c r="V47" s="75"/>
      <c r="W47" s="75"/>
      <c r="X47" s="280">
        <f>+AB47-Z47+1</f>
        <v>90</v>
      </c>
      <c r="Y47" s="40"/>
      <c r="Z47" s="76">
        <v>44211</v>
      </c>
      <c r="AA47" s="77"/>
      <c r="AB47" s="76">
        <v>44300</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80">
        <f>+AB48-Z48+1</f>
        <v>91</v>
      </c>
      <c r="Y48" s="40"/>
      <c r="Z48" s="76">
        <v>44301</v>
      </c>
      <c r="AA48" s="77"/>
      <c r="AB48" s="76">
        <v>44391</v>
      </c>
      <c r="AC48" s="43"/>
      <c r="AD48" s="22"/>
    </row>
    <row r="49" spans="1:31" s="23" customFormat="1" x14ac:dyDescent="0.3">
      <c r="A49" s="47"/>
      <c r="B49" s="40" t="s">
        <v>187</v>
      </c>
      <c r="C49" s="40"/>
      <c r="D49" s="40"/>
      <c r="E49" s="40"/>
      <c r="F49" s="40"/>
      <c r="G49" s="40"/>
      <c r="H49" s="40"/>
      <c r="I49" s="40"/>
      <c r="J49" s="40"/>
      <c r="K49" s="40"/>
      <c r="L49" s="40"/>
      <c r="M49" s="40"/>
      <c r="N49" s="40"/>
      <c r="O49" s="40"/>
      <c r="P49" s="40"/>
      <c r="Q49" s="40"/>
      <c r="R49" s="40"/>
      <c r="S49" s="40"/>
      <c r="T49" s="40"/>
      <c r="U49" s="40"/>
      <c r="V49" s="40"/>
      <c r="W49" s="40"/>
      <c r="X49" s="40"/>
      <c r="Y49" s="40"/>
      <c r="Z49" s="76"/>
      <c r="AA49" s="77"/>
      <c r="AB49" s="76" t="s">
        <v>99</v>
      </c>
      <c r="AC49" s="43"/>
      <c r="AD49" s="22"/>
      <c r="AE49" s="78"/>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v>44391</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9"/>
      <c r="AA51" s="80"/>
      <c r="AB51" s="79"/>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1"/>
      <c r="AA52" s="82"/>
      <c r="AB52" s="81"/>
      <c r="AC52" s="21"/>
      <c r="AD52" s="22"/>
    </row>
    <row r="53" spans="1:31" s="23" customFormat="1" ht="18.600000000000001" thickBot="1" x14ac:dyDescent="0.4">
      <c r="A53" s="83"/>
      <c r="B53" s="84" t="s">
        <v>345</v>
      </c>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6"/>
      <c r="AC53" s="87"/>
      <c r="AD53" s="22"/>
    </row>
    <row r="54" spans="1:31" x14ac:dyDescent="0.3">
      <c r="A54" s="33"/>
      <c r="B54" s="88" t="s">
        <v>13</v>
      </c>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90"/>
      <c r="AC54" s="89"/>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1"/>
      <c r="AC55" s="10"/>
      <c r="AD55" s="5"/>
    </row>
    <row r="56" spans="1:31" s="65" customFormat="1" ht="46.8" x14ac:dyDescent="0.3">
      <c r="A56" s="92"/>
      <c r="B56" s="93" t="s">
        <v>14</v>
      </c>
      <c r="C56" s="94"/>
      <c r="D56" s="94"/>
      <c r="E56" s="94"/>
      <c r="F56" s="94"/>
      <c r="G56" s="94"/>
      <c r="H56" s="94"/>
      <c r="I56" s="94"/>
      <c r="J56" s="94"/>
      <c r="K56" s="94"/>
      <c r="L56" s="94"/>
      <c r="M56" s="94"/>
      <c r="N56" s="94"/>
      <c r="O56" s="94"/>
      <c r="P56" s="94" t="s">
        <v>63</v>
      </c>
      <c r="Q56" s="94"/>
      <c r="R56" s="94" t="s">
        <v>65</v>
      </c>
      <c r="S56" s="94"/>
      <c r="T56" s="94" t="s">
        <v>135</v>
      </c>
      <c r="U56" s="94"/>
      <c r="V56" s="94" t="s">
        <v>136</v>
      </c>
      <c r="W56" s="94"/>
      <c r="X56" s="94" t="s">
        <v>68</v>
      </c>
      <c r="Y56" s="94"/>
      <c r="Z56" s="94" t="s">
        <v>72</v>
      </c>
      <c r="AA56" s="94"/>
      <c r="AB56" s="95" t="s">
        <v>78</v>
      </c>
      <c r="AC56" s="96"/>
      <c r="AD56" s="64"/>
    </row>
    <row r="57" spans="1:31" s="23" customFormat="1" x14ac:dyDescent="0.3">
      <c r="A57" s="47"/>
      <c r="B57" s="40" t="s">
        <v>15</v>
      </c>
      <c r="C57" s="97"/>
      <c r="D57" s="97"/>
      <c r="E57" s="97"/>
      <c r="F57" s="97"/>
      <c r="G57" s="97"/>
      <c r="H57" s="98"/>
      <c r="I57" s="97"/>
      <c r="J57" s="98"/>
      <c r="K57" s="97"/>
      <c r="L57" s="97"/>
      <c r="M57" s="97"/>
      <c r="N57" s="97"/>
      <c r="O57" s="97"/>
      <c r="P57" s="238">
        <v>759666</v>
      </c>
      <c r="Q57" s="238"/>
      <c r="R57" s="237">
        <v>744487</v>
      </c>
      <c r="S57" s="238"/>
      <c r="T57" s="237">
        <f>341+18</f>
        <v>359</v>
      </c>
      <c r="U57" s="238"/>
      <c r="V57" s="238">
        <v>8253</v>
      </c>
      <c r="W57" s="238"/>
      <c r="X57" s="238">
        <v>30</v>
      </c>
      <c r="Y57" s="238"/>
      <c r="Z57" s="238">
        <v>0</v>
      </c>
      <c r="AA57" s="238"/>
      <c r="AB57" s="237">
        <f>R57-T57-V57+X57-Z57</f>
        <v>735905</v>
      </c>
      <c r="AC57" s="43"/>
      <c r="AD57" s="22"/>
      <c r="AE57" s="271"/>
    </row>
    <row r="58" spans="1:31" s="23" customFormat="1" x14ac:dyDescent="0.3">
      <c r="A58" s="47"/>
      <c r="B58" s="40" t="s">
        <v>16</v>
      </c>
      <c r="C58" s="97"/>
      <c r="D58" s="97"/>
      <c r="E58" s="97"/>
      <c r="F58" s="97"/>
      <c r="G58" s="97"/>
      <c r="H58" s="98"/>
      <c r="I58" s="97"/>
      <c r="J58" s="98"/>
      <c r="K58" s="97"/>
      <c r="L58" s="97"/>
      <c r="M58" s="97"/>
      <c r="N58" s="97"/>
      <c r="O58" s="97"/>
      <c r="P58" s="238">
        <v>0</v>
      </c>
      <c r="Q58" s="238"/>
      <c r="R58" s="237">
        <v>0</v>
      </c>
      <c r="S58" s="238"/>
      <c r="T58" s="237">
        <v>0</v>
      </c>
      <c r="U58" s="238"/>
      <c r="V58" s="238">
        <v>0</v>
      </c>
      <c r="W58" s="238"/>
      <c r="X58" s="238">
        <v>0</v>
      </c>
      <c r="Y58" s="238"/>
      <c r="Z58" s="238">
        <v>0</v>
      </c>
      <c r="AA58" s="238"/>
      <c r="AB58" s="237">
        <f>F58-J58-L58</f>
        <v>0</v>
      </c>
      <c r="AC58" s="43"/>
      <c r="AD58" s="22"/>
    </row>
    <row r="59" spans="1:31" s="23" customFormat="1" x14ac:dyDescent="0.3">
      <c r="A59" s="47"/>
      <c r="B59" s="40"/>
      <c r="C59" s="97"/>
      <c r="D59" s="97"/>
      <c r="E59" s="97"/>
      <c r="F59" s="97"/>
      <c r="G59" s="97"/>
      <c r="H59" s="98"/>
      <c r="I59" s="97"/>
      <c r="J59" s="98"/>
      <c r="K59" s="97"/>
      <c r="L59" s="97"/>
      <c r="M59" s="97"/>
      <c r="N59" s="97"/>
      <c r="O59" s="97"/>
      <c r="P59" s="238"/>
      <c r="Q59" s="238"/>
      <c r="R59" s="237"/>
      <c r="S59" s="238"/>
      <c r="T59" s="237"/>
      <c r="U59" s="238"/>
      <c r="V59" s="238"/>
      <c r="W59" s="238"/>
      <c r="X59" s="238"/>
      <c r="Y59" s="238"/>
      <c r="Z59" s="238"/>
      <c r="AA59" s="238"/>
      <c r="AB59" s="237"/>
      <c r="AC59" s="43"/>
      <c r="AD59" s="22"/>
    </row>
    <row r="60" spans="1:31" s="23" customFormat="1" x14ac:dyDescent="0.3">
      <c r="A60" s="47"/>
      <c r="B60" s="40" t="s">
        <v>17</v>
      </c>
      <c r="C60" s="97"/>
      <c r="D60" s="97"/>
      <c r="E60" s="97"/>
      <c r="F60" s="97"/>
      <c r="G60" s="97"/>
      <c r="H60" s="97"/>
      <c r="I60" s="97"/>
      <c r="J60" s="97"/>
      <c r="K60" s="97"/>
      <c r="L60" s="97"/>
      <c r="M60" s="97"/>
      <c r="N60" s="97"/>
      <c r="O60" s="97"/>
      <c r="P60" s="238">
        <f>SUM(P57:P59)</f>
        <v>759666</v>
      </c>
      <c r="Q60" s="238"/>
      <c r="R60" s="238">
        <f>R57+R58</f>
        <v>744487</v>
      </c>
      <c r="S60" s="238"/>
      <c r="T60" s="238">
        <f>T57+T58</f>
        <v>359</v>
      </c>
      <c r="U60" s="238"/>
      <c r="V60" s="238">
        <f>SUM(V57:V59)</f>
        <v>8253</v>
      </c>
      <c r="W60" s="238"/>
      <c r="X60" s="238">
        <f>SUM(X57:X59)</f>
        <v>30</v>
      </c>
      <c r="Y60" s="238"/>
      <c r="Z60" s="238">
        <f>SUM(Z57:Z59)</f>
        <v>0</v>
      </c>
      <c r="AA60" s="238"/>
      <c r="AB60" s="238">
        <f>SUM(AB57:AB59)</f>
        <v>735905</v>
      </c>
      <c r="AC60" s="43"/>
      <c r="AD60" s="22"/>
    </row>
    <row r="61" spans="1:31" s="23" customFormat="1" ht="32.1" customHeight="1" x14ac:dyDescent="0.3">
      <c r="A61" s="47"/>
      <c r="B61" s="40"/>
      <c r="C61" s="97"/>
      <c r="D61" s="97"/>
      <c r="E61" s="97"/>
      <c r="F61" s="97"/>
      <c r="G61" s="97"/>
      <c r="H61" s="97"/>
      <c r="I61" s="97"/>
      <c r="J61" s="97"/>
      <c r="K61" s="97"/>
      <c r="L61" s="97"/>
      <c r="M61" s="97"/>
      <c r="N61" s="97"/>
      <c r="O61" s="97"/>
      <c r="P61" s="238"/>
      <c r="Q61" s="238"/>
      <c r="R61" s="238"/>
      <c r="S61" s="238"/>
      <c r="T61" s="238"/>
      <c r="U61" s="238"/>
      <c r="V61" s="238"/>
      <c r="W61" s="238"/>
      <c r="X61" s="238"/>
      <c r="Y61" s="238"/>
      <c r="Z61" s="238"/>
      <c r="AA61" s="238"/>
      <c r="AB61" s="238"/>
      <c r="AC61" s="43"/>
      <c r="AD61" s="22"/>
    </row>
    <row r="62" spans="1:31" s="23" customFormat="1" x14ac:dyDescent="0.3">
      <c r="A62" s="47"/>
      <c r="B62" s="40" t="s">
        <v>18</v>
      </c>
      <c r="C62" s="97"/>
      <c r="D62" s="97"/>
      <c r="E62" s="97"/>
      <c r="F62" s="97"/>
      <c r="G62" s="97"/>
      <c r="H62" s="97"/>
      <c r="I62" s="97"/>
      <c r="J62" s="97"/>
      <c r="K62" s="97"/>
      <c r="L62" s="97"/>
      <c r="M62" s="97"/>
      <c r="N62" s="97"/>
      <c r="O62" s="97"/>
      <c r="P62" s="238">
        <v>0</v>
      </c>
      <c r="Q62" s="238"/>
      <c r="R62" s="238">
        <v>0</v>
      </c>
      <c r="S62" s="238"/>
      <c r="T62" s="238"/>
      <c r="U62" s="238"/>
      <c r="V62" s="238"/>
      <c r="W62" s="238"/>
      <c r="X62" s="238"/>
      <c r="Y62" s="238"/>
      <c r="Z62" s="238"/>
      <c r="AA62" s="238"/>
      <c r="AB62" s="237">
        <v>0</v>
      </c>
      <c r="AC62" s="43"/>
      <c r="AD62" s="22"/>
    </row>
    <row r="63" spans="1:31" s="23" customFormat="1" x14ac:dyDescent="0.3">
      <c r="A63" s="47"/>
      <c r="B63" s="40" t="s">
        <v>274</v>
      </c>
      <c r="C63" s="97"/>
      <c r="D63" s="97"/>
      <c r="E63" s="97"/>
      <c r="F63" s="97"/>
      <c r="G63" s="97"/>
      <c r="H63" s="97"/>
      <c r="I63" s="97"/>
      <c r="J63" s="97"/>
      <c r="K63" s="97"/>
      <c r="L63" s="97"/>
      <c r="M63" s="97"/>
      <c r="N63" s="97"/>
      <c r="O63" s="97"/>
      <c r="P63" s="238">
        <v>0</v>
      </c>
      <c r="Q63" s="238"/>
      <c r="R63" s="238">
        <v>4</v>
      </c>
      <c r="S63" s="238"/>
      <c r="T63" s="238">
        <v>0</v>
      </c>
      <c r="U63" s="238"/>
      <c r="V63" s="238">
        <v>-4</v>
      </c>
      <c r="W63" s="238"/>
      <c r="X63" s="238"/>
      <c r="Y63" s="238"/>
      <c r="Z63" s="238"/>
      <c r="AA63" s="238"/>
      <c r="AB63" s="238">
        <f>R63+V63</f>
        <v>0</v>
      </c>
      <c r="AC63" s="43"/>
      <c r="AD63" s="22"/>
    </row>
    <row r="64" spans="1:31" s="23" customFormat="1" x14ac:dyDescent="0.3">
      <c r="A64" s="47"/>
      <c r="B64" s="40" t="s">
        <v>172</v>
      </c>
      <c r="C64" s="97"/>
      <c r="D64" s="97"/>
      <c r="E64" s="97"/>
      <c r="F64" s="97"/>
      <c r="G64" s="97"/>
      <c r="H64" s="97"/>
      <c r="I64" s="97"/>
      <c r="J64" s="97"/>
      <c r="K64" s="97"/>
      <c r="L64" s="97"/>
      <c r="M64" s="97"/>
      <c r="N64" s="97"/>
      <c r="O64" s="97"/>
      <c r="P64" s="238">
        <v>812</v>
      </c>
      <c r="Q64" s="238"/>
      <c r="R64" s="238">
        <v>473</v>
      </c>
      <c r="S64" s="238"/>
      <c r="T64" s="238"/>
      <c r="U64" s="238"/>
      <c r="V64" s="238"/>
      <c r="W64" s="238"/>
      <c r="X64" s="238">
        <f>-X57</f>
        <v>-30</v>
      </c>
      <c r="Y64" s="238"/>
      <c r="Z64" s="238"/>
      <c r="AA64" s="238"/>
      <c r="AB64" s="238">
        <f>+R64+X64</f>
        <v>443</v>
      </c>
      <c r="AC64" s="43"/>
      <c r="AD64" s="22"/>
    </row>
    <row r="65" spans="1:30" s="23" customFormat="1" x14ac:dyDescent="0.3">
      <c r="A65" s="47"/>
      <c r="B65" s="40" t="s">
        <v>19</v>
      </c>
      <c r="C65" s="97"/>
      <c r="D65" s="97"/>
      <c r="E65" s="97"/>
      <c r="F65" s="97"/>
      <c r="G65" s="97"/>
      <c r="H65" s="97"/>
      <c r="I65" s="97"/>
      <c r="J65" s="97"/>
      <c r="K65" s="97"/>
      <c r="L65" s="97"/>
      <c r="M65" s="97"/>
      <c r="N65" s="97"/>
      <c r="O65" s="97"/>
      <c r="P65" s="238">
        <v>0</v>
      </c>
      <c r="Q65" s="238"/>
      <c r="R65" s="238">
        <v>0</v>
      </c>
      <c r="S65" s="238"/>
      <c r="T65" s="238"/>
      <c r="U65" s="238"/>
      <c r="V65" s="238"/>
      <c r="W65" s="238"/>
      <c r="X65" s="238"/>
      <c r="Y65" s="238"/>
      <c r="Z65" s="238"/>
      <c r="AA65" s="238"/>
      <c r="AB65" s="238">
        <v>0</v>
      </c>
      <c r="AC65" s="43"/>
      <c r="AD65" s="22"/>
    </row>
    <row r="66" spans="1:30" s="23" customFormat="1" x14ac:dyDescent="0.3">
      <c r="A66" s="47"/>
      <c r="B66" s="40" t="s">
        <v>20</v>
      </c>
      <c r="C66" s="97"/>
      <c r="D66" s="97"/>
      <c r="E66" s="97"/>
      <c r="F66" s="97"/>
      <c r="G66" s="97"/>
      <c r="H66" s="97"/>
      <c r="I66" s="97"/>
      <c r="J66" s="97"/>
      <c r="K66" s="97"/>
      <c r="L66" s="97"/>
      <c r="M66" s="97"/>
      <c r="N66" s="97"/>
      <c r="O66" s="97"/>
      <c r="P66" s="238">
        <f>SUM(P60:P65)</f>
        <v>760478</v>
      </c>
      <c r="Q66" s="238"/>
      <c r="R66" s="238">
        <f>SUM(R60:R65)</f>
        <v>744964</v>
      </c>
      <c r="S66" s="238"/>
      <c r="T66" s="238"/>
      <c r="U66" s="238"/>
      <c r="V66" s="238"/>
      <c r="W66" s="238"/>
      <c r="X66" s="238"/>
      <c r="Y66" s="238"/>
      <c r="Z66" s="238"/>
      <c r="AA66" s="238"/>
      <c r="AB66" s="238">
        <f>SUM(AB60:AB65)</f>
        <v>736348</v>
      </c>
      <c r="AC66" s="43"/>
      <c r="AD66" s="22"/>
    </row>
    <row r="67" spans="1:30" x14ac:dyDescent="0.3">
      <c r="A67" s="7"/>
      <c r="B67" s="99"/>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1"/>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2" t="s">
        <v>21</v>
      </c>
      <c r="C69" s="102"/>
      <c r="D69" s="103"/>
      <c r="E69" s="103"/>
      <c r="F69" s="103"/>
      <c r="G69" s="103"/>
      <c r="H69" s="104"/>
      <c r="I69" s="103"/>
      <c r="J69" s="105"/>
      <c r="K69" s="103"/>
      <c r="L69" s="103"/>
      <c r="M69" s="103"/>
      <c r="N69" s="103"/>
      <c r="O69" s="103"/>
      <c r="P69" s="103"/>
      <c r="Q69" s="103"/>
      <c r="R69" s="104" t="s">
        <v>64</v>
      </c>
      <c r="S69" s="103"/>
      <c r="T69" s="105">
        <f>+Z235</f>
        <v>44377</v>
      </c>
      <c r="U69" s="103"/>
      <c r="V69" s="103"/>
      <c r="W69" s="103"/>
      <c r="X69" s="103"/>
      <c r="Y69" s="103"/>
      <c r="Z69" s="103" t="s">
        <v>73</v>
      </c>
      <c r="AA69" s="103"/>
      <c r="AB69" s="103"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100">
        <f>+R63</f>
        <v>4</v>
      </c>
      <c r="AA70" s="37"/>
      <c r="AB70" s="107">
        <v>0</v>
      </c>
      <c r="AC70" s="21"/>
      <c r="AD70" s="22"/>
    </row>
    <row r="71" spans="1:30" s="23" customFormat="1" x14ac:dyDescent="0.3">
      <c r="A71" s="47"/>
      <c r="B71" s="40" t="s">
        <v>218</v>
      </c>
      <c r="C71" s="40"/>
      <c r="D71" s="70"/>
      <c r="E71" s="70"/>
      <c r="F71" s="70"/>
      <c r="G71" s="108"/>
      <c r="H71" s="70"/>
      <c r="I71" s="40"/>
      <c r="J71" s="109"/>
      <c r="K71" s="40"/>
      <c r="L71" s="40"/>
      <c r="M71" s="40"/>
      <c r="N71" s="40"/>
      <c r="O71" s="40"/>
      <c r="P71" s="40"/>
      <c r="Q71" s="40"/>
      <c r="R71" s="40"/>
      <c r="S71" s="40"/>
      <c r="T71" s="40"/>
      <c r="U71" s="40"/>
      <c r="V71" s="40"/>
      <c r="W71" s="40"/>
      <c r="X71" s="40"/>
      <c r="Y71" s="40"/>
      <c r="Z71" s="238">
        <f>-X64</f>
        <v>30</v>
      </c>
      <c r="AA71" s="40"/>
      <c r="AB71" s="98"/>
      <c r="AC71" s="43"/>
      <c r="AD71" s="22"/>
    </row>
    <row r="72" spans="1:30" s="23" customFormat="1" x14ac:dyDescent="0.3">
      <c r="A72" s="47"/>
      <c r="B72" s="40" t="s">
        <v>217</v>
      </c>
      <c r="C72" s="40"/>
      <c r="D72" s="70"/>
      <c r="E72" s="70"/>
      <c r="F72" s="70"/>
      <c r="G72" s="108"/>
      <c r="H72" s="70"/>
      <c r="I72" s="40"/>
      <c r="J72" s="109"/>
      <c r="K72" s="40"/>
      <c r="L72" s="40"/>
      <c r="M72" s="40"/>
      <c r="N72" s="40"/>
      <c r="O72" s="40"/>
      <c r="P72" s="40"/>
      <c r="Q72" s="40"/>
      <c r="R72" s="40"/>
      <c r="S72" s="40"/>
      <c r="T72" s="40"/>
      <c r="U72" s="40"/>
      <c r="V72" s="40"/>
      <c r="W72" s="40"/>
      <c r="X72" s="40"/>
      <c r="Y72" s="40"/>
      <c r="Z72" s="238">
        <f>-Z209</f>
        <v>-30</v>
      </c>
      <c r="AA72" s="40"/>
      <c r="AB72" s="98"/>
      <c r="AC72" s="43"/>
      <c r="AD72" s="22"/>
    </row>
    <row r="73" spans="1:30" s="23" customFormat="1" x14ac:dyDescent="0.3">
      <c r="A73" s="47"/>
      <c r="B73" s="40" t="s">
        <v>23</v>
      </c>
      <c r="C73" s="40"/>
      <c r="D73" s="70"/>
      <c r="E73" s="70"/>
      <c r="F73" s="70"/>
      <c r="G73" s="108"/>
      <c r="H73" s="70"/>
      <c r="I73" s="40"/>
      <c r="J73" s="109"/>
      <c r="K73" s="40"/>
      <c r="L73" s="40"/>
      <c r="M73" s="40"/>
      <c r="N73" s="40"/>
      <c r="O73" s="40"/>
      <c r="P73" s="40"/>
      <c r="Q73" s="40"/>
      <c r="R73" s="40"/>
      <c r="S73" s="40"/>
      <c r="T73" s="40"/>
      <c r="U73" s="40"/>
      <c r="V73" s="40"/>
      <c r="W73" s="40"/>
      <c r="X73" s="40"/>
      <c r="Y73" s="40"/>
      <c r="Z73" s="238">
        <f>+T57+V57+Z57+1</f>
        <v>8613</v>
      </c>
      <c r="AA73" s="40"/>
      <c r="AB73" s="98"/>
      <c r="AC73" s="43"/>
      <c r="AD73" s="22"/>
    </row>
    <row r="74" spans="1:30" s="23" customFormat="1" x14ac:dyDescent="0.3">
      <c r="A74" s="47"/>
      <c r="B74" s="40" t="s">
        <v>115</v>
      </c>
      <c r="C74" s="40"/>
      <c r="D74" s="70"/>
      <c r="E74" s="70"/>
      <c r="F74" s="70"/>
      <c r="G74" s="108"/>
      <c r="H74" s="70"/>
      <c r="I74" s="40"/>
      <c r="J74" s="109"/>
      <c r="K74" s="40"/>
      <c r="L74" s="40"/>
      <c r="M74" s="40"/>
      <c r="N74" s="40"/>
      <c r="O74" s="40"/>
      <c r="P74" s="40"/>
      <c r="Q74" s="40"/>
      <c r="R74" s="40"/>
      <c r="S74" s="40"/>
      <c r="T74" s="40"/>
      <c r="U74" s="40"/>
      <c r="V74" s="40"/>
      <c r="W74" s="40"/>
      <c r="X74" s="40"/>
      <c r="Y74" s="40"/>
      <c r="Z74" s="238"/>
      <c r="AA74" s="40"/>
      <c r="AB74" s="98">
        <f>6826+263-474-4</f>
        <v>6611</v>
      </c>
      <c r="AC74" s="43"/>
      <c r="AD74" s="22"/>
    </row>
    <row r="75" spans="1:30" s="23" customFormat="1" x14ac:dyDescent="0.3">
      <c r="A75" s="47"/>
      <c r="B75" s="40" t="s">
        <v>113</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220+37</f>
        <v>257</v>
      </c>
      <c r="AC75" s="43"/>
      <c r="AD75" s="22"/>
    </row>
    <row r="76" spans="1:30" s="23" customFormat="1" x14ac:dyDescent="0.3">
      <c r="A76" s="47"/>
      <c r="B76" s="40" t="s">
        <v>114</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v>1</v>
      </c>
      <c r="AC76" s="43"/>
      <c r="AD76" s="22"/>
    </row>
    <row r="77" spans="1:30" s="23" customFormat="1" x14ac:dyDescent="0.3">
      <c r="A77" s="47"/>
      <c r="B77" s="40" t="s">
        <v>120</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59" t="s">
        <v>224</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99</v>
      </c>
      <c r="AC78" s="43"/>
      <c r="AD78" s="22"/>
    </row>
    <row r="79" spans="1:30" s="23" customFormat="1" x14ac:dyDescent="0.3">
      <c r="A79" s="47"/>
      <c r="B79" s="59" t="s">
        <v>225</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0</v>
      </c>
      <c r="AC79" s="43"/>
      <c r="AD79" s="22"/>
    </row>
    <row r="80" spans="1:30" s="23" customFormat="1" x14ac:dyDescent="0.3">
      <c r="A80" s="47"/>
      <c r="B80" s="40" t="s">
        <v>232</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f>+AB167</f>
        <v>0</v>
      </c>
      <c r="AC80" s="43"/>
      <c r="AD80" s="22"/>
    </row>
    <row r="81" spans="1:30" s="23" customFormat="1" x14ac:dyDescent="0.3">
      <c r="A81" s="47"/>
      <c r="B81" s="40" t="s">
        <v>246</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v>0</v>
      </c>
      <c r="AC81" s="43"/>
      <c r="AD81" s="22"/>
    </row>
    <row r="82" spans="1:30" s="23" customFormat="1" x14ac:dyDescent="0.3">
      <c r="A82" s="47"/>
      <c r="B82" s="59" t="s">
        <v>233</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5</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8">
        <f>SUM(Z70:Z82)</f>
        <v>8617</v>
      </c>
      <c r="AA83" s="40"/>
      <c r="AB83" s="97">
        <f>SUM(AB70:AB82)</f>
        <v>6973</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8">
        <f>-AB84</f>
        <v>0</v>
      </c>
      <c r="AA84" s="40"/>
      <c r="AB84" s="98">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8"/>
      <c r="AA85" s="40"/>
      <c r="AB85" s="98">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8">
        <f>Z83+Z84</f>
        <v>8617</v>
      </c>
      <c r="AA86" s="40"/>
      <c r="AB86" s="97">
        <f>AB83+AB84+AB85</f>
        <v>6973</v>
      </c>
      <c r="AC86" s="43"/>
      <c r="AD86" s="22"/>
    </row>
    <row r="87" spans="1:30" x14ac:dyDescent="0.3">
      <c r="A87" s="110"/>
      <c r="B87" s="111" t="s">
        <v>27</v>
      </c>
      <c r="C87" s="59"/>
      <c r="D87" s="59"/>
      <c r="E87" s="59"/>
      <c r="F87" s="59"/>
      <c r="G87" s="59"/>
      <c r="H87" s="59"/>
      <c r="I87" s="59"/>
      <c r="J87" s="59"/>
      <c r="K87" s="59"/>
      <c r="L87" s="59"/>
      <c r="M87" s="59"/>
      <c r="N87" s="59"/>
      <c r="O87" s="59"/>
      <c r="P87" s="59"/>
      <c r="Q87" s="59"/>
      <c r="R87" s="59"/>
      <c r="S87" s="59"/>
      <c r="T87" s="59"/>
      <c r="U87" s="59"/>
      <c r="V87" s="59"/>
      <c r="W87" s="59"/>
      <c r="X87" s="59"/>
      <c r="Y87" s="59"/>
      <c r="Z87" s="238"/>
      <c r="AA87" s="112"/>
      <c r="AB87" s="113"/>
      <c r="AC87" s="114"/>
      <c r="AD87" s="5"/>
    </row>
    <row r="88" spans="1:30" x14ac:dyDescent="0.3">
      <c r="A88" s="110">
        <v>1</v>
      </c>
      <c r="B88" s="59" t="s">
        <v>138</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98">
        <v>0</v>
      </c>
      <c r="AC88" s="114"/>
      <c r="AD88" s="5"/>
    </row>
    <row r="89" spans="1:30" x14ac:dyDescent="0.3">
      <c r="A89" s="110">
        <v>2</v>
      </c>
      <c r="B89" s="59" t="s">
        <v>275</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-2</v>
      </c>
      <c r="AC89" s="114"/>
      <c r="AD89" s="5"/>
    </row>
    <row r="90" spans="1:30" x14ac:dyDescent="0.3">
      <c r="A90" s="110">
        <v>3</v>
      </c>
      <c r="B90" s="59" t="s">
        <v>247</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f>-372-3-11</f>
        <v>-386</v>
      </c>
      <c r="AC90" s="114"/>
      <c r="AD90" s="5"/>
    </row>
    <row r="91" spans="1:30" x14ac:dyDescent="0.3">
      <c r="A91" s="110">
        <v>4</v>
      </c>
      <c r="B91" s="59" t="s">
        <v>82</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v>-760</v>
      </c>
      <c r="AC91" s="114"/>
      <c r="AD91" s="5"/>
    </row>
    <row r="92" spans="1:30" x14ac:dyDescent="0.3">
      <c r="A92" s="110">
        <v>5</v>
      </c>
      <c r="B92" s="59" t="s">
        <v>129</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-1814</v>
      </c>
      <c r="AC92" s="114"/>
      <c r="AD92" s="5"/>
    </row>
    <row r="93" spans="1:30" x14ac:dyDescent="0.3">
      <c r="A93" s="110">
        <v>6</v>
      </c>
      <c r="B93" s="59" t="s">
        <v>150</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-161</v>
      </c>
      <c r="AC93" s="114"/>
      <c r="AD93" s="5"/>
    </row>
    <row r="94" spans="1:30" x14ac:dyDescent="0.3">
      <c r="A94" s="110">
        <v>7</v>
      </c>
      <c r="B94" s="59" t="s">
        <v>201</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0</v>
      </c>
      <c r="AC94" s="114"/>
      <c r="AD94" s="5"/>
    </row>
    <row r="95" spans="1:30" x14ac:dyDescent="0.3">
      <c r="A95" s="110">
        <v>8</v>
      </c>
      <c r="B95" s="59" t="s">
        <v>151</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-105</v>
      </c>
      <c r="AC95" s="114"/>
      <c r="AD95" s="5"/>
    </row>
    <row r="96" spans="1:30" x14ac:dyDescent="0.3">
      <c r="A96" s="110">
        <v>9</v>
      </c>
      <c r="B96" s="59" t="s">
        <v>180</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-122</v>
      </c>
      <c r="AC96" s="114"/>
      <c r="AD96" s="5"/>
    </row>
    <row r="97" spans="1:30" x14ac:dyDescent="0.3">
      <c r="A97" s="110">
        <v>10</v>
      </c>
      <c r="B97" s="59" t="s">
        <v>130</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0</v>
      </c>
      <c r="AC97" s="114"/>
      <c r="AD97" s="5"/>
    </row>
    <row r="98" spans="1:30" x14ac:dyDescent="0.3">
      <c r="A98" s="110">
        <v>11</v>
      </c>
      <c r="B98" s="59" t="s">
        <v>200</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0</v>
      </c>
      <c r="AC98" s="114"/>
      <c r="AD98" s="5"/>
    </row>
    <row r="99" spans="1:30" x14ac:dyDescent="0.3">
      <c r="A99" s="110">
        <v>12</v>
      </c>
      <c r="B99" s="59" t="s">
        <v>33</v>
      </c>
      <c r="C99" s="59"/>
      <c r="D99" s="59"/>
      <c r="E99" s="59"/>
      <c r="F99" s="59"/>
      <c r="G99" s="59"/>
      <c r="H99" s="59"/>
      <c r="I99" s="59"/>
      <c r="J99" s="59"/>
      <c r="K99" s="59"/>
      <c r="L99" s="59"/>
      <c r="M99" s="59"/>
      <c r="N99" s="59"/>
      <c r="O99" s="59"/>
      <c r="P99" s="59"/>
      <c r="Q99" s="59"/>
      <c r="R99" s="59"/>
      <c r="S99" s="59"/>
      <c r="T99" s="59"/>
      <c r="U99" s="59"/>
      <c r="V99" s="59"/>
      <c r="W99" s="59"/>
      <c r="X99" s="59"/>
      <c r="Y99" s="59"/>
      <c r="Z99" s="238">
        <f>-AB99</f>
        <v>-1</v>
      </c>
      <c r="AA99" s="112"/>
      <c r="AB99" s="98">
        <v>1</v>
      </c>
      <c r="AC99" s="114"/>
      <c r="AD99" s="5"/>
    </row>
    <row r="100" spans="1:30" x14ac:dyDescent="0.3">
      <c r="A100" s="110">
        <v>13</v>
      </c>
      <c r="B100" s="59" t="s">
        <v>276</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14</v>
      </c>
      <c r="B101" s="59" t="s">
        <v>277</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c r="AA101" s="112"/>
      <c r="AB101" s="98">
        <v>-250</v>
      </c>
      <c r="AC101" s="114"/>
      <c r="AD101" s="5"/>
    </row>
    <row r="102" spans="1:30" x14ac:dyDescent="0.3">
      <c r="A102" s="110">
        <v>15</v>
      </c>
      <c r="B102" s="59" t="s">
        <v>28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-23</v>
      </c>
      <c r="AC102" s="114"/>
      <c r="AD102" s="5"/>
    </row>
    <row r="103" spans="1:30" x14ac:dyDescent="0.3">
      <c r="A103" s="110">
        <v>16</v>
      </c>
      <c r="B103" s="59" t="s">
        <v>118</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0</v>
      </c>
      <c r="AC103" s="114"/>
      <c r="AD103" s="5"/>
    </row>
    <row r="104" spans="1:30" x14ac:dyDescent="0.3">
      <c r="A104" s="110">
        <v>17</v>
      </c>
      <c r="B104" s="59" t="s">
        <v>188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0</v>
      </c>
      <c r="AC104" s="114"/>
      <c r="AD104" s="5"/>
    </row>
    <row r="105" spans="1:30" x14ac:dyDescent="0.3">
      <c r="A105" s="110">
        <v>18</v>
      </c>
      <c r="B105" s="59" t="s">
        <v>162</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-194</v>
      </c>
      <c r="AC105" s="114"/>
      <c r="AD105" s="5"/>
    </row>
    <row r="106" spans="1:30" x14ac:dyDescent="0.3">
      <c r="A106" s="110">
        <v>19</v>
      </c>
      <c r="B106" s="59" t="s">
        <v>257</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-110</v>
      </c>
      <c r="AC106" s="114"/>
      <c r="AD106" s="5"/>
    </row>
    <row r="107" spans="1:30" x14ac:dyDescent="0.3">
      <c r="A107" s="110">
        <v>20</v>
      </c>
      <c r="B107" s="59" t="s">
        <v>258</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-99</v>
      </c>
      <c r="AC107" s="114"/>
      <c r="AD107" s="5"/>
    </row>
    <row r="108" spans="1:30" x14ac:dyDescent="0.3">
      <c r="A108" s="110">
        <v>21</v>
      </c>
      <c r="B108" s="59" t="s">
        <v>259</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0</v>
      </c>
      <c r="AC108" s="114"/>
      <c r="AD108" s="5"/>
    </row>
    <row r="109" spans="1:30" x14ac:dyDescent="0.3">
      <c r="A109" s="110">
        <v>22</v>
      </c>
      <c r="B109" s="59" t="s">
        <v>260</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0</v>
      </c>
      <c r="AC109" s="114"/>
      <c r="AD109" s="5"/>
    </row>
    <row r="110" spans="1:30" x14ac:dyDescent="0.3">
      <c r="A110" s="110">
        <v>23</v>
      </c>
      <c r="B110" s="59" t="s">
        <v>131</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24</v>
      </c>
      <c r="B111" s="59" t="s">
        <v>137</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f>-13-69</f>
        <v>-82</v>
      </c>
      <c r="AC111" s="114"/>
      <c r="AD111" s="5"/>
    </row>
    <row r="112" spans="1:30" x14ac:dyDescent="0.3">
      <c r="A112" s="110">
        <v>25</v>
      </c>
      <c r="B112" s="59" t="s">
        <v>255</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-5</v>
      </c>
      <c r="AC112" s="114"/>
      <c r="AD112" s="5"/>
    </row>
    <row r="113" spans="1:30" x14ac:dyDescent="0.3">
      <c r="A113" s="110">
        <v>26</v>
      </c>
      <c r="B113" s="59" t="s">
        <v>226</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-2861</v>
      </c>
      <c r="AC113" s="114"/>
      <c r="AD113" s="5"/>
    </row>
    <row r="114" spans="1:30" x14ac:dyDescent="0.3">
      <c r="A114" s="110"/>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113"/>
      <c r="AC114" s="114"/>
      <c r="AD114" s="5"/>
    </row>
    <row r="115" spans="1:30" x14ac:dyDescent="0.3">
      <c r="A115" s="110"/>
      <c r="B115" s="111" t="s">
        <v>29</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112"/>
      <c r="AB115" s="116"/>
      <c r="AC115" s="114"/>
      <c r="AD115" s="5"/>
    </row>
    <row r="116" spans="1:30" x14ac:dyDescent="0.3">
      <c r="A116" s="110"/>
      <c r="B116" s="40" t="s">
        <v>227</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v>0</v>
      </c>
      <c r="AA116" s="112"/>
      <c r="AB116" s="116"/>
      <c r="AC116" s="114"/>
      <c r="AD116" s="5"/>
    </row>
    <row r="117" spans="1:30" s="23" customFormat="1" x14ac:dyDescent="0.3">
      <c r="A117" s="47"/>
      <c r="B117" s="40" t="s">
        <v>156</v>
      </c>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238">
        <v>0</v>
      </c>
      <c r="AA117" s="97"/>
      <c r="AB117" s="98"/>
      <c r="AC117" s="43"/>
      <c r="AD117" s="22"/>
    </row>
    <row r="118" spans="1:30" s="23" customFormat="1" x14ac:dyDescent="0.3">
      <c r="A118" s="47"/>
      <c r="B118" s="40" t="s">
        <v>157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8">
        <v>0</v>
      </c>
      <c r="AA118" s="97"/>
      <c r="AB118" s="98"/>
      <c r="AC118" s="43"/>
      <c r="AD118" s="22"/>
    </row>
    <row r="119" spans="1:30" s="23" customFormat="1" x14ac:dyDescent="0.3">
      <c r="A119" s="47"/>
      <c r="B119" s="40" t="s">
        <v>262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263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312</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-8616</v>
      </c>
      <c r="AA121" s="97"/>
      <c r="AB121" s="98"/>
      <c r="AC121" s="43"/>
      <c r="AD121" s="22"/>
    </row>
    <row r="122" spans="1:30" s="23" customFormat="1" x14ac:dyDescent="0.3">
      <c r="A122" s="47"/>
      <c r="B122" s="40" t="s">
        <v>142</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143</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0</v>
      </c>
      <c r="AA123" s="97"/>
      <c r="AB123" s="98"/>
      <c r="AC123" s="43"/>
      <c r="AD123" s="22"/>
    </row>
    <row r="124" spans="1:30" s="23" customFormat="1" x14ac:dyDescent="0.3">
      <c r="A124" s="47"/>
      <c r="B124" s="40" t="s">
        <v>173</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163</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189</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30</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f>SUM(Z116:Z126)</f>
        <v>-8616</v>
      </c>
      <c r="AA127" s="97"/>
      <c r="AB127" s="97">
        <f>SUM(AB87:AB125)</f>
        <v>-6973</v>
      </c>
      <c r="AC127" s="43"/>
      <c r="AD127" s="22"/>
    </row>
    <row r="128" spans="1:30" s="23" customFormat="1" x14ac:dyDescent="0.3">
      <c r="A128" s="47"/>
      <c r="B128" s="40" t="s">
        <v>31</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f>Z86+Z127+Z99</f>
        <v>0</v>
      </c>
      <c r="AA128" s="97"/>
      <c r="AB128" s="97">
        <f>AB86+AB127</f>
        <v>0</v>
      </c>
      <c r="AC128" s="43"/>
      <c r="AD128" s="22"/>
    </row>
    <row r="129" spans="1:30" s="23" customFormat="1" x14ac:dyDescent="0.3">
      <c r="A129" s="18"/>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106"/>
      <c r="AA129" s="106"/>
      <c r="AB129" s="106"/>
      <c r="AC129" s="21"/>
      <c r="AD129" s="22"/>
    </row>
    <row r="130" spans="1:30" s="23" customFormat="1" x14ac:dyDescent="0.3">
      <c r="A130" s="18"/>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117"/>
      <c r="AC130" s="21"/>
      <c r="AD130" s="22"/>
    </row>
    <row r="131" spans="1:30" s="23" customFormat="1" ht="18.600000000000001" thickBot="1" x14ac:dyDescent="0.4">
      <c r="A131" s="83"/>
      <c r="B131" s="84" t="str">
        <f>B53</f>
        <v>PM27 INVESTOR REPORT QUARTER ENDING JUNE 2021</v>
      </c>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118"/>
      <c r="AC131" s="87"/>
      <c r="AD131" s="22"/>
    </row>
    <row r="132" spans="1:30" x14ac:dyDescent="0.3">
      <c r="A132" s="119"/>
      <c r="B132" s="120" t="s">
        <v>32</v>
      </c>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2"/>
      <c r="AC132" s="123"/>
      <c r="AD132" s="5"/>
    </row>
    <row r="133" spans="1:30" x14ac:dyDescent="0.3">
      <c r="A133" s="7"/>
      <c r="B133" s="124"/>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1"/>
      <c r="AC133" s="10"/>
      <c r="AD133" s="5"/>
    </row>
    <row r="134" spans="1:30" x14ac:dyDescent="0.3">
      <c r="A134" s="7"/>
      <c r="B134" s="125" t="s">
        <v>192</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1"/>
      <c r="AC134" s="10"/>
      <c r="AD134" s="5"/>
    </row>
    <row r="135" spans="1:30" s="23" customFormat="1" x14ac:dyDescent="0.3">
      <c r="A135" s="47"/>
      <c r="B135" s="40" t="s">
        <v>199</v>
      </c>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98">
        <f>SUM(F29:H29)*1.5%</f>
        <v>10351.994999999999</v>
      </c>
      <c r="AC135" s="43"/>
      <c r="AD135" s="22"/>
    </row>
    <row r="136" spans="1:30" s="23" customFormat="1" x14ac:dyDescent="0.3">
      <c r="A136" s="47"/>
      <c r="B136" s="40" t="s">
        <v>204</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8">
        <f>+'March 2021'!AB143</f>
        <v>10218.994999999999</v>
      </c>
      <c r="AC136" s="43"/>
      <c r="AD136" s="22"/>
    </row>
    <row r="137" spans="1:30" s="23" customFormat="1" x14ac:dyDescent="0.3">
      <c r="A137" s="47"/>
      <c r="B137" s="40" t="s">
        <v>248</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8"/>
      <c r="AC137" s="43"/>
      <c r="AD137" s="22"/>
    </row>
    <row r="138" spans="1:30" s="23" customFormat="1" x14ac:dyDescent="0.3">
      <c r="A138" s="47"/>
      <c r="B138" s="40" t="s">
        <v>250</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v>0</v>
      </c>
      <c r="AC138" s="43"/>
      <c r="AD138" s="22"/>
    </row>
    <row r="139" spans="1:30" s="23" customFormat="1" x14ac:dyDescent="0.3">
      <c r="A139" s="47"/>
      <c r="B139" s="40" t="s">
        <v>198</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v>0</v>
      </c>
      <c r="AC139" s="43"/>
      <c r="AD139" s="22"/>
    </row>
    <row r="140" spans="1:30" s="23" customFormat="1" x14ac:dyDescent="0.3">
      <c r="A140" s="47"/>
      <c r="B140" s="40" t="s">
        <v>150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v>0</v>
      </c>
      <c r="AC140" s="43"/>
      <c r="AD140" s="22"/>
    </row>
    <row r="141" spans="1:30" s="23" customFormat="1" x14ac:dyDescent="0.3">
      <c r="A141" s="47"/>
      <c r="B141" s="40" t="s">
        <v>87</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251</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-99</v>
      </c>
      <c r="AC142" s="43"/>
      <c r="AD142" s="22"/>
    </row>
    <row r="143" spans="1:30" s="23" customFormat="1" x14ac:dyDescent="0.3">
      <c r="A143" s="47"/>
      <c r="B143" s="40" t="s">
        <v>203</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f>SUM(AB136:AB142)</f>
        <v>10119.994999999999</v>
      </c>
      <c r="AC143" s="43"/>
      <c r="AD143" s="22"/>
    </row>
    <row r="144" spans="1:30" x14ac:dyDescent="0.3">
      <c r="A144" s="7"/>
      <c r="B144" s="124"/>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1"/>
      <c r="AC144" s="10"/>
      <c r="AD144" s="5"/>
    </row>
    <row r="145" spans="1:30" x14ac:dyDescent="0.3">
      <c r="A145" s="7"/>
      <c r="B145" s="125" t="s">
        <v>190</v>
      </c>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1"/>
      <c r="AC145" s="10"/>
      <c r="AD145" s="5"/>
    </row>
    <row r="146" spans="1:30" s="23" customFormat="1" x14ac:dyDescent="0.3">
      <c r="A146" s="47"/>
      <c r="B146" s="59" t="s">
        <v>191</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SUM(J29:L29)*1.5%</f>
        <v>684.42</v>
      </c>
      <c r="AC146" s="43"/>
      <c r="AD146" s="22"/>
    </row>
    <row r="147" spans="1:30" s="23" customFormat="1" x14ac:dyDescent="0.3">
      <c r="A147" s="47"/>
      <c r="B147" s="59" t="s">
        <v>205</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8">
        <f>SUM(J29:L29)*0.015</f>
        <v>684.42</v>
      </c>
      <c r="AC147" s="43"/>
      <c r="AD147" s="22"/>
    </row>
    <row r="148" spans="1:30" s="23" customFormat="1" x14ac:dyDescent="0.3">
      <c r="A148" s="47"/>
      <c r="B148" s="59" t="s">
        <v>93</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8"/>
      <c r="AC148" s="43"/>
      <c r="AD148" s="22"/>
    </row>
    <row r="149" spans="1:30" s="23" customFormat="1" x14ac:dyDescent="0.3">
      <c r="A149" s="47"/>
      <c r="B149" s="40" t="s">
        <v>250</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v>0</v>
      </c>
      <c r="AC149" s="43"/>
      <c r="AD149" s="22"/>
    </row>
    <row r="150" spans="1:30" s="23" customFormat="1" x14ac:dyDescent="0.3">
      <c r="A150" s="47"/>
      <c r="B150" s="59" t="s">
        <v>129</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v>0</v>
      </c>
      <c r="AC150" s="43"/>
      <c r="AD150" s="22"/>
    </row>
    <row r="151" spans="1:30" s="23" customFormat="1" x14ac:dyDescent="0.3">
      <c r="A151" s="47"/>
      <c r="B151" s="59" t="s">
        <v>150</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v>0</v>
      </c>
      <c r="AC151" s="43"/>
      <c r="AD151" s="22"/>
    </row>
    <row r="152" spans="1:30" s="23" customFormat="1" x14ac:dyDescent="0.3">
      <c r="A152" s="47"/>
      <c r="B152" s="59" t="s">
        <v>151</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0" s="23" customFormat="1" x14ac:dyDescent="0.3">
      <c r="A153" s="47"/>
      <c r="B153" s="59" t="s">
        <v>180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0" s="23" customFormat="1" x14ac:dyDescent="0.3">
      <c r="A154" s="47"/>
      <c r="B154" s="59" t="s">
        <v>87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0" s="23" customFormat="1" x14ac:dyDescent="0.3">
      <c r="A155" s="47"/>
      <c r="B155" s="40" t="s">
        <v>251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0" s="23" customFormat="1" x14ac:dyDescent="0.3">
      <c r="A156" s="47"/>
      <c r="B156" s="59" t="s">
        <v>202</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f>SUM(AB147:AB155)</f>
        <v>684.42</v>
      </c>
      <c r="AC156" s="43"/>
      <c r="AD156" s="22"/>
    </row>
    <row r="157" spans="1:30" x14ac:dyDescent="0.3">
      <c r="A157" s="7"/>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126"/>
      <c r="AC157" s="10"/>
      <c r="AD157" s="5"/>
    </row>
    <row r="158" spans="1:30" x14ac:dyDescent="0.3">
      <c r="A158" s="7"/>
      <c r="B158" s="125" t="s">
        <v>174</v>
      </c>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8"/>
      <c r="AC158" s="10"/>
      <c r="AD158" s="5"/>
    </row>
    <row r="159" spans="1:30" s="23" customFormat="1" x14ac:dyDescent="0.3">
      <c r="A159" s="129"/>
      <c r="B159" s="230" t="s">
        <v>281</v>
      </c>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1">
        <f>+'March 2021'!AB162</f>
        <v>473</v>
      </c>
      <c r="AC159" s="132"/>
      <c r="AD159" s="22"/>
    </row>
    <row r="160" spans="1:30" s="23" customFormat="1" x14ac:dyDescent="0.3">
      <c r="A160" s="129"/>
      <c r="B160" s="230" t="s">
        <v>175</v>
      </c>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1">
        <f>X64</f>
        <v>-30</v>
      </c>
      <c r="AC160" s="132"/>
      <c r="AD160" s="22"/>
    </row>
    <row r="161" spans="1:262" s="23" customFormat="1" x14ac:dyDescent="0.3">
      <c r="A161" s="129"/>
      <c r="B161" s="230" t="s">
        <v>249</v>
      </c>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1">
        <v>0</v>
      </c>
      <c r="AC161" s="132"/>
      <c r="AD161" s="22"/>
    </row>
    <row r="162" spans="1:262" s="23" customFormat="1" x14ac:dyDescent="0.3">
      <c r="A162" s="129"/>
      <c r="B162" s="230" t="s">
        <v>176</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AB159+AB160</f>
        <v>443</v>
      </c>
      <c r="AC162" s="132"/>
      <c r="AD162" s="22"/>
    </row>
    <row r="163" spans="1:262" x14ac:dyDescent="0.3">
      <c r="A163" s="7"/>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126"/>
      <c r="AC163" s="10"/>
      <c r="AD163" s="5"/>
    </row>
    <row r="164" spans="1:262" x14ac:dyDescent="0.3">
      <c r="A164" s="7"/>
      <c r="B164" s="125" t="s">
        <v>34</v>
      </c>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133"/>
      <c r="AC164" s="10"/>
      <c r="AD164" s="5"/>
    </row>
    <row r="165" spans="1:262" s="23" customFormat="1" x14ac:dyDescent="0.3">
      <c r="A165" s="47"/>
      <c r="B165" s="40" t="s">
        <v>35</v>
      </c>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98">
        <v>0</v>
      </c>
      <c r="AC165" s="43"/>
      <c r="AD165" s="22"/>
    </row>
    <row r="166" spans="1:262" s="23" customFormat="1" x14ac:dyDescent="0.3">
      <c r="A166" s="47"/>
      <c r="B166" s="40" t="s">
        <v>36</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8">
        <v>-1</v>
      </c>
      <c r="AC166" s="43"/>
      <c r="AD166" s="22"/>
    </row>
    <row r="167" spans="1:262" s="23" customFormat="1" x14ac:dyDescent="0.3">
      <c r="A167" s="47"/>
      <c r="B167" s="40" t="s">
        <v>219</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8">
        <v>0</v>
      </c>
      <c r="AC167" s="43"/>
      <c r="AD167" s="22"/>
    </row>
    <row r="168" spans="1:262" s="23" customFormat="1" x14ac:dyDescent="0.3">
      <c r="A168" s="47"/>
      <c r="B168" s="40" t="s">
        <v>37</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AB166+AB165+AB167</f>
        <v>-1</v>
      </c>
      <c r="AC168" s="43"/>
      <c r="AD168" s="22"/>
    </row>
    <row r="169" spans="1:262" s="23" customFormat="1" x14ac:dyDescent="0.3">
      <c r="A169" s="47"/>
      <c r="B169" s="40" t="s">
        <v>268</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f>+AB99</f>
        <v>1</v>
      </c>
      <c r="AC169" s="43"/>
      <c r="AD169" s="22"/>
    </row>
    <row r="170" spans="1:262" s="23" customFormat="1" x14ac:dyDescent="0.3">
      <c r="A170" s="47"/>
      <c r="B170" s="40" t="s">
        <v>38</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f>AB168+AB169</f>
        <v>0</v>
      </c>
      <c r="AC170" s="43"/>
      <c r="AD170" s="22"/>
    </row>
    <row r="171" spans="1:262" s="23" customFormat="1" x14ac:dyDescent="0.3">
      <c r="A171" s="47"/>
      <c r="B171" s="40" t="s">
        <v>124</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-AB85</f>
        <v>0</v>
      </c>
      <c r="AC171" s="43"/>
      <c r="AD171" s="22"/>
    </row>
    <row r="172" spans="1:262" ht="16.2" thickBot="1" x14ac:dyDescent="0.35">
      <c r="A172" s="7"/>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126"/>
      <c r="AC172" s="10"/>
      <c r="AD172" s="5"/>
    </row>
    <row r="173" spans="1:262" x14ac:dyDescent="0.3">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134"/>
      <c r="AC173" s="4"/>
      <c r="AD173" s="5"/>
    </row>
    <row r="174" spans="1:262" s="136" customFormat="1" x14ac:dyDescent="0.3">
      <c r="A174" s="7"/>
      <c r="B174" s="125" t="s">
        <v>193</v>
      </c>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135"/>
      <c r="AC174" s="10"/>
      <c r="AD174" s="5"/>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row>
    <row r="175" spans="1:262" s="137" customFormat="1" x14ac:dyDescent="0.3">
      <c r="A175" s="47"/>
      <c r="B175" s="40" t="s">
        <v>332</v>
      </c>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98">
        <v>0</v>
      </c>
      <c r="AC175" s="43"/>
      <c r="AD175" s="22"/>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row>
    <row r="176" spans="1:262" s="137" customFormat="1" x14ac:dyDescent="0.3">
      <c r="A176" s="47"/>
      <c r="B176" s="40" t="s">
        <v>210</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8">
        <f>+'March 2021'!AB179</f>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7" customFormat="1" x14ac:dyDescent="0.3">
      <c r="A177" s="47"/>
      <c r="B177" s="40" t="s">
        <v>234</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8">
        <f>-AB185</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7" customFormat="1" x14ac:dyDescent="0.3">
      <c r="A178" s="47"/>
      <c r="B178" s="40" t="s">
        <v>236</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f>+AB81</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207</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+AB176+AB177-AB178</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9" customFormat="1" ht="16.2" thickBot="1" x14ac:dyDescent="0.35">
      <c r="A180" s="138"/>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126"/>
      <c r="AC180" s="10"/>
      <c r="AD180" s="5"/>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row>
    <row r="181" spans="1:262" x14ac:dyDescent="0.3">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134"/>
      <c r="AC181" s="4"/>
      <c r="AD181" s="5"/>
    </row>
    <row r="182" spans="1:262" s="136" customFormat="1" x14ac:dyDescent="0.3">
      <c r="A182" s="7"/>
      <c r="B182" s="125" t="s">
        <v>206</v>
      </c>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135"/>
      <c r="AC182" s="10"/>
      <c r="AD182" s="5"/>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row>
    <row r="183" spans="1:262" s="137" customFormat="1" x14ac:dyDescent="0.3">
      <c r="A183" s="47"/>
      <c r="B183" s="40" t="s">
        <v>208</v>
      </c>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98">
        <v>300</v>
      </c>
      <c r="AC183" s="43"/>
      <c r="AD183" s="22"/>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row>
    <row r="184" spans="1:262" s="137" customFormat="1" x14ac:dyDescent="0.3">
      <c r="A184" s="47"/>
      <c r="B184" s="40" t="s">
        <v>211</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98">
        <f>+'March 2021'!AB187</f>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7" customFormat="1" x14ac:dyDescent="0.3">
      <c r="A185" s="47"/>
      <c r="B185" s="59" t="s">
        <v>228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8">
        <v>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7" customFormat="1" x14ac:dyDescent="0.3">
      <c r="A186" s="47"/>
      <c r="B186" s="59" t="s">
        <v>229</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f>-AB100</f>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209</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AB183-AB185+AB186</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9" customFormat="1" ht="16.2" thickBot="1" x14ac:dyDescent="0.35">
      <c r="A188" s="138"/>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126"/>
      <c r="AC188" s="10"/>
      <c r="AD188" s="5"/>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row>
    <row r="189" spans="1:262" x14ac:dyDescent="0.3">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134"/>
      <c r="AC189" s="4"/>
      <c r="AD189" s="5"/>
    </row>
    <row r="190" spans="1:262" s="136" customFormat="1" x14ac:dyDescent="0.3">
      <c r="A190" s="7"/>
      <c r="B190" s="125" t="s">
        <v>212</v>
      </c>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135"/>
      <c r="AC190" s="10"/>
      <c r="AD190" s="5"/>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row>
    <row r="191" spans="1:262" s="137" customFormat="1" x14ac:dyDescent="0.3">
      <c r="A191" s="47"/>
      <c r="B191" s="40" t="s">
        <v>334</v>
      </c>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98">
        <v>0</v>
      </c>
      <c r="AC191" s="43"/>
      <c r="AD191" s="22"/>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row>
    <row r="192" spans="1:262" s="137" customFormat="1" x14ac:dyDescent="0.3">
      <c r="A192" s="47"/>
      <c r="B192" s="40" t="s">
        <v>213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98">
        <f>+'March 2021'!AB195</f>
        <v>8</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7" customFormat="1" x14ac:dyDescent="0.3">
      <c r="A193" s="47"/>
      <c r="B193" s="40" t="s">
        <v>235</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8">
        <f>AB201</f>
        <v>102</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7"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f>AB82</f>
        <v>5</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346</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AB192+AB193-AB194</f>
        <v>105</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9" customFormat="1" ht="16.2" thickBot="1" x14ac:dyDescent="0.35">
      <c r="A196" s="138"/>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126"/>
      <c r="AC196" s="10"/>
      <c r="AD196" s="5"/>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row>
    <row r="197" spans="1:262" x14ac:dyDescent="0.3">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134"/>
      <c r="AC197" s="4"/>
      <c r="AD197" s="5"/>
    </row>
    <row r="198" spans="1:262" s="136" customFormat="1" x14ac:dyDescent="0.3">
      <c r="A198" s="7"/>
      <c r="B198" s="125" t="s">
        <v>333</v>
      </c>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135"/>
      <c r="AC198" s="10"/>
      <c r="AD198" s="5"/>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row>
    <row r="199" spans="1:262" s="137" customFormat="1" x14ac:dyDescent="0.3">
      <c r="A199" s="47"/>
      <c r="B199" s="40" t="s">
        <v>214</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v>301</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7" customFormat="1" x14ac:dyDescent="0.3">
      <c r="A200" s="47"/>
      <c r="B200" s="40" t="s">
        <v>215</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98">
        <f>+'March 2021'!AB203</f>
        <v>392</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7" customFormat="1" x14ac:dyDescent="0.3">
      <c r="A201" s="47"/>
      <c r="B201" s="59" t="s">
        <v>256</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8">
        <v>102</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7" customFormat="1" x14ac:dyDescent="0.3">
      <c r="A202" s="47"/>
      <c r="B202" s="59" t="s">
        <v>231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f>-AB101</f>
        <v>250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AB200-AB201+AB202</f>
        <v>540</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9" customFormat="1" ht="16.2" thickBot="1" x14ac:dyDescent="0.35">
      <c r="A204" s="138"/>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126"/>
      <c r="AC204" s="10"/>
      <c r="AD204" s="5"/>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row>
    <row r="205" spans="1:262" x14ac:dyDescent="0.3">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134"/>
      <c r="AC205" s="4"/>
      <c r="AD205" s="5"/>
    </row>
    <row r="206" spans="1:262" s="136" customFormat="1" x14ac:dyDescent="0.3">
      <c r="A206" s="7"/>
      <c r="B206" s="125" t="s">
        <v>237</v>
      </c>
      <c r="C206" s="99"/>
      <c r="D206" s="99"/>
      <c r="E206" s="99"/>
      <c r="F206" s="99"/>
      <c r="G206" s="99"/>
      <c r="H206" s="99"/>
      <c r="I206" s="99"/>
      <c r="J206" s="99"/>
      <c r="K206" s="99"/>
      <c r="L206" s="99"/>
      <c r="M206" s="99"/>
      <c r="N206" s="99"/>
      <c r="O206" s="99"/>
      <c r="P206" s="99"/>
      <c r="Q206" s="99"/>
      <c r="R206" s="99"/>
      <c r="S206" s="99"/>
      <c r="T206" s="99"/>
      <c r="U206" s="99"/>
      <c r="V206" s="99"/>
      <c r="W206" s="99"/>
      <c r="X206" s="99"/>
      <c r="Y206" s="233" t="s">
        <v>243</v>
      </c>
      <c r="Z206" s="233" t="s">
        <v>244</v>
      </c>
      <c r="AA206" s="12"/>
      <c r="AB206" s="234" t="s">
        <v>80</v>
      </c>
      <c r="AC206" s="10"/>
      <c r="AD206" s="5"/>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row>
    <row r="207" spans="1:262" s="137" customFormat="1" x14ac:dyDescent="0.3">
      <c r="A207" s="47"/>
      <c r="B207" s="40" t="s">
        <v>238</v>
      </c>
      <c r="C207" s="40"/>
      <c r="D207" s="40"/>
      <c r="E207" s="40"/>
      <c r="F207" s="40"/>
      <c r="G207" s="40"/>
      <c r="H207" s="40"/>
      <c r="I207" s="40"/>
      <c r="J207" s="40"/>
      <c r="K207" s="40"/>
      <c r="L207" s="40"/>
      <c r="M207" s="40"/>
      <c r="N207" s="40"/>
      <c r="O207" s="40"/>
      <c r="P207" s="40"/>
      <c r="Q207" s="40"/>
      <c r="R207" s="40"/>
      <c r="S207" s="40"/>
      <c r="T207" s="40"/>
      <c r="U207" s="40"/>
      <c r="V207" s="40"/>
      <c r="W207" s="40"/>
      <c r="X207" s="40"/>
      <c r="Y207" s="98">
        <f>SUM(F29:R29)*0.16</f>
        <v>124206.40000000001</v>
      </c>
      <c r="Z207" s="70"/>
      <c r="AA207" s="40"/>
      <c r="AB207" s="98"/>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7" customFormat="1" x14ac:dyDescent="0.3">
      <c r="A208" s="47"/>
      <c r="B208" s="40" t="s">
        <v>239</v>
      </c>
      <c r="C208" s="40"/>
      <c r="D208" s="40"/>
      <c r="E208" s="40"/>
      <c r="F208" s="40"/>
      <c r="G208" s="40"/>
      <c r="H208" s="40"/>
      <c r="I208" s="40"/>
      <c r="J208" s="40"/>
      <c r="K208" s="40"/>
      <c r="L208" s="40"/>
      <c r="M208" s="40"/>
      <c r="N208" s="40"/>
      <c r="O208" s="40"/>
      <c r="P208" s="40"/>
      <c r="Q208" s="40"/>
      <c r="R208" s="40"/>
      <c r="S208" s="40"/>
      <c r="T208" s="40"/>
      <c r="U208" s="40"/>
      <c r="V208" s="40"/>
      <c r="W208" s="40"/>
      <c r="X208" s="40"/>
      <c r="Y208" s="98">
        <f>+'March 2021'!Y210</f>
        <v>0</v>
      </c>
      <c r="Z208" s="98">
        <f>+'March 2021'!Z210</f>
        <v>339</v>
      </c>
      <c r="AA208" s="40"/>
      <c r="AB208" s="98">
        <f>Y208+Z208</f>
        <v>339</v>
      </c>
      <c r="AC208" s="43"/>
      <c r="AD208" s="22"/>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row>
    <row r="209" spans="1:262" s="137" customFormat="1" x14ac:dyDescent="0.3">
      <c r="A209" s="47"/>
      <c r="B209" s="40" t="s">
        <v>240</v>
      </c>
      <c r="C209" s="40"/>
      <c r="D209" s="40"/>
      <c r="E209" s="40"/>
      <c r="F209" s="40"/>
      <c r="G209" s="40"/>
      <c r="H209" s="40"/>
      <c r="I209" s="40"/>
      <c r="J209" s="40"/>
      <c r="K209" s="40"/>
      <c r="L209" s="40"/>
      <c r="M209" s="40"/>
      <c r="N209" s="40"/>
      <c r="O209" s="40"/>
      <c r="P209" s="40"/>
      <c r="Q209" s="40"/>
      <c r="R209" s="40"/>
      <c r="S209" s="40"/>
      <c r="T209" s="40"/>
      <c r="U209" s="40"/>
      <c r="V209" s="40"/>
      <c r="W209" s="40"/>
      <c r="X209" s="40"/>
      <c r="Y209" s="97">
        <v>0</v>
      </c>
      <c r="Z209" s="97">
        <v>30</v>
      </c>
      <c r="AA209" s="40"/>
      <c r="AB209" s="98">
        <f>Y209+Z209</f>
        <v>30</v>
      </c>
      <c r="AC209" s="43"/>
      <c r="AD209" s="22"/>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row>
    <row r="210" spans="1:262" s="137" customFormat="1" x14ac:dyDescent="0.3">
      <c r="A210" s="47"/>
      <c r="B210" s="40" t="s">
        <v>241</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Y208+Y209</f>
        <v>0</v>
      </c>
      <c r="Z210" s="98">
        <f>Z209+Z208</f>
        <v>369</v>
      </c>
      <c r="AA210" s="40"/>
      <c r="AB210" s="98">
        <f>Y210+Z210</f>
        <v>369</v>
      </c>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242</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Y207-Y210-Z210</f>
        <v>123837.40000000001</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9" customFormat="1" ht="16.2" thickBot="1" x14ac:dyDescent="0.35">
      <c r="A212" s="138"/>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126"/>
      <c r="AC212" s="10"/>
      <c r="AD212" s="5"/>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row>
    <row r="213" spans="1:262" x14ac:dyDescent="0.3">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134"/>
      <c r="AC213" s="4"/>
      <c r="AD213" s="5"/>
    </row>
    <row r="214" spans="1:262" s="136" customFormat="1" x14ac:dyDescent="0.3">
      <c r="A214" s="7"/>
      <c r="B214" s="125" t="s">
        <v>267</v>
      </c>
      <c r="C214" s="99"/>
      <c r="D214" s="99"/>
      <c r="E214" s="99"/>
      <c r="F214" s="99"/>
      <c r="G214" s="99"/>
      <c r="H214" s="99"/>
      <c r="I214" s="99"/>
      <c r="J214" s="99"/>
      <c r="K214" s="99"/>
      <c r="L214" s="99"/>
      <c r="M214" s="99"/>
      <c r="N214" s="99"/>
      <c r="O214" s="99"/>
      <c r="P214" s="99"/>
      <c r="Q214" s="99"/>
      <c r="R214" s="99"/>
      <c r="S214" s="99"/>
      <c r="T214" s="99"/>
      <c r="U214" s="99"/>
      <c r="V214" s="99"/>
      <c r="W214" s="99"/>
      <c r="X214" s="99"/>
      <c r="Y214" s="233"/>
      <c r="Z214" s="233"/>
      <c r="AA214" s="12"/>
      <c r="AB214" s="234" t="s">
        <v>80</v>
      </c>
      <c r="AC214" s="10"/>
      <c r="AD214" s="5"/>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row>
    <row r="215" spans="1:262" s="137" customFormat="1" x14ac:dyDescent="0.3">
      <c r="A215" s="47"/>
      <c r="B215" s="40" t="s">
        <v>265</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c r="Z215" s="70"/>
      <c r="AA215" s="40"/>
      <c r="AB215" s="237">
        <v>735000</v>
      </c>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7" customFormat="1" x14ac:dyDescent="0.3">
      <c r="A216" s="47"/>
      <c r="B216" s="40" t="s">
        <v>325</v>
      </c>
      <c r="C216" s="40"/>
      <c r="D216" s="40"/>
      <c r="E216" s="40"/>
      <c r="F216" s="40"/>
      <c r="G216" s="40"/>
      <c r="H216" s="40"/>
      <c r="I216" s="40"/>
      <c r="J216" s="40"/>
      <c r="K216" s="40"/>
      <c r="L216" s="40"/>
      <c r="M216" s="40"/>
      <c r="N216" s="40"/>
      <c r="O216" s="40"/>
      <c r="P216" s="40"/>
      <c r="Q216" s="40"/>
      <c r="R216" s="40"/>
      <c r="S216" s="40"/>
      <c r="T216" s="40"/>
      <c r="U216" s="40"/>
      <c r="V216" s="40"/>
      <c r="W216" s="40"/>
      <c r="X216" s="40"/>
      <c r="Y216" s="98"/>
      <c r="Z216" s="98"/>
      <c r="AA216" s="40"/>
      <c r="AB216" s="237">
        <v>732502</v>
      </c>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7" customFormat="1" x14ac:dyDescent="0.3">
      <c r="A217" s="47"/>
      <c r="B217" s="40" t="s">
        <v>266</v>
      </c>
      <c r="C217" s="40"/>
      <c r="D217" s="40"/>
      <c r="E217" s="40"/>
      <c r="F217" s="40"/>
      <c r="G217" s="40"/>
      <c r="H217" s="40"/>
      <c r="I217" s="40"/>
      <c r="J217" s="40"/>
      <c r="K217" s="40"/>
      <c r="L217" s="40"/>
      <c r="M217" s="40"/>
      <c r="N217" s="40"/>
      <c r="O217" s="40"/>
      <c r="P217" s="40"/>
      <c r="Q217" s="40"/>
      <c r="R217" s="40"/>
      <c r="S217" s="40"/>
      <c r="T217" s="40"/>
      <c r="U217" s="40"/>
      <c r="V217" s="40"/>
      <c r="W217" s="40"/>
      <c r="X217" s="40"/>
      <c r="Y217" s="98"/>
      <c r="Z217" s="98"/>
      <c r="AA217" s="40"/>
      <c r="AB217" s="98">
        <f>AB215-AB216</f>
        <v>2498</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7" customFormat="1" x14ac:dyDescent="0.3">
      <c r="A218" s="47"/>
      <c r="B218" s="40" t="s">
        <v>279</v>
      </c>
      <c r="C218" s="40"/>
      <c r="D218" s="40"/>
      <c r="E218" s="40"/>
      <c r="F218" s="40"/>
      <c r="G218" s="40"/>
      <c r="H218" s="40"/>
      <c r="I218" s="40"/>
      <c r="J218" s="40"/>
      <c r="K218" s="40"/>
      <c r="L218" s="40"/>
      <c r="M218" s="40"/>
      <c r="N218" s="40"/>
      <c r="O218" s="40"/>
      <c r="P218" s="40"/>
      <c r="Q218" s="40"/>
      <c r="R218" s="40"/>
      <c r="S218" s="40"/>
      <c r="T218" s="40"/>
      <c r="U218" s="40"/>
      <c r="V218" s="40"/>
      <c r="W218" s="40"/>
      <c r="X218" s="40"/>
      <c r="Y218" s="97"/>
      <c r="Z218" s="97"/>
      <c r="AA218" s="40"/>
      <c r="AB218" s="240">
        <v>4.5999999999999999E-3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9" customFormat="1" ht="16.2" thickBot="1" x14ac:dyDescent="0.35">
      <c r="A219" s="138"/>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126"/>
      <c r="AC219" s="10"/>
      <c r="AD219" s="5"/>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row>
    <row r="220" spans="1:262" x14ac:dyDescent="0.3">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134"/>
      <c r="AC220" s="4"/>
      <c r="AD220" s="5"/>
    </row>
    <row r="221" spans="1:262" x14ac:dyDescent="0.3">
      <c r="A221" s="7"/>
      <c r="B221" s="125" t="s">
        <v>39</v>
      </c>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140"/>
      <c r="AC221" s="10"/>
      <c r="AD221" s="5"/>
    </row>
    <row r="222" spans="1:262" s="23" customFormat="1" x14ac:dyDescent="0.3">
      <c r="A222" s="47"/>
      <c r="B222" s="40" t="s">
        <v>40</v>
      </c>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142">
        <f>(AB86+AB88+AB89+AB90+AB91)/-AB92</f>
        <v>3.2111356119073871</v>
      </c>
      <c r="AC222" s="43" t="s">
        <v>81</v>
      </c>
      <c r="AD222" s="22"/>
    </row>
    <row r="223" spans="1:262" s="23" customFormat="1" x14ac:dyDescent="0.3">
      <c r="A223" s="47"/>
      <c r="B223" s="40" t="s">
        <v>41</v>
      </c>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142">
        <v>2.86</v>
      </c>
      <c r="AC223" s="43" t="s">
        <v>81</v>
      </c>
      <c r="AD223" s="22"/>
    </row>
    <row r="224" spans="1:262" s="23" customFormat="1" x14ac:dyDescent="0.3">
      <c r="A224" s="47"/>
      <c r="B224" s="40" t="s">
        <v>144</v>
      </c>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141">
        <f>(AB86+AB88+AB89+AB90+AB91+AB92)/-(AB93)</f>
        <v>24.913043478260871</v>
      </c>
      <c r="AC224" s="43" t="s">
        <v>81</v>
      </c>
      <c r="AD224" s="22"/>
    </row>
    <row r="225" spans="1:30" s="23" customFormat="1" x14ac:dyDescent="0.3">
      <c r="A225" s="47"/>
      <c r="B225" s="40" t="s">
        <v>145</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v>21.19</v>
      </c>
      <c r="AC225" s="43" t="s">
        <v>81</v>
      </c>
      <c r="AD225" s="22"/>
    </row>
    <row r="226" spans="1:30" s="23" customFormat="1" x14ac:dyDescent="0.3">
      <c r="A226" s="47"/>
      <c r="B226" s="40" t="s">
        <v>146</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1">
        <f>(AB86+AB88+AB89+AB90+AB91+AB92+AB93)/-(AB95)</f>
        <v>36.666666666666664</v>
      </c>
      <c r="AC226" s="43" t="s">
        <v>81</v>
      </c>
      <c r="AD226" s="22"/>
    </row>
    <row r="227" spans="1:30" s="23" customFormat="1" x14ac:dyDescent="0.3">
      <c r="A227" s="47"/>
      <c r="B227" s="40" t="s">
        <v>147</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31.02</v>
      </c>
      <c r="AC227" s="43" t="s">
        <v>81</v>
      </c>
      <c r="AD227" s="22"/>
    </row>
    <row r="228" spans="1:30" s="23" customFormat="1" x14ac:dyDescent="0.3">
      <c r="A228" s="47"/>
      <c r="B228" s="40" t="s">
        <v>177</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(AB86+AB88+AB89+AB90+AB91+AB92+AB93+AB95)/-(AB96)</f>
        <v>30.696721311475411</v>
      </c>
      <c r="AC228" s="43" t="s">
        <v>81</v>
      </c>
      <c r="AD228" s="22"/>
    </row>
    <row r="229" spans="1:30" s="23" customFormat="1" x14ac:dyDescent="0.3">
      <c r="A229" s="47"/>
      <c r="B229" s="40" t="s">
        <v>178</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25.82</v>
      </c>
      <c r="AC229" s="43" t="s">
        <v>81</v>
      </c>
      <c r="AD229" s="22"/>
    </row>
    <row r="230" spans="1:30" s="23" customFormat="1" x14ac:dyDescent="0.3">
      <c r="A230" s="47"/>
      <c r="B230" s="40" t="s">
        <v>164</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(AB86+AB88+AB89+AB90+AB91+AB92+AB93+AB95+AB96)/-(AB105)</f>
        <v>18.675257731958762</v>
      </c>
      <c r="AC230" s="43" t="s">
        <v>81</v>
      </c>
      <c r="AD230" s="22"/>
    </row>
    <row r="231" spans="1:30" s="23" customFormat="1" x14ac:dyDescent="0.3">
      <c r="A231" s="47"/>
      <c r="B231" s="40" t="s">
        <v>165</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15.65</v>
      </c>
      <c r="AC231" s="43" t="s">
        <v>81</v>
      </c>
      <c r="AD231" s="22"/>
    </row>
    <row r="232" spans="1:30" s="23" customFormat="1" x14ac:dyDescent="0.3">
      <c r="A232" s="18"/>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21"/>
      <c r="AD232" s="22"/>
    </row>
    <row r="233" spans="1:30" s="23" customFormat="1" x14ac:dyDescent="0.3">
      <c r="A233" s="18"/>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1"/>
      <c r="AD233" s="22"/>
    </row>
    <row r="234" spans="1:30" s="23" customFormat="1" ht="18.600000000000001" thickBot="1" x14ac:dyDescent="0.4">
      <c r="A234" s="83"/>
      <c r="B234" s="84" t="str">
        <f>B131</f>
        <v>PM27 INVESTOR REPORT QUARTER ENDING JUNE 2021</v>
      </c>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7"/>
      <c r="AD234" s="22"/>
    </row>
    <row r="235" spans="1:30" x14ac:dyDescent="0.3">
      <c r="A235" s="119"/>
      <c r="B235" s="120" t="s">
        <v>42</v>
      </c>
      <c r="C235" s="143"/>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v>44377</v>
      </c>
      <c r="AA235" s="121"/>
      <c r="AB235" s="121"/>
      <c r="AC235" s="123"/>
      <c r="AD235" s="5"/>
    </row>
    <row r="236" spans="1:30" x14ac:dyDescent="0.3">
      <c r="A236" s="145"/>
      <c r="B236" s="146"/>
      <c r="C236" s="147"/>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9"/>
      <c r="AB236" s="9"/>
      <c r="AC236" s="10"/>
      <c r="AD236" s="5"/>
    </row>
    <row r="237" spans="1:30" s="23" customFormat="1" x14ac:dyDescent="0.3">
      <c r="A237" s="47"/>
      <c r="B237" s="40" t="s">
        <v>43</v>
      </c>
      <c r="C237" s="149"/>
      <c r="D237" s="73"/>
      <c r="E237" s="73"/>
      <c r="F237" s="73"/>
      <c r="G237" s="73"/>
      <c r="H237" s="73"/>
      <c r="I237" s="73"/>
      <c r="J237" s="73"/>
      <c r="K237" s="73"/>
      <c r="L237" s="73"/>
      <c r="M237" s="73"/>
      <c r="N237" s="73"/>
      <c r="O237" s="73"/>
      <c r="P237" s="73"/>
      <c r="Q237" s="73"/>
      <c r="R237" s="73"/>
      <c r="S237" s="73"/>
      <c r="T237" s="73"/>
      <c r="U237" s="73"/>
      <c r="V237" s="73"/>
      <c r="W237" s="73"/>
      <c r="X237" s="73"/>
      <c r="Y237" s="73"/>
      <c r="Z237" s="67">
        <v>3.5749999999999997E-2</v>
      </c>
      <c r="AA237" s="40"/>
      <c r="AB237" s="40"/>
      <c r="AC237" s="43"/>
      <c r="AD237" s="22"/>
    </row>
    <row r="238" spans="1:30" s="23" customFormat="1" x14ac:dyDescent="0.3">
      <c r="A238" s="47"/>
      <c r="B238" s="40" t="s">
        <v>132</v>
      </c>
      <c r="C238" s="149"/>
      <c r="D238" s="73"/>
      <c r="E238" s="73"/>
      <c r="F238" s="73"/>
      <c r="G238" s="73"/>
      <c r="H238" s="73"/>
      <c r="I238" s="73"/>
      <c r="J238" s="73"/>
      <c r="K238" s="73"/>
      <c r="L238" s="73"/>
      <c r="M238" s="73"/>
      <c r="N238" s="73"/>
      <c r="O238" s="73"/>
      <c r="P238" s="73"/>
      <c r="Q238" s="73"/>
      <c r="R238" s="73"/>
      <c r="S238" s="73"/>
      <c r="T238" s="73"/>
      <c r="U238" s="73"/>
      <c r="V238" s="73"/>
      <c r="W238" s="73"/>
      <c r="X238" s="73"/>
      <c r="Y238" s="73"/>
      <c r="Z238" s="67">
        <v>1.3036129402559968E-2</v>
      </c>
      <c r="AA238" s="40"/>
      <c r="AB238" s="40"/>
      <c r="AC238" s="43"/>
      <c r="AD238" s="22"/>
    </row>
    <row r="239" spans="1:30" s="23" customFormat="1" x14ac:dyDescent="0.3">
      <c r="A239" s="47"/>
      <c r="B239" s="40" t="s">
        <v>44</v>
      </c>
      <c r="C239" s="149"/>
      <c r="D239" s="73"/>
      <c r="E239" s="73"/>
      <c r="F239" s="73"/>
      <c r="G239" s="73"/>
      <c r="H239" s="73"/>
      <c r="I239" s="73"/>
      <c r="J239" s="73"/>
      <c r="K239" s="73"/>
      <c r="L239" s="73"/>
      <c r="M239" s="73"/>
      <c r="N239" s="73"/>
      <c r="O239" s="73"/>
      <c r="P239" s="73"/>
      <c r="Q239" s="73"/>
      <c r="R239" s="73"/>
      <c r="S239" s="73"/>
      <c r="T239" s="73"/>
      <c r="U239" s="73"/>
      <c r="V239" s="73"/>
      <c r="W239" s="73"/>
      <c r="X239" s="73"/>
      <c r="Y239" s="73"/>
      <c r="Z239" s="67">
        <f>Z237-Z238</f>
        <v>2.2713870597440029E-2</v>
      </c>
      <c r="AA239" s="40"/>
      <c r="AB239" s="40"/>
      <c r="AC239" s="43"/>
      <c r="AD239" s="22"/>
    </row>
    <row r="240" spans="1:30" s="23" customFormat="1" x14ac:dyDescent="0.3">
      <c r="A240" s="47"/>
      <c r="B240" s="40" t="s">
        <v>45</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3.5830000000000001E-2</v>
      </c>
      <c r="AA240" s="40"/>
      <c r="AB240" s="40"/>
      <c r="AC240" s="43"/>
      <c r="AD240" s="22"/>
    </row>
    <row r="241" spans="1:30" s="23" customFormat="1" x14ac:dyDescent="0.3">
      <c r="A241" s="47"/>
      <c r="B241" s="40" t="s">
        <v>133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f>+AB35</f>
        <v>1.2903768720361938E-2</v>
      </c>
      <c r="AA241" s="40"/>
      <c r="AB241" s="40"/>
      <c r="AC241" s="43"/>
      <c r="AD241" s="22"/>
    </row>
    <row r="242" spans="1:30" s="23" customFormat="1" x14ac:dyDescent="0.3">
      <c r="A242" s="47"/>
      <c r="B242" s="40" t="s">
        <v>46</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2.2926231279638061E-2</v>
      </c>
      <c r="AA242" s="40"/>
      <c r="AB242" s="40"/>
      <c r="AC242" s="43"/>
      <c r="AD242" s="22"/>
    </row>
    <row r="243" spans="1:30" s="23" customFormat="1" x14ac:dyDescent="0.3">
      <c r="A243" s="47"/>
      <c r="B243" s="40" t="s">
        <v>119</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(+AB86+AB88)/R66</f>
        <v>9.3601838478100958E-3</v>
      </c>
      <c r="AA243" s="40"/>
      <c r="AB243" s="40"/>
      <c r="AC243" s="43"/>
      <c r="AD243" s="22"/>
    </row>
    <row r="244" spans="1:30" s="23" customFormat="1" x14ac:dyDescent="0.3">
      <c r="A244" s="47"/>
      <c r="B244" s="40" t="s">
        <v>112</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150">
        <v>53797</v>
      </c>
      <c r="AA244" s="40"/>
      <c r="AB244" s="40"/>
      <c r="AC244" s="43"/>
      <c r="AD244" s="22"/>
    </row>
    <row r="245" spans="1:30" s="23" customFormat="1" x14ac:dyDescent="0.3">
      <c r="A245" s="47"/>
      <c r="B245" s="40" t="s">
        <v>148</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150">
        <v>53797</v>
      </c>
      <c r="AA245" s="40"/>
      <c r="AB245" s="40"/>
      <c r="AC245" s="43"/>
      <c r="AD245" s="22"/>
    </row>
    <row r="246" spans="1:30" s="23" customFormat="1" x14ac:dyDescent="0.3">
      <c r="A246" s="47"/>
      <c r="B246" s="40" t="s">
        <v>149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150">
        <v>53797</v>
      </c>
      <c r="AA246" s="40"/>
      <c r="AB246" s="40"/>
      <c r="AC246" s="43"/>
      <c r="AD246" s="22"/>
    </row>
    <row r="247" spans="1:30" s="23" customFormat="1" x14ac:dyDescent="0.3">
      <c r="A247" s="47"/>
      <c r="B247" s="40" t="s">
        <v>179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53797</v>
      </c>
      <c r="AA247" s="40"/>
      <c r="AB247" s="40"/>
      <c r="AC247" s="43"/>
      <c r="AD247" s="22"/>
    </row>
    <row r="248" spans="1:30" s="23" customFormat="1" x14ac:dyDescent="0.3">
      <c r="A248" s="47"/>
      <c r="B248" s="40" t="s">
        <v>166</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53797</v>
      </c>
      <c r="AA248" s="40"/>
      <c r="AB248" s="40"/>
      <c r="AC248" s="43"/>
      <c r="AD248" s="22"/>
    </row>
    <row r="249" spans="1:30" s="23" customFormat="1" x14ac:dyDescent="0.3">
      <c r="A249" s="47"/>
      <c r="B249" s="40" t="s">
        <v>194</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53797</v>
      </c>
      <c r="AA249" s="40"/>
      <c r="AB249" s="40"/>
      <c r="AC249" s="43"/>
      <c r="AD249" s="22"/>
    </row>
    <row r="250" spans="1:30" s="23" customFormat="1" x14ac:dyDescent="0.3">
      <c r="A250" s="47"/>
      <c r="B250" s="40" t="s">
        <v>195</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53797</v>
      </c>
      <c r="AA250" s="40"/>
      <c r="AB250" s="40"/>
      <c r="AC250" s="43"/>
      <c r="AD250" s="22"/>
    </row>
    <row r="251" spans="1:30" s="23" customFormat="1" x14ac:dyDescent="0.3">
      <c r="A251" s="47"/>
      <c r="B251" s="40" t="s">
        <v>47</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71">
        <v>21.18</v>
      </c>
      <c r="AA251" s="40" t="s">
        <v>76</v>
      </c>
      <c r="AB251" s="40"/>
      <c r="AC251" s="43"/>
      <c r="AD251" s="22"/>
    </row>
    <row r="252" spans="1:30" s="23" customFormat="1" x14ac:dyDescent="0.3">
      <c r="A252" s="47"/>
      <c r="B252" s="40" t="s">
        <v>48</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71">
        <v>20.07</v>
      </c>
      <c r="AA252" s="40" t="s">
        <v>76</v>
      </c>
      <c r="AB252" s="40"/>
      <c r="AC252" s="43"/>
      <c r="AD252" s="22"/>
    </row>
    <row r="253" spans="1:30" s="23" customFormat="1" x14ac:dyDescent="0.3">
      <c r="A253" s="47"/>
      <c r="B253" s="40" t="s">
        <v>49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67">
        <f>(+T57+V57+Z57)/(R57+R63+R64)</f>
        <v>1.1560290161672242E-2</v>
      </c>
      <c r="AA253" s="40"/>
      <c r="AB253" s="40"/>
      <c r="AC253" s="43"/>
      <c r="AD253" s="22"/>
    </row>
    <row r="254" spans="1:30" s="23" customFormat="1" x14ac:dyDescent="0.3">
      <c r="A254" s="47"/>
      <c r="B254" s="40" t="s">
        <v>50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67">
        <v>2.63E-2</v>
      </c>
      <c r="AA254" s="40"/>
      <c r="AB254" s="40"/>
      <c r="AC254" s="43"/>
      <c r="AD254" s="22"/>
    </row>
    <row r="255" spans="1:30" x14ac:dyDescent="0.3">
      <c r="A255" s="145"/>
      <c r="B255" s="151"/>
      <c r="C255" s="151"/>
      <c r="D255" s="99"/>
      <c r="E255" s="99"/>
      <c r="F255" s="99"/>
      <c r="G255" s="99"/>
      <c r="H255" s="99"/>
      <c r="I255" s="99"/>
      <c r="J255" s="99"/>
      <c r="K255" s="99"/>
      <c r="L255" s="99"/>
      <c r="M255" s="99"/>
      <c r="N255" s="99"/>
      <c r="O255" s="99"/>
      <c r="P255" s="99"/>
      <c r="Q255" s="99"/>
      <c r="R255" s="99"/>
      <c r="S255" s="99"/>
      <c r="T255" s="99"/>
      <c r="U255" s="99"/>
      <c r="V255" s="99"/>
      <c r="W255" s="99"/>
      <c r="X255" s="99"/>
      <c r="Y255" s="99"/>
      <c r="Z255" s="126"/>
      <c r="AA255" s="99"/>
      <c r="AB255" s="152"/>
      <c r="AC255" s="10"/>
      <c r="AD255" s="5"/>
    </row>
    <row r="256" spans="1:30" x14ac:dyDescent="0.3">
      <c r="A256" s="153"/>
      <c r="B256" s="102" t="s">
        <v>51</v>
      </c>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t="s">
        <v>69</v>
      </c>
      <c r="Z256" s="154" t="s">
        <v>74</v>
      </c>
      <c r="AA256" s="34"/>
      <c r="AB256" s="34"/>
      <c r="AC256" s="36"/>
      <c r="AD256" s="5"/>
    </row>
    <row r="257" spans="1:30" s="23" customFormat="1" x14ac:dyDescent="0.3">
      <c r="A257" s="155"/>
      <c r="B257" s="37" t="s">
        <v>52</v>
      </c>
      <c r="C257" s="10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v>0</v>
      </c>
      <c r="Z257" s="157">
        <v>0</v>
      </c>
      <c r="AA257" s="37"/>
      <c r="AB257" s="158"/>
      <c r="AC257" s="159"/>
      <c r="AD257" s="22"/>
    </row>
    <row r="258" spans="1:30" s="23" customFormat="1" x14ac:dyDescent="0.3">
      <c r="A258" s="160"/>
      <c r="B258" s="40" t="s">
        <v>97</v>
      </c>
      <c r="C258" s="97"/>
      <c r="D258" s="48"/>
      <c r="E258" s="48"/>
      <c r="F258" s="48"/>
      <c r="G258" s="48"/>
      <c r="H258" s="48"/>
      <c r="I258" s="48"/>
      <c r="J258" s="48"/>
      <c r="K258" s="48"/>
      <c r="L258" s="48"/>
      <c r="M258" s="48"/>
      <c r="N258" s="48"/>
      <c r="O258" s="48"/>
      <c r="P258" s="48"/>
      <c r="Q258" s="48"/>
      <c r="R258" s="48"/>
      <c r="S258" s="48"/>
      <c r="T258" s="48"/>
      <c r="U258" s="48"/>
      <c r="V258" s="48"/>
      <c r="W258" s="48"/>
      <c r="X258" s="48"/>
      <c r="Y258" s="161">
        <f>+X310</f>
        <v>0</v>
      </c>
      <c r="Z258" s="162">
        <f>+Z310</f>
        <v>0</v>
      </c>
      <c r="AA258" s="40"/>
      <c r="AB258" s="163"/>
      <c r="AC258" s="164"/>
      <c r="AD258" s="22"/>
    </row>
    <row r="259" spans="1:30" s="23" customFormat="1" x14ac:dyDescent="0.3">
      <c r="A259" s="160"/>
      <c r="B259" s="40" t="s">
        <v>53</v>
      </c>
      <c r="C259" s="97"/>
      <c r="D259" s="48"/>
      <c r="E259" s="48"/>
      <c r="F259" s="48"/>
      <c r="G259" s="48"/>
      <c r="H259" s="48"/>
      <c r="I259" s="48"/>
      <c r="J259" s="48"/>
      <c r="K259" s="48"/>
      <c r="L259" s="48"/>
      <c r="M259" s="48"/>
      <c r="N259" s="48"/>
      <c r="O259" s="48"/>
      <c r="P259" s="48"/>
      <c r="Q259" s="48"/>
      <c r="R259" s="48"/>
      <c r="S259" s="48"/>
      <c r="T259" s="48"/>
      <c r="U259" s="48"/>
      <c r="V259" s="48"/>
      <c r="W259" s="48"/>
      <c r="X259" s="48"/>
      <c r="Y259" s="161">
        <f>+X332</f>
        <v>0</v>
      </c>
      <c r="Z259" s="162">
        <f>+Z332</f>
        <v>0</v>
      </c>
      <c r="AA259" s="40"/>
      <c r="AB259" s="163"/>
      <c r="AC259" s="164"/>
      <c r="AD259" s="22"/>
    </row>
    <row r="260" spans="1:30" x14ac:dyDescent="0.3">
      <c r="A260" s="165"/>
      <c r="B260" s="166" t="s">
        <v>167</v>
      </c>
      <c r="C260" s="167"/>
      <c r="D260" s="59"/>
      <c r="E260" s="59"/>
      <c r="F260" s="59"/>
      <c r="G260" s="59"/>
      <c r="H260" s="59"/>
      <c r="I260" s="59"/>
      <c r="J260" s="59"/>
      <c r="K260" s="59"/>
      <c r="L260" s="59"/>
      <c r="M260" s="59"/>
      <c r="N260" s="59"/>
      <c r="O260" s="59"/>
      <c r="P260" s="59"/>
      <c r="Q260" s="59"/>
      <c r="R260" s="59"/>
      <c r="S260" s="59"/>
      <c r="T260" s="59"/>
      <c r="U260" s="59"/>
      <c r="V260" s="59"/>
      <c r="W260" s="59"/>
      <c r="X260" s="59"/>
      <c r="Y260" s="112"/>
      <c r="Z260" s="162">
        <f>Z57</f>
        <v>0</v>
      </c>
      <c r="AA260" s="59"/>
      <c r="AB260" s="168"/>
      <c r="AC260" s="169"/>
      <c r="AD260" s="5"/>
    </row>
    <row r="261" spans="1:30" x14ac:dyDescent="0.3">
      <c r="A261" s="165"/>
      <c r="B261" s="166" t="s">
        <v>261</v>
      </c>
      <c r="C261" s="167"/>
      <c r="D261" s="59"/>
      <c r="E261" s="59"/>
      <c r="F261" s="59"/>
      <c r="G261" s="59"/>
      <c r="H261" s="59"/>
      <c r="I261" s="59"/>
      <c r="J261" s="59"/>
      <c r="K261" s="59"/>
      <c r="L261" s="59"/>
      <c r="M261" s="59"/>
      <c r="N261" s="59"/>
      <c r="O261" s="59"/>
      <c r="P261" s="59"/>
      <c r="Q261" s="59"/>
      <c r="R261" s="59"/>
      <c r="S261" s="59"/>
      <c r="T261" s="59"/>
      <c r="U261" s="59"/>
      <c r="V261" s="59"/>
      <c r="W261" s="59"/>
      <c r="X261" s="59"/>
      <c r="Y261" s="112"/>
      <c r="Z261" s="162">
        <f>-T63</f>
        <v>0</v>
      </c>
      <c r="AA261" s="59"/>
      <c r="AB261" s="168"/>
      <c r="AC261" s="169"/>
      <c r="AD261" s="5"/>
    </row>
    <row r="262" spans="1:30" x14ac:dyDescent="0.3">
      <c r="A262" s="170"/>
      <c r="B262" s="166" t="s">
        <v>54</v>
      </c>
      <c r="C262" s="171"/>
      <c r="D262" s="59"/>
      <c r="E262" s="59"/>
      <c r="F262" s="59"/>
      <c r="G262" s="59"/>
      <c r="H262" s="59"/>
      <c r="I262" s="59"/>
      <c r="J262" s="59"/>
      <c r="K262" s="59"/>
      <c r="L262" s="59"/>
      <c r="M262" s="59"/>
      <c r="N262" s="59"/>
      <c r="O262" s="59"/>
      <c r="P262" s="59"/>
      <c r="Q262" s="59"/>
      <c r="R262" s="59"/>
      <c r="S262" s="59"/>
      <c r="T262" s="59"/>
      <c r="U262" s="59"/>
      <c r="V262" s="59"/>
      <c r="W262" s="59"/>
      <c r="X262" s="59"/>
      <c r="Y262" s="112"/>
      <c r="Z262" s="172"/>
      <c r="AA262" s="59"/>
      <c r="AB262" s="168"/>
      <c r="AC262" s="173"/>
      <c r="AD262" s="5"/>
    </row>
    <row r="263" spans="1:30" s="23" customFormat="1" x14ac:dyDescent="0.3">
      <c r="A263" s="174"/>
      <c r="B263" s="40" t="s">
        <v>55</v>
      </c>
      <c r="C263" s="40"/>
      <c r="D263" s="40"/>
      <c r="E263" s="40"/>
      <c r="F263" s="40"/>
      <c r="G263" s="40"/>
      <c r="H263" s="40"/>
      <c r="I263" s="40"/>
      <c r="J263" s="40"/>
      <c r="K263" s="40"/>
      <c r="L263" s="40"/>
      <c r="M263" s="40"/>
      <c r="N263" s="40"/>
      <c r="O263" s="40"/>
      <c r="P263" s="40"/>
      <c r="Q263" s="40"/>
      <c r="R263" s="40"/>
      <c r="S263" s="40"/>
      <c r="T263" s="40"/>
      <c r="U263" s="40"/>
      <c r="V263" s="40"/>
      <c r="W263" s="40"/>
      <c r="X263" s="40"/>
      <c r="Y263" s="48"/>
      <c r="Z263" s="162">
        <f>AB166</f>
        <v>-1</v>
      </c>
      <c r="AA263" s="40"/>
      <c r="AB263" s="163"/>
      <c r="AC263" s="175"/>
      <c r="AD263" s="22"/>
    </row>
    <row r="264" spans="1:30" s="23" customFormat="1" x14ac:dyDescent="0.3">
      <c r="A264" s="160"/>
      <c r="B264" s="40" t="s">
        <v>56</v>
      </c>
      <c r="C264" s="97"/>
      <c r="D264" s="40"/>
      <c r="E264" s="40"/>
      <c r="F264" s="40"/>
      <c r="G264" s="40"/>
      <c r="H264" s="40"/>
      <c r="I264" s="40"/>
      <c r="J264" s="40"/>
      <c r="K264" s="40"/>
      <c r="L264" s="40"/>
      <c r="M264" s="40"/>
      <c r="N264" s="40"/>
      <c r="O264" s="40"/>
      <c r="P264" s="40"/>
      <c r="Q264" s="40"/>
      <c r="R264" s="40"/>
      <c r="S264" s="40"/>
      <c r="T264" s="40"/>
      <c r="U264" s="40"/>
      <c r="V264" s="40"/>
      <c r="W264" s="40"/>
      <c r="X264" s="40"/>
      <c r="Y264" s="48"/>
      <c r="Z264" s="162">
        <f>Z263+'March 2021'!Z264</f>
        <v>0</v>
      </c>
      <c r="AA264" s="40"/>
      <c r="AB264" s="163"/>
      <c r="AC264" s="175"/>
      <c r="AD264" s="22"/>
    </row>
    <row r="265" spans="1:30" x14ac:dyDescent="0.3">
      <c r="A265" s="170"/>
      <c r="B265" s="166" t="s">
        <v>125</v>
      </c>
      <c r="C265" s="171"/>
      <c r="D265" s="59"/>
      <c r="E265" s="59"/>
      <c r="F265" s="59"/>
      <c r="G265" s="59"/>
      <c r="H265" s="59"/>
      <c r="I265" s="59"/>
      <c r="J265" s="59"/>
      <c r="K265" s="59"/>
      <c r="L265" s="59"/>
      <c r="M265" s="59"/>
      <c r="N265" s="59"/>
      <c r="O265" s="59"/>
      <c r="P265" s="59"/>
      <c r="Q265" s="59"/>
      <c r="R265" s="59"/>
      <c r="S265" s="59"/>
      <c r="T265" s="59"/>
      <c r="U265" s="59"/>
      <c r="V265" s="59"/>
      <c r="W265" s="59"/>
      <c r="X265" s="59"/>
      <c r="Y265" s="176"/>
      <c r="Z265" s="172"/>
      <c r="AA265" s="59"/>
      <c r="AB265" s="168"/>
      <c r="AC265" s="173"/>
      <c r="AD265" s="5"/>
    </row>
    <row r="266" spans="1:30" s="23" customFormat="1" x14ac:dyDescent="0.3">
      <c r="A266" s="174"/>
      <c r="B266" s="40" t="s">
        <v>134</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v>0</v>
      </c>
      <c r="Z266" s="162">
        <v>0</v>
      </c>
      <c r="AA266" s="40"/>
      <c r="AB266" s="163"/>
      <c r="AC266" s="175"/>
      <c r="AD266" s="22"/>
    </row>
    <row r="267" spans="1:30" s="23" customFormat="1" x14ac:dyDescent="0.3">
      <c r="A267" s="160"/>
      <c r="B267" s="40" t="s">
        <v>57</v>
      </c>
      <c r="C267" s="70"/>
      <c r="D267" s="40"/>
      <c r="E267" s="40"/>
      <c r="F267" s="40"/>
      <c r="G267" s="40"/>
      <c r="H267" s="40"/>
      <c r="I267" s="40"/>
      <c r="J267" s="40"/>
      <c r="K267" s="40"/>
      <c r="L267" s="40"/>
      <c r="M267" s="40"/>
      <c r="N267" s="40"/>
      <c r="O267" s="40"/>
      <c r="P267" s="40"/>
      <c r="Q267" s="40"/>
      <c r="R267" s="40"/>
      <c r="S267" s="40"/>
      <c r="T267" s="40"/>
      <c r="U267" s="40"/>
      <c r="V267" s="40"/>
      <c r="W267" s="40"/>
      <c r="X267" s="40"/>
      <c r="Y267" s="40"/>
      <c r="Z267" s="177">
        <v>0</v>
      </c>
      <c r="AA267" s="40"/>
      <c r="AB267" s="163"/>
      <c r="AC267" s="175"/>
      <c r="AD267" s="22"/>
    </row>
    <row r="268" spans="1:30" s="23" customFormat="1" x14ac:dyDescent="0.3">
      <c r="A268" s="160"/>
      <c r="B268" s="40" t="s">
        <v>58</v>
      </c>
      <c r="C268" s="70"/>
      <c r="D268" s="40"/>
      <c r="E268" s="40"/>
      <c r="F268" s="40"/>
      <c r="G268" s="40"/>
      <c r="H268" s="40"/>
      <c r="I268" s="40"/>
      <c r="J268" s="40"/>
      <c r="K268" s="40"/>
      <c r="L268" s="40"/>
      <c r="M268" s="40"/>
      <c r="N268" s="40"/>
      <c r="O268" s="40"/>
      <c r="P268" s="40"/>
      <c r="Q268" s="40"/>
      <c r="R268" s="40"/>
      <c r="S268" s="40"/>
      <c r="T268" s="40"/>
      <c r="U268" s="40"/>
      <c r="V268" s="40"/>
      <c r="W268" s="40"/>
      <c r="X268" s="40"/>
      <c r="Y268" s="40"/>
      <c r="Z268" s="177">
        <v>0</v>
      </c>
      <c r="AA268" s="40"/>
      <c r="AB268" s="163"/>
      <c r="AC268" s="175"/>
      <c r="AD268" s="22"/>
    </row>
    <row r="269" spans="1:30" x14ac:dyDescent="0.3">
      <c r="A269" s="165"/>
      <c r="B269" s="166" t="s">
        <v>116</v>
      </c>
      <c r="C269" s="178"/>
      <c r="D269" s="59"/>
      <c r="E269" s="59"/>
      <c r="F269" s="59"/>
      <c r="G269" s="59"/>
      <c r="H269" s="59"/>
      <c r="I269" s="59"/>
      <c r="J269" s="59"/>
      <c r="K269" s="59"/>
      <c r="L269" s="59"/>
      <c r="M269" s="59"/>
      <c r="N269" s="59"/>
      <c r="O269" s="59"/>
      <c r="P269" s="59"/>
      <c r="Q269" s="59"/>
      <c r="R269" s="59"/>
      <c r="S269" s="59"/>
      <c r="T269" s="59"/>
      <c r="U269" s="59"/>
      <c r="V269" s="59"/>
      <c r="W269" s="59"/>
      <c r="X269" s="59"/>
      <c r="Y269" s="112"/>
      <c r="Z269" s="179"/>
      <c r="AA269" s="59"/>
      <c r="AB269" s="168"/>
      <c r="AC269" s="173"/>
      <c r="AD269" s="5"/>
    </row>
    <row r="270" spans="1:30" s="23" customFormat="1" x14ac:dyDescent="0.3">
      <c r="A270" s="160"/>
      <c r="B270" s="40" t="s">
        <v>134</v>
      </c>
      <c r="C270" s="7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0" s="23" customFormat="1" x14ac:dyDescent="0.3">
      <c r="A271" s="160"/>
      <c r="B271" s="40" t="s">
        <v>117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71"/>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x14ac:dyDescent="0.3">
      <c r="A273" s="165"/>
      <c r="B273" s="171"/>
      <c r="C273" s="178"/>
      <c r="D273" s="59"/>
      <c r="E273" s="59"/>
      <c r="F273" s="59"/>
      <c r="G273" s="59"/>
      <c r="H273" s="59"/>
      <c r="I273" s="59"/>
      <c r="J273" s="59"/>
      <c r="K273" s="59"/>
      <c r="L273" s="59"/>
      <c r="M273" s="59"/>
      <c r="N273" s="59"/>
      <c r="O273" s="59"/>
      <c r="P273" s="59"/>
      <c r="Q273" s="59"/>
      <c r="R273" s="59"/>
      <c r="S273" s="59"/>
      <c r="T273" s="59"/>
      <c r="U273" s="59"/>
      <c r="V273" s="59"/>
      <c r="W273" s="59"/>
      <c r="X273" s="59"/>
      <c r="Y273" s="59"/>
      <c r="Z273" s="180"/>
      <c r="AA273" s="59"/>
      <c r="AB273" s="168"/>
      <c r="AC273" s="173"/>
      <c r="AD273" s="5"/>
    </row>
    <row r="274" spans="1:30" ht="18" x14ac:dyDescent="0.35">
      <c r="A274" s="165"/>
      <c r="B274" s="181" t="s">
        <v>109</v>
      </c>
      <c r="C274" s="178"/>
      <c r="D274" s="59"/>
      <c r="E274" s="59"/>
      <c r="F274" s="59"/>
      <c r="G274" s="59"/>
      <c r="H274" s="59"/>
      <c r="I274" s="59"/>
      <c r="J274" s="59"/>
      <c r="K274" s="59"/>
      <c r="L274" s="182"/>
      <c r="M274" s="182"/>
      <c r="N274" s="182"/>
      <c r="O274" s="182"/>
      <c r="P274" s="261" t="s">
        <v>168</v>
      </c>
      <c r="Q274" s="182"/>
      <c r="R274" s="182"/>
      <c r="S274" s="182"/>
      <c r="T274" s="182"/>
      <c r="U274" s="182"/>
      <c r="V274" s="182"/>
      <c r="W274" s="59"/>
      <c r="X274" s="183"/>
      <c r="Y274" s="182"/>
      <c r="Z274" s="180"/>
      <c r="AA274" s="59"/>
      <c r="AB274" s="168"/>
      <c r="AC274" s="173"/>
      <c r="AD274" s="5"/>
    </row>
    <row r="275" spans="1:30" ht="18" x14ac:dyDescent="0.35">
      <c r="A275" s="184"/>
      <c r="B275" s="185"/>
      <c r="C275" s="186"/>
      <c r="D275" s="99"/>
      <c r="E275" s="99"/>
      <c r="F275" s="99"/>
      <c r="G275" s="99"/>
      <c r="H275" s="99"/>
      <c r="I275" s="99"/>
      <c r="J275" s="99"/>
      <c r="K275" s="99"/>
      <c r="L275" s="187"/>
      <c r="M275" s="187"/>
      <c r="N275" s="187"/>
      <c r="O275" s="187"/>
      <c r="P275" s="187"/>
      <c r="Q275" s="187"/>
      <c r="R275" s="187"/>
      <c r="S275" s="187"/>
      <c r="T275" s="187"/>
      <c r="U275" s="187"/>
      <c r="V275" s="187"/>
      <c r="W275" s="99"/>
      <c r="X275" s="99"/>
      <c r="Y275" s="99"/>
      <c r="Z275" s="188"/>
      <c r="AA275" s="99"/>
      <c r="AB275" s="152"/>
      <c r="AC275" s="189"/>
      <c r="AD275" s="5"/>
    </row>
    <row r="276" spans="1:30" x14ac:dyDescent="0.3">
      <c r="A276" s="33"/>
      <c r="B276" s="102" t="s">
        <v>126</v>
      </c>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54" t="s">
        <v>69</v>
      </c>
      <c r="Y276" s="103" t="s">
        <v>70</v>
      </c>
      <c r="Z276" s="154" t="s">
        <v>75</v>
      </c>
      <c r="AA276" s="103" t="s">
        <v>70</v>
      </c>
      <c r="AB276" s="34"/>
      <c r="AC276" s="190"/>
      <c r="AD276" s="5"/>
    </row>
    <row r="277" spans="1:30" s="23" customFormat="1" x14ac:dyDescent="0.3">
      <c r="A277" s="18"/>
      <c r="B277" s="106" t="s">
        <v>59</v>
      </c>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06">
        <f t="shared" ref="X277:X284" si="0">+X289+X301+X323</f>
        <v>3974</v>
      </c>
      <c r="Y277" s="192">
        <f>X277/$X$286</f>
        <v>0.99899446958270488</v>
      </c>
      <c r="Z277" s="107">
        <f t="shared" ref="Z277:Z284" si="1">+Z289+Z301+Z323</f>
        <v>734772</v>
      </c>
      <c r="AA277" s="192">
        <f>Z277/$Z$286</f>
        <v>0.99846039910042739</v>
      </c>
      <c r="AB277" s="158"/>
      <c r="AC277" s="193"/>
      <c r="AD277" s="22"/>
    </row>
    <row r="278" spans="1:30" s="23" customFormat="1" x14ac:dyDescent="0.3">
      <c r="A278" s="47"/>
      <c r="B278" s="97" t="s">
        <v>60</v>
      </c>
      <c r="C278" s="194"/>
      <c r="D278" s="194"/>
      <c r="E278" s="194"/>
      <c r="F278" s="194"/>
      <c r="G278" s="194"/>
      <c r="H278" s="194"/>
      <c r="I278" s="194"/>
      <c r="J278" s="194"/>
      <c r="K278" s="194"/>
      <c r="L278" s="194"/>
      <c r="M278" s="194"/>
      <c r="N278" s="194"/>
      <c r="O278" s="194"/>
      <c r="P278" s="194"/>
      <c r="Q278" s="194"/>
      <c r="R278" s="194"/>
      <c r="S278" s="194"/>
      <c r="T278" s="194"/>
      <c r="U278" s="194"/>
      <c r="V278" s="194"/>
      <c r="W278" s="194"/>
      <c r="X278" s="195">
        <f t="shared" si="0"/>
        <v>3</v>
      </c>
      <c r="Y278" s="196">
        <f t="shared" ref="Y278:Y284" si="2">X278/$X$286</f>
        <v>7.5414781297134241E-4</v>
      </c>
      <c r="Z278" s="197">
        <f t="shared" si="1"/>
        <v>979</v>
      </c>
      <c r="AA278" s="198">
        <f>Z278/$Z$286</f>
        <v>1.3303347578831506E-3</v>
      </c>
      <c r="AB278" s="163"/>
      <c r="AC278" s="175"/>
      <c r="AD278" s="22"/>
    </row>
    <row r="279" spans="1:30" s="23" customFormat="1" x14ac:dyDescent="0.3">
      <c r="A279" s="47"/>
      <c r="B279" s="97" t="s">
        <v>61</v>
      </c>
      <c r="C279" s="194"/>
      <c r="D279" s="194"/>
      <c r="E279" s="194"/>
      <c r="F279" s="194"/>
      <c r="G279" s="194"/>
      <c r="H279" s="194"/>
      <c r="I279" s="194"/>
      <c r="J279" s="194"/>
      <c r="K279" s="194"/>
      <c r="L279" s="194"/>
      <c r="M279" s="194"/>
      <c r="N279" s="194"/>
      <c r="O279" s="194"/>
      <c r="P279" s="194"/>
      <c r="Q279" s="194"/>
      <c r="R279" s="194"/>
      <c r="S279" s="194"/>
      <c r="T279" s="194"/>
      <c r="U279" s="194"/>
      <c r="V279" s="194"/>
      <c r="W279" s="194"/>
      <c r="X279" s="199">
        <f t="shared" si="0"/>
        <v>0</v>
      </c>
      <c r="Y279" s="200">
        <f t="shared" si="2"/>
        <v>0</v>
      </c>
      <c r="Z279" s="131">
        <f t="shared" si="1"/>
        <v>0</v>
      </c>
      <c r="AA279" s="198">
        <f t="shared" ref="AA279:AA284" si="3">Z279/$Z$286</f>
        <v>0</v>
      </c>
      <c r="AB279" s="163"/>
      <c r="AC279" s="175"/>
      <c r="AD279" s="22"/>
    </row>
    <row r="280" spans="1:30" s="23" customFormat="1" x14ac:dyDescent="0.3">
      <c r="A280" s="47"/>
      <c r="B280" s="97" t="s">
        <v>100</v>
      </c>
      <c r="C280" s="194"/>
      <c r="D280" s="194"/>
      <c r="E280" s="194"/>
      <c r="F280" s="194"/>
      <c r="G280" s="194"/>
      <c r="H280" s="194"/>
      <c r="I280" s="194"/>
      <c r="J280" s="194"/>
      <c r="K280" s="194"/>
      <c r="L280" s="194"/>
      <c r="M280" s="194"/>
      <c r="N280" s="194"/>
      <c r="O280" s="194"/>
      <c r="P280" s="194"/>
      <c r="Q280" s="194"/>
      <c r="R280" s="194"/>
      <c r="S280" s="194"/>
      <c r="T280" s="194"/>
      <c r="U280" s="194"/>
      <c r="V280" s="194"/>
      <c r="W280" s="194"/>
      <c r="X280" s="199">
        <f t="shared" si="0"/>
        <v>0</v>
      </c>
      <c r="Y280" s="200">
        <f t="shared" si="2"/>
        <v>0</v>
      </c>
      <c r="Z280" s="131">
        <f t="shared" si="1"/>
        <v>0</v>
      </c>
      <c r="AA280" s="198">
        <f t="shared" si="3"/>
        <v>0</v>
      </c>
      <c r="AB280" s="163"/>
      <c r="AC280" s="175"/>
      <c r="AD280" s="22"/>
    </row>
    <row r="281" spans="1:30" s="23" customFormat="1" x14ac:dyDescent="0.3">
      <c r="A281" s="47"/>
      <c r="B281" s="97" t="s">
        <v>101</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9">
        <f t="shared" si="0"/>
        <v>0</v>
      </c>
      <c r="Y281" s="200">
        <f t="shared" si="2"/>
        <v>0</v>
      </c>
      <c r="Z281" s="131">
        <f t="shared" si="1"/>
        <v>0</v>
      </c>
      <c r="AA281" s="198">
        <f t="shared" si="3"/>
        <v>0</v>
      </c>
      <c r="AB281" s="163"/>
      <c r="AC281" s="175"/>
      <c r="AD281" s="22"/>
    </row>
    <row r="282" spans="1:30" s="23" customFormat="1" x14ac:dyDescent="0.3">
      <c r="A282" s="47"/>
      <c r="B282" s="97" t="s">
        <v>102</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0"/>
        <v>1</v>
      </c>
      <c r="Y282" s="200">
        <f t="shared" si="2"/>
        <v>2.5138260432378077E-4</v>
      </c>
      <c r="Z282" s="131">
        <f t="shared" si="1"/>
        <v>154</v>
      </c>
      <c r="AA282" s="198">
        <f t="shared" si="3"/>
        <v>2.0926614168948439E-4</v>
      </c>
      <c r="AB282" s="163"/>
      <c r="AC282" s="175"/>
      <c r="AD282" s="22"/>
    </row>
    <row r="283" spans="1:30" s="23" customFormat="1" x14ac:dyDescent="0.3">
      <c r="A283" s="47"/>
      <c r="B283" s="97" t="s">
        <v>103</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201">
        <f t="shared" si="0"/>
        <v>0</v>
      </c>
      <c r="Y283" s="202">
        <f t="shared" si="2"/>
        <v>0</v>
      </c>
      <c r="Z283" s="203">
        <f t="shared" si="1"/>
        <v>0</v>
      </c>
      <c r="AA283" s="198">
        <f t="shared" si="3"/>
        <v>0</v>
      </c>
      <c r="AB283" s="163"/>
      <c r="AC283" s="175"/>
      <c r="AD283" s="22"/>
    </row>
    <row r="284" spans="1:30" s="23" customFormat="1" x14ac:dyDescent="0.3">
      <c r="A284" s="47"/>
      <c r="B284" s="97" t="s">
        <v>104</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06">
        <f t="shared" si="0"/>
        <v>0</v>
      </c>
      <c r="Y284" s="198">
        <f t="shared" si="2"/>
        <v>0</v>
      </c>
      <c r="Z284" s="107">
        <f t="shared" si="1"/>
        <v>0</v>
      </c>
      <c r="AA284" s="198">
        <f t="shared" si="3"/>
        <v>0</v>
      </c>
      <c r="AB284" s="163"/>
      <c r="AC284" s="175"/>
      <c r="AD284" s="22"/>
    </row>
    <row r="285" spans="1:30" s="23" customFormat="1" x14ac:dyDescent="0.3">
      <c r="A285" s="47"/>
      <c r="B285" s="97"/>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97"/>
      <c r="Y285" s="198"/>
      <c r="Z285" s="98"/>
      <c r="AA285" s="198"/>
      <c r="AB285" s="163"/>
      <c r="AC285" s="175"/>
      <c r="AD285" s="22"/>
    </row>
    <row r="286" spans="1:30" s="23" customFormat="1" x14ac:dyDescent="0.3">
      <c r="A286" s="47"/>
      <c r="B286" s="40" t="s">
        <v>80</v>
      </c>
      <c r="C286" s="40"/>
      <c r="D286" s="204"/>
      <c r="E286" s="204"/>
      <c r="F286" s="204"/>
      <c r="G286" s="204"/>
      <c r="H286" s="204"/>
      <c r="I286" s="204"/>
      <c r="J286" s="204"/>
      <c r="K286" s="204"/>
      <c r="L286" s="204"/>
      <c r="M286" s="204"/>
      <c r="N286" s="204"/>
      <c r="O286" s="204"/>
      <c r="P286" s="204"/>
      <c r="Q286" s="204"/>
      <c r="R286" s="204"/>
      <c r="S286" s="204"/>
      <c r="T286" s="204"/>
      <c r="U286" s="204"/>
      <c r="V286" s="204"/>
      <c r="W286" s="204"/>
      <c r="X286" s="97">
        <f>SUM(X277:X285)</f>
        <v>3978</v>
      </c>
      <c r="Y286" s="198">
        <f>SUM(Y277:Y285)</f>
        <v>1</v>
      </c>
      <c r="Z286" s="98">
        <f>SUM(Z277:Z285)</f>
        <v>735905</v>
      </c>
      <c r="AA286" s="198">
        <f>SUM(AA277:AA285)</f>
        <v>1</v>
      </c>
      <c r="AB286" s="40"/>
      <c r="AC286" s="43"/>
      <c r="AD286" s="22"/>
    </row>
    <row r="287" spans="1:30" x14ac:dyDescent="0.3">
      <c r="A287" s="7"/>
      <c r="B287" s="151"/>
      <c r="C287" s="186"/>
      <c r="D287" s="99"/>
      <c r="E287" s="99"/>
      <c r="F287" s="99"/>
      <c r="G287" s="99"/>
      <c r="H287" s="99"/>
      <c r="I287" s="99"/>
      <c r="J287" s="99"/>
      <c r="K287" s="99"/>
      <c r="L287" s="99"/>
      <c r="M287" s="99"/>
      <c r="N287" s="99"/>
      <c r="O287" s="99"/>
      <c r="P287" s="99"/>
      <c r="Q287" s="99"/>
      <c r="R287" s="99"/>
      <c r="S287" s="99"/>
      <c r="T287" s="99"/>
      <c r="U287" s="99"/>
      <c r="V287" s="99"/>
      <c r="W287" s="99"/>
      <c r="X287" s="99"/>
      <c r="Y287" s="99"/>
      <c r="Z287" s="188"/>
      <c r="AA287" s="99"/>
      <c r="AB287" s="99"/>
      <c r="AC287" s="10"/>
      <c r="AD287" s="5"/>
    </row>
    <row r="288" spans="1:30" x14ac:dyDescent="0.3">
      <c r="A288" s="33"/>
      <c r="B288" s="102" t="s">
        <v>105</v>
      </c>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54" t="s">
        <v>69</v>
      </c>
      <c r="Y288" s="103" t="s">
        <v>70</v>
      </c>
      <c r="Z288" s="154" t="s">
        <v>75</v>
      </c>
      <c r="AA288" s="103" t="s">
        <v>70</v>
      </c>
      <c r="AB288" s="34"/>
      <c r="AC288" s="190"/>
      <c r="AD288" s="5"/>
    </row>
    <row r="289" spans="1:31" s="23" customFormat="1" x14ac:dyDescent="0.3">
      <c r="A289" s="18"/>
      <c r="B289" s="106" t="s">
        <v>59</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06">
        <v>3974</v>
      </c>
      <c r="Y289" s="192">
        <f>X289/$X$298</f>
        <v>0.99899446958270488</v>
      </c>
      <c r="Z289" s="107">
        <v>734772</v>
      </c>
      <c r="AA289" s="192">
        <f>Z289/$Z$298</f>
        <v>0.99846039910042739</v>
      </c>
      <c r="AB289" s="158"/>
      <c r="AC289" s="193"/>
      <c r="AD289" s="22"/>
    </row>
    <row r="290" spans="1:31" s="23" customFormat="1" x14ac:dyDescent="0.3">
      <c r="A290" s="47"/>
      <c r="B290" s="97" t="s">
        <v>60</v>
      </c>
      <c r="C290" s="194"/>
      <c r="D290" s="194"/>
      <c r="E290" s="194"/>
      <c r="F290" s="194"/>
      <c r="G290" s="194"/>
      <c r="H290" s="194"/>
      <c r="I290" s="194"/>
      <c r="J290" s="194"/>
      <c r="K290" s="194"/>
      <c r="L290" s="194"/>
      <c r="M290" s="194"/>
      <c r="N290" s="194"/>
      <c r="O290" s="194"/>
      <c r="P290" s="194"/>
      <c r="Q290" s="194"/>
      <c r="R290" s="194"/>
      <c r="S290" s="194"/>
      <c r="T290" s="194"/>
      <c r="U290" s="194"/>
      <c r="V290" s="194"/>
      <c r="W290" s="194"/>
      <c r="X290" s="97">
        <v>3</v>
      </c>
      <c r="Y290" s="198">
        <f t="shared" ref="Y290:Y296" si="4">X290/$X$298</f>
        <v>7.5414781297134241E-4</v>
      </c>
      <c r="Z290" s="98">
        <v>979</v>
      </c>
      <c r="AA290" s="198">
        <f t="shared" ref="AA290:AA296" si="5">Z290/$Z$298</f>
        <v>1.3303347578831506E-3</v>
      </c>
      <c r="AB290" s="163"/>
      <c r="AC290" s="175"/>
      <c r="AD290" s="22"/>
      <c r="AE290" s="115"/>
    </row>
    <row r="291" spans="1:31" s="23" customFormat="1" x14ac:dyDescent="0.3">
      <c r="A291" s="47"/>
      <c r="B291" s="97" t="s">
        <v>61</v>
      </c>
      <c r="C291" s="194"/>
      <c r="D291" s="194"/>
      <c r="E291" s="194"/>
      <c r="F291" s="194"/>
      <c r="G291" s="194"/>
      <c r="H291" s="194"/>
      <c r="I291" s="194"/>
      <c r="J291" s="194"/>
      <c r="K291" s="194"/>
      <c r="L291" s="194"/>
      <c r="M291" s="194"/>
      <c r="N291" s="194"/>
      <c r="O291" s="194"/>
      <c r="P291" s="194"/>
      <c r="Q291" s="194"/>
      <c r="R291" s="194"/>
      <c r="S291" s="194"/>
      <c r="T291" s="194"/>
      <c r="U291" s="194"/>
      <c r="V291" s="194"/>
      <c r="W291" s="194"/>
      <c r="X291" s="97">
        <v>0</v>
      </c>
      <c r="Y291" s="198">
        <f t="shared" si="4"/>
        <v>0</v>
      </c>
      <c r="Z291" s="98">
        <v>0</v>
      </c>
      <c r="AA291" s="198">
        <f t="shared" si="5"/>
        <v>0</v>
      </c>
      <c r="AB291" s="163"/>
      <c r="AC291" s="175"/>
      <c r="AD291" s="22"/>
    </row>
    <row r="292" spans="1:31" s="23" customFormat="1" x14ac:dyDescent="0.3">
      <c r="A292" s="47"/>
      <c r="B292" s="97" t="s">
        <v>100</v>
      </c>
      <c r="C292" s="194"/>
      <c r="D292" s="194"/>
      <c r="E292" s="194"/>
      <c r="F292" s="194"/>
      <c r="G292" s="194"/>
      <c r="H292" s="194"/>
      <c r="I292" s="194"/>
      <c r="J292" s="194"/>
      <c r="K292" s="194"/>
      <c r="L292" s="194"/>
      <c r="M292" s="194"/>
      <c r="N292" s="194"/>
      <c r="O292" s="194"/>
      <c r="P292" s="194"/>
      <c r="Q292" s="194"/>
      <c r="R292" s="194"/>
      <c r="S292" s="194"/>
      <c r="T292" s="194"/>
      <c r="U292" s="194"/>
      <c r="V292" s="194"/>
      <c r="W292" s="194"/>
      <c r="X292" s="97">
        <v>0</v>
      </c>
      <c r="Y292" s="198">
        <f t="shared" si="4"/>
        <v>0</v>
      </c>
      <c r="Z292" s="98">
        <v>0</v>
      </c>
      <c r="AA292" s="198">
        <f t="shared" si="5"/>
        <v>0</v>
      </c>
      <c r="AB292" s="163"/>
      <c r="AC292" s="175"/>
      <c r="AD292" s="22"/>
      <c r="AE292" s="115"/>
    </row>
    <row r="293" spans="1:31" s="23" customFormat="1" x14ac:dyDescent="0.3">
      <c r="A293" s="47"/>
      <c r="B293" s="97" t="s">
        <v>101</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0</v>
      </c>
      <c r="Y293" s="198">
        <f t="shared" si="4"/>
        <v>0</v>
      </c>
      <c r="Z293" s="98">
        <v>0</v>
      </c>
      <c r="AA293" s="198">
        <f t="shared" si="5"/>
        <v>0</v>
      </c>
      <c r="AB293" s="163"/>
      <c r="AC293" s="175"/>
      <c r="AD293" s="22"/>
    </row>
    <row r="294" spans="1:31" s="23" customFormat="1" x14ac:dyDescent="0.3">
      <c r="A294" s="47"/>
      <c r="B294" s="97" t="s">
        <v>102</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1</v>
      </c>
      <c r="Y294" s="198">
        <f t="shared" si="4"/>
        <v>2.5138260432378077E-4</v>
      </c>
      <c r="Z294" s="98">
        <v>154</v>
      </c>
      <c r="AA294" s="198">
        <f t="shared" si="5"/>
        <v>2.0926614168948439E-4</v>
      </c>
      <c r="AB294" s="163"/>
      <c r="AC294" s="175"/>
      <c r="AD294" s="22"/>
      <c r="AE294" s="115"/>
    </row>
    <row r="295" spans="1:31" s="23" customFormat="1" x14ac:dyDescent="0.3">
      <c r="A295" s="47"/>
      <c r="B295" s="97" t="s">
        <v>103</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0</v>
      </c>
      <c r="Y295" s="198">
        <f>X295/$X$298</f>
        <v>0</v>
      </c>
      <c r="Z295" s="98">
        <v>0</v>
      </c>
      <c r="AA295" s="198">
        <f t="shared" si="5"/>
        <v>0</v>
      </c>
      <c r="AB295" s="163"/>
      <c r="AC295" s="175"/>
      <c r="AD295" s="22"/>
    </row>
    <row r="296" spans="1:31" s="23" customFormat="1" x14ac:dyDescent="0.3">
      <c r="A296" s="47"/>
      <c r="B296" s="97" t="s">
        <v>104</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4"/>
        <v>0</v>
      </c>
      <c r="Z296" s="98">
        <v>0</v>
      </c>
      <c r="AA296" s="198">
        <f t="shared" si="5"/>
        <v>0</v>
      </c>
      <c r="AB296" s="163"/>
      <c r="AC296" s="175"/>
      <c r="AD296" s="22"/>
      <c r="AE296" s="115"/>
    </row>
    <row r="297" spans="1:31" s="23" customFormat="1" x14ac:dyDescent="0.3">
      <c r="A297" s="47"/>
      <c r="B297" s="97"/>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c r="Y297" s="198"/>
      <c r="Z297" s="98"/>
      <c r="AA297" s="198"/>
      <c r="AB297" s="163"/>
      <c r="AC297" s="175"/>
      <c r="AD297" s="22"/>
    </row>
    <row r="298" spans="1:31" s="23" customFormat="1" x14ac:dyDescent="0.3">
      <c r="A298" s="47"/>
      <c r="B298" s="40" t="s">
        <v>80</v>
      </c>
      <c r="C298" s="40"/>
      <c r="D298" s="204"/>
      <c r="E298" s="204"/>
      <c r="F298" s="204"/>
      <c r="G298" s="204"/>
      <c r="H298" s="204"/>
      <c r="I298" s="204"/>
      <c r="J298" s="204"/>
      <c r="K298" s="204"/>
      <c r="L298" s="204"/>
      <c r="M298" s="204"/>
      <c r="N298" s="204"/>
      <c r="O298" s="204"/>
      <c r="P298" s="204"/>
      <c r="Q298" s="204"/>
      <c r="R298" s="204"/>
      <c r="S298" s="204"/>
      <c r="T298" s="204"/>
      <c r="U298" s="204"/>
      <c r="V298" s="204"/>
      <c r="W298" s="204"/>
      <c r="X298" s="97">
        <f>SUM(X289:X297)</f>
        <v>3978</v>
      </c>
      <c r="Y298" s="198">
        <f>SUM(Y289:Y297)</f>
        <v>1</v>
      </c>
      <c r="Z298" s="98">
        <f>SUM(Z289:Z297)</f>
        <v>735905</v>
      </c>
      <c r="AA298" s="198">
        <f>SUM(AA289:AA297)</f>
        <v>1</v>
      </c>
      <c r="AB298" s="40"/>
      <c r="AC298" s="43"/>
      <c r="AD298" s="22"/>
    </row>
    <row r="299" spans="1:31" x14ac:dyDescent="0.3">
      <c r="A299" s="7"/>
      <c r="B299" s="99"/>
      <c r="C299" s="99"/>
      <c r="D299" s="205"/>
      <c r="E299" s="205"/>
      <c r="F299" s="205"/>
      <c r="G299" s="205"/>
      <c r="H299" s="205"/>
      <c r="I299" s="205"/>
      <c r="J299" s="205"/>
      <c r="K299" s="205"/>
      <c r="L299" s="205"/>
      <c r="M299" s="205"/>
      <c r="N299" s="205"/>
      <c r="O299" s="205"/>
      <c r="P299" s="205"/>
      <c r="Q299" s="205"/>
      <c r="R299" s="205"/>
      <c r="S299" s="205"/>
      <c r="T299" s="205"/>
      <c r="U299" s="205"/>
      <c r="V299" s="205"/>
      <c r="W299" s="205"/>
      <c r="X299" s="100"/>
      <c r="Y299" s="206"/>
      <c r="Z299" s="207"/>
      <c r="AA299" s="206"/>
      <c r="AB299" s="99"/>
      <c r="AC299" s="10"/>
      <c r="AD299" s="5"/>
    </row>
    <row r="300" spans="1:31" x14ac:dyDescent="0.3">
      <c r="A300" s="33"/>
      <c r="B300" s="102" t="s">
        <v>121</v>
      </c>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54" t="s">
        <v>69</v>
      </c>
      <c r="Y300" s="103" t="s">
        <v>70</v>
      </c>
      <c r="Z300" s="154" t="s">
        <v>75</v>
      </c>
      <c r="AA300" s="103" t="s">
        <v>70</v>
      </c>
      <c r="AB300" s="34"/>
      <c r="AC300" s="36"/>
      <c r="AD300" s="5"/>
    </row>
    <row r="301" spans="1:31" s="23" customFormat="1" x14ac:dyDescent="0.3">
      <c r="A301" s="18"/>
      <c r="B301" s="106" t="s">
        <v>59</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06">
        <v>0</v>
      </c>
      <c r="Y301" s="192">
        <v>0</v>
      </c>
      <c r="Z301" s="107">
        <v>0</v>
      </c>
      <c r="AA301" s="192">
        <v>0</v>
      </c>
      <c r="AB301" s="37"/>
      <c r="AC301" s="21"/>
      <c r="AD301" s="22"/>
    </row>
    <row r="302" spans="1:31" s="23" customFormat="1" x14ac:dyDescent="0.3">
      <c r="A302" s="47"/>
      <c r="B302" s="97" t="s">
        <v>60</v>
      </c>
      <c r="C302" s="194"/>
      <c r="D302" s="194"/>
      <c r="E302" s="194"/>
      <c r="F302" s="194"/>
      <c r="G302" s="194"/>
      <c r="H302" s="194"/>
      <c r="I302" s="194"/>
      <c r="J302" s="194"/>
      <c r="K302" s="194"/>
      <c r="L302" s="194"/>
      <c r="M302" s="194"/>
      <c r="N302" s="194"/>
      <c r="O302" s="194"/>
      <c r="P302" s="194"/>
      <c r="Q302" s="194"/>
      <c r="R302" s="194"/>
      <c r="S302" s="194"/>
      <c r="T302" s="194"/>
      <c r="U302" s="194"/>
      <c r="V302" s="194"/>
      <c r="W302" s="194"/>
      <c r="X302" s="97">
        <v>0</v>
      </c>
      <c r="Y302" s="198">
        <v>0</v>
      </c>
      <c r="Z302" s="98">
        <v>0</v>
      </c>
      <c r="AA302" s="198">
        <v>0</v>
      </c>
      <c r="AB302" s="40"/>
      <c r="AC302" s="43"/>
      <c r="AD302" s="22"/>
    </row>
    <row r="303" spans="1:31" s="23" customFormat="1" x14ac:dyDescent="0.3">
      <c r="A303" s="47"/>
      <c r="B303" s="97" t="s">
        <v>61</v>
      </c>
      <c r="C303" s="194"/>
      <c r="D303" s="194"/>
      <c r="E303" s="194"/>
      <c r="F303" s="194"/>
      <c r="G303" s="194"/>
      <c r="H303" s="194"/>
      <c r="I303" s="194"/>
      <c r="J303" s="194"/>
      <c r="K303" s="194"/>
      <c r="L303" s="194"/>
      <c r="M303" s="194"/>
      <c r="N303" s="194"/>
      <c r="O303" s="194"/>
      <c r="P303" s="194"/>
      <c r="Q303" s="194"/>
      <c r="R303" s="194"/>
      <c r="S303" s="194"/>
      <c r="T303" s="194"/>
      <c r="U303" s="194"/>
      <c r="V303" s="194"/>
      <c r="W303" s="194"/>
      <c r="X303" s="97">
        <v>0</v>
      </c>
      <c r="Y303" s="198">
        <v>0</v>
      </c>
      <c r="Z303" s="98">
        <v>0</v>
      </c>
      <c r="AA303" s="198">
        <v>0</v>
      </c>
      <c r="AB303" s="40"/>
      <c r="AC303" s="43"/>
      <c r="AD303" s="22"/>
    </row>
    <row r="304" spans="1:31" s="23" customFormat="1" x14ac:dyDescent="0.3">
      <c r="A304" s="47"/>
      <c r="B304" s="97" t="s">
        <v>100</v>
      </c>
      <c r="C304" s="194"/>
      <c r="D304" s="194"/>
      <c r="E304" s="194"/>
      <c r="F304" s="194"/>
      <c r="G304" s="194"/>
      <c r="H304" s="194"/>
      <c r="I304" s="194"/>
      <c r="J304" s="194"/>
      <c r="K304" s="194"/>
      <c r="L304" s="194"/>
      <c r="M304" s="194"/>
      <c r="N304" s="194"/>
      <c r="O304" s="194"/>
      <c r="P304" s="194"/>
      <c r="Q304" s="194"/>
      <c r="R304" s="194"/>
      <c r="S304" s="194"/>
      <c r="T304" s="194"/>
      <c r="U304" s="194"/>
      <c r="V304" s="194"/>
      <c r="W304" s="194"/>
      <c r="X304" s="97">
        <v>0</v>
      </c>
      <c r="Y304" s="198">
        <v>0</v>
      </c>
      <c r="Z304" s="98">
        <v>0</v>
      </c>
      <c r="AA304" s="198">
        <v>0</v>
      </c>
      <c r="AB304" s="40"/>
      <c r="AC304" s="43"/>
      <c r="AD304" s="22"/>
    </row>
    <row r="305" spans="1:30" s="23" customFormat="1" x14ac:dyDescent="0.3">
      <c r="A305" s="47"/>
      <c r="B305" s="97" t="s">
        <v>101</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102</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103</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104</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c r="Y309" s="198"/>
      <c r="Z309" s="98"/>
      <c r="AA309" s="198"/>
      <c r="AB309" s="40"/>
      <c r="AC309" s="43"/>
      <c r="AD309" s="22"/>
    </row>
    <row r="310" spans="1:30" s="23" customFormat="1" x14ac:dyDescent="0.3">
      <c r="A310" s="47"/>
      <c r="B310" s="40" t="s">
        <v>80</v>
      </c>
      <c r="C310" s="40"/>
      <c r="D310" s="204"/>
      <c r="E310" s="204"/>
      <c r="F310" s="204"/>
      <c r="G310" s="204"/>
      <c r="H310" s="204"/>
      <c r="I310" s="204"/>
      <c r="J310" s="204"/>
      <c r="K310" s="204"/>
      <c r="L310" s="204"/>
      <c r="M310" s="204"/>
      <c r="N310" s="204"/>
      <c r="O310" s="204"/>
      <c r="P310" s="204"/>
      <c r="Q310" s="204"/>
      <c r="R310" s="204"/>
      <c r="S310" s="204"/>
      <c r="T310" s="204"/>
      <c r="U310" s="204"/>
      <c r="V310" s="204"/>
      <c r="W310" s="204"/>
      <c r="X310" s="97">
        <f>SUM(X301:X309)</f>
        <v>0</v>
      </c>
      <c r="Y310" s="198">
        <f>SUM(Y301:Y309)</f>
        <v>0</v>
      </c>
      <c r="Z310" s="98">
        <f>SUM(Z301:Z309)</f>
        <v>0</v>
      </c>
      <c r="AA310" s="198">
        <f>SUM(AA301:AA309)</f>
        <v>0</v>
      </c>
      <c r="AB310" s="40"/>
      <c r="AC310" s="43"/>
      <c r="AD310" s="22"/>
    </row>
    <row r="311" spans="1:30" s="23" customFormat="1" x14ac:dyDescent="0.3">
      <c r="A311" s="47"/>
      <c r="B311" s="40"/>
      <c r="C311" s="40"/>
      <c r="D311" s="204"/>
      <c r="E311" s="204"/>
      <c r="F311" s="204"/>
      <c r="G311" s="204"/>
      <c r="H311" s="204"/>
      <c r="I311" s="204"/>
      <c r="J311" s="204"/>
      <c r="K311" s="204"/>
      <c r="L311" s="204"/>
      <c r="M311" s="204"/>
      <c r="N311" s="204"/>
      <c r="O311" s="204"/>
      <c r="P311" s="204"/>
      <c r="Q311" s="204"/>
      <c r="R311" s="204"/>
      <c r="S311" s="204"/>
      <c r="T311" s="204"/>
      <c r="U311" s="204"/>
      <c r="V311" s="204"/>
      <c r="W311" s="204"/>
      <c r="X311" s="97"/>
      <c r="Y311" s="198"/>
      <c r="Z311" s="98"/>
      <c r="AA311" s="198"/>
      <c r="AB311" s="40"/>
      <c r="AC311" s="43"/>
      <c r="AD311" s="22"/>
    </row>
    <row r="312" spans="1:30" s="23" customFormat="1" x14ac:dyDescent="0.3">
      <c r="A312" s="242"/>
      <c r="B312" s="243" t="s">
        <v>299</v>
      </c>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62" t="s">
        <v>69</v>
      </c>
      <c r="Y312" s="263" t="s">
        <v>70</v>
      </c>
      <c r="Z312" s="262" t="s">
        <v>75</v>
      </c>
      <c r="AA312" s="263" t="s">
        <v>70</v>
      </c>
      <c r="AB312" s="243"/>
      <c r="AC312" s="243"/>
      <c r="AD312" s="22"/>
    </row>
    <row r="313" spans="1:30" s="23" customFormat="1" x14ac:dyDescent="0.3">
      <c r="A313" s="272"/>
      <c r="B313" s="273" t="s">
        <v>295</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275">
        <v>0</v>
      </c>
      <c r="Y313" s="276">
        <v>0</v>
      </c>
      <c r="Z313" s="277">
        <v>0</v>
      </c>
      <c r="AA313" s="276">
        <v>0</v>
      </c>
      <c r="AB313" s="40"/>
      <c r="AC313" s="43"/>
      <c r="AD313" s="22"/>
    </row>
    <row r="314" spans="1:30" s="23" customFormat="1" x14ac:dyDescent="0.3">
      <c r="A314" s="272"/>
      <c r="B314" s="273" t="s">
        <v>296</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275">
        <v>0</v>
      </c>
      <c r="Y314" s="276">
        <v>0</v>
      </c>
      <c r="Z314" s="277">
        <v>0</v>
      </c>
      <c r="AA314" s="276">
        <v>0</v>
      </c>
      <c r="AB314" s="40"/>
      <c r="AC314" s="43"/>
      <c r="AD314" s="22"/>
    </row>
    <row r="315" spans="1:30" s="23" customFormat="1" x14ac:dyDescent="0.3">
      <c r="A315" s="272"/>
      <c r="B315" s="273" t="s">
        <v>297</v>
      </c>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275">
        <v>0</v>
      </c>
      <c r="Y315" s="276">
        <v>0</v>
      </c>
      <c r="Z315" s="277">
        <v>0</v>
      </c>
      <c r="AA315" s="276">
        <v>0</v>
      </c>
      <c r="AB315" s="40"/>
      <c r="AC315" s="43"/>
      <c r="AD315" s="22"/>
    </row>
    <row r="316" spans="1:30" s="23" customFormat="1" x14ac:dyDescent="0.3">
      <c r="A316" s="272"/>
      <c r="B316" s="273" t="s">
        <v>298</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5">
        <v>0</v>
      </c>
      <c r="Y316" s="276">
        <v>0</v>
      </c>
      <c r="Z316" s="277">
        <v>0</v>
      </c>
      <c r="AA316" s="276">
        <v>0</v>
      </c>
      <c r="AB316" s="40"/>
      <c r="AC316" s="43"/>
      <c r="AD316" s="22"/>
    </row>
    <row r="317" spans="1:30" s="23" customFormat="1" x14ac:dyDescent="0.3">
      <c r="A317" s="272"/>
      <c r="B317" s="273" t="s">
        <v>368</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5">
        <v>0</v>
      </c>
      <c r="Y317" s="276">
        <v>0</v>
      </c>
      <c r="Z317" s="277">
        <v>0</v>
      </c>
      <c r="AA317" s="276">
        <v>0</v>
      </c>
      <c r="AB317" s="40"/>
      <c r="AC317" s="43"/>
      <c r="AD317" s="22"/>
    </row>
    <row r="318" spans="1:30" s="23" customFormat="1" x14ac:dyDescent="0.3">
      <c r="A318" s="272"/>
      <c r="B318" s="274" t="s">
        <v>300</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5">
        <v>0</v>
      </c>
      <c r="Y318" s="276">
        <v>0</v>
      </c>
      <c r="Z318" s="277">
        <v>0</v>
      </c>
      <c r="AA318" s="276">
        <v>0</v>
      </c>
      <c r="AB318" s="40"/>
      <c r="AC318" s="43"/>
      <c r="AD318" s="22"/>
    </row>
    <row r="319" spans="1:30" s="23" customFormat="1" x14ac:dyDescent="0.3">
      <c r="A319" s="272"/>
      <c r="B319" s="273"/>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5"/>
      <c r="Y319" s="276"/>
      <c r="Z319" s="277"/>
      <c r="AA319" s="276"/>
      <c r="AB319" s="40"/>
      <c r="AC319" s="43"/>
      <c r="AD319" s="22"/>
    </row>
    <row r="320" spans="1:30" s="23" customFormat="1" x14ac:dyDescent="0.3">
      <c r="A320" s="272"/>
      <c r="B320" s="273" t="s">
        <v>80</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5">
        <f>SUM(X313:X319)</f>
        <v>0</v>
      </c>
      <c r="Y320" s="276">
        <f>SUM(Y313:Y318)</f>
        <v>0</v>
      </c>
      <c r="Z320" s="277">
        <f>SUM(Z313:Z318)</f>
        <v>0</v>
      </c>
      <c r="AA320" s="276">
        <f>SUM(AA313:AA319)</f>
        <v>0</v>
      </c>
      <c r="AB320" s="40"/>
      <c r="AC320" s="43"/>
      <c r="AD320" s="22"/>
    </row>
    <row r="321" spans="1:30" x14ac:dyDescent="0.3">
      <c r="A321" s="7"/>
      <c r="B321" s="99"/>
      <c r="C321" s="99"/>
      <c r="D321" s="205"/>
      <c r="E321" s="205"/>
      <c r="F321" s="205"/>
      <c r="G321" s="205"/>
      <c r="H321" s="205"/>
      <c r="I321" s="205"/>
      <c r="J321" s="205"/>
      <c r="K321" s="205"/>
      <c r="L321" s="205"/>
      <c r="M321" s="205"/>
      <c r="N321" s="205"/>
      <c r="O321" s="205"/>
      <c r="P321" s="205"/>
      <c r="Q321" s="205"/>
      <c r="R321" s="205"/>
      <c r="S321" s="205"/>
      <c r="T321" s="205"/>
      <c r="U321" s="205"/>
      <c r="V321" s="205"/>
      <c r="W321" s="205"/>
      <c r="X321" s="100"/>
      <c r="Y321" s="206"/>
      <c r="Z321" s="207"/>
      <c r="AA321" s="206"/>
      <c r="AB321" s="99"/>
      <c r="AC321" s="10"/>
      <c r="AD321" s="5"/>
    </row>
    <row r="322" spans="1:30" x14ac:dyDescent="0.3">
      <c r="A322" s="33"/>
      <c r="B322" s="102" t="s">
        <v>106</v>
      </c>
      <c r="C322" s="34"/>
      <c r="D322" s="208"/>
      <c r="E322" s="208"/>
      <c r="F322" s="208"/>
      <c r="G322" s="208"/>
      <c r="H322" s="208"/>
      <c r="I322" s="208"/>
      <c r="J322" s="208"/>
      <c r="K322" s="208"/>
      <c r="L322" s="208"/>
      <c r="M322" s="208"/>
      <c r="N322" s="208"/>
      <c r="O322" s="208"/>
      <c r="P322" s="208"/>
      <c r="Q322" s="208"/>
      <c r="R322" s="208"/>
      <c r="S322" s="208"/>
      <c r="T322" s="208"/>
      <c r="U322" s="208"/>
      <c r="V322" s="208"/>
      <c r="W322" s="208"/>
      <c r="X322" s="154" t="s">
        <v>69</v>
      </c>
      <c r="Y322" s="103" t="s">
        <v>70</v>
      </c>
      <c r="Z322" s="154" t="s">
        <v>75</v>
      </c>
      <c r="AA322" s="103" t="s">
        <v>70</v>
      </c>
      <c r="AB322" s="34"/>
      <c r="AC322" s="36"/>
      <c r="AD322" s="5"/>
    </row>
    <row r="323" spans="1:30" s="23" customFormat="1" x14ac:dyDescent="0.3">
      <c r="A323" s="18"/>
      <c r="B323" s="106" t="s">
        <v>59</v>
      </c>
      <c r="C323" s="37"/>
      <c r="D323" s="209"/>
      <c r="E323" s="209"/>
      <c r="F323" s="209"/>
      <c r="G323" s="209"/>
      <c r="H323" s="209"/>
      <c r="I323" s="209"/>
      <c r="J323" s="209"/>
      <c r="K323" s="209"/>
      <c r="L323" s="209"/>
      <c r="M323" s="209"/>
      <c r="N323" s="209"/>
      <c r="O323" s="209"/>
      <c r="P323" s="209"/>
      <c r="Q323" s="209"/>
      <c r="R323" s="209"/>
      <c r="S323" s="209"/>
      <c r="T323" s="209"/>
      <c r="U323" s="209"/>
      <c r="V323" s="209"/>
      <c r="W323" s="209"/>
      <c r="X323" s="106">
        <v>0</v>
      </c>
      <c r="Y323" s="192">
        <v>0</v>
      </c>
      <c r="Z323" s="107">
        <v>0</v>
      </c>
      <c r="AA323" s="192">
        <v>0</v>
      </c>
      <c r="AB323" s="37"/>
      <c r="AC323" s="21"/>
      <c r="AD323" s="22"/>
    </row>
    <row r="324" spans="1:30" s="23" customFormat="1" x14ac:dyDescent="0.3">
      <c r="A324" s="47"/>
      <c r="B324" s="97" t="s">
        <v>60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97">
        <v>0</v>
      </c>
      <c r="Y324" s="198">
        <v>0</v>
      </c>
      <c r="Z324" s="98">
        <v>0</v>
      </c>
      <c r="AA324" s="198">
        <v>0</v>
      </c>
      <c r="AB324" s="40"/>
      <c r="AC324" s="43"/>
      <c r="AD324" s="22"/>
    </row>
    <row r="325" spans="1:30" s="23" customFormat="1" x14ac:dyDescent="0.3">
      <c r="A325" s="47"/>
      <c r="B325" s="97" t="s">
        <v>61</v>
      </c>
      <c r="C325" s="40"/>
      <c r="D325" s="204"/>
      <c r="E325" s="204"/>
      <c r="F325" s="204"/>
      <c r="G325" s="204"/>
      <c r="H325" s="204"/>
      <c r="I325" s="204"/>
      <c r="J325" s="204"/>
      <c r="K325" s="204"/>
      <c r="L325" s="204"/>
      <c r="M325" s="204"/>
      <c r="N325" s="204"/>
      <c r="O325" s="204"/>
      <c r="P325" s="204"/>
      <c r="Q325" s="204"/>
      <c r="R325" s="204"/>
      <c r="S325" s="204"/>
      <c r="T325" s="204"/>
      <c r="U325" s="204"/>
      <c r="V325" s="204"/>
      <c r="W325" s="204"/>
      <c r="X325" s="97">
        <v>0</v>
      </c>
      <c r="Y325" s="198">
        <v>0</v>
      </c>
      <c r="Z325" s="98">
        <v>0</v>
      </c>
      <c r="AA325" s="198">
        <v>0</v>
      </c>
      <c r="AB325" s="40"/>
      <c r="AC325" s="43"/>
      <c r="AD325" s="22"/>
    </row>
    <row r="326" spans="1:30" s="23" customFormat="1" x14ac:dyDescent="0.3">
      <c r="A326" s="47"/>
      <c r="B326" s="97" t="s">
        <v>100</v>
      </c>
      <c r="C326" s="40"/>
      <c r="D326" s="204"/>
      <c r="E326" s="204"/>
      <c r="F326" s="204"/>
      <c r="G326" s="204"/>
      <c r="H326" s="204"/>
      <c r="I326" s="204"/>
      <c r="J326" s="204"/>
      <c r="K326" s="204"/>
      <c r="L326" s="204"/>
      <c r="M326" s="204"/>
      <c r="N326" s="204"/>
      <c r="O326" s="204"/>
      <c r="P326" s="204"/>
      <c r="Q326" s="204"/>
      <c r="R326" s="204"/>
      <c r="S326" s="204"/>
      <c r="T326" s="204"/>
      <c r="U326" s="204"/>
      <c r="V326" s="204"/>
      <c r="W326" s="204"/>
      <c r="X326" s="97">
        <v>0</v>
      </c>
      <c r="Y326" s="198">
        <v>0</v>
      </c>
      <c r="Z326" s="98">
        <v>0</v>
      </c>
      <c r="AA326" s="198">
        <v>0</v>
      </c>
      <c r="AB326" s="40"/>
      <c r="AC326" s="43"/>
      <c r="AD326" s="22"/>
    </row>
    <row r="327" spans="1:30" s="23" customFormat="1" x14ac:dyDescent="0.3">
      <c r="A327" s="47"/>
      <c r="B327" s="97" t="s">
        <v>101</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102</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103</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104</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c r="Y331" s="198"/>
      <c r="Z331" s="98"/>
      <c r="AA331" s="198"/>
      <c r="AB331" s="40"/>
      <c r="AC331" s="43"/>
      <c r="AD331" s="22"/>
    </row>
    <row r="332" spans="1:30" s="23" customFormat="1" x14ac:dyDescent="0.3">
      <c r="A332" s="47"/>
      <c r="B332" s="40" t="s">
        <v>80</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f>SUM(X323:X330)</f>
        <v>0</v>
      </c>
      <c r="Y332" s="198">
        <f>SUM(Y323:Y330)</f>
        <v>0</v>
      </c>
      <c r="Z332" s="98">
        <f>SUM(Z323:Z330)</f>
        <v>0</v>
      </c>
      <c r="AA332" s="198">
        <f>SUM(AA323:AA330)</f>
        <v>0</v>
      </c>
      <c r="AB332" s="40"/>
      <c r="AC332" s="43"/>
      <c r="AD332" s="22"/>
    </row>
    <row r="333" spans="1:30" s="23" customFormat="1" x14ac:dyDescent="0.3">
      <c r="A333" s="47"/>
      <c r="B333" s="40"/>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c r="Y333" s="198"/>
      <c r="Z333" s="98"/>
      <c r="AA333" s="198"/>
      <c r="AB333" s="40"/>
      <c r="AC333" s="43"/>
      <c r="AD333" s="22"/>
    </row>
    <row r="334" spans="1:30" s="23" customFormat="1" x14ac:dyDescent="0.3">
      <c r="A334" s="242" t="s">
        <v>282</v>
      </c>
      <c r="B334" s="243" t="s">
        <v>283</v>
      </c>
      <c r="C334" s="244"/>
      <c r="D334" s="244"/>
      <c r="E334" s="244"/>
      <c r="F334" s="244"/>
      <c r="G334" s="244"/>
      <c r="H334" s="245"/>
      <c r="I334" s="245"/>
      <c r="J334" s="245"/>
      <c r="K334" s="245"/>
      <c r="L334" s="245"/>
      <c r="M334" s="245"/>
      <c r="N334" s="245"/>
      <c r="O334" s="245"/>
      <c r="P334" s="246"/>
      <c r="Q334" s="246"/>
      <c r="R334" s="246"/>
      <c r="S334" s="246"/>
      <c r="T334" s="246"/>
      <c r="U334" s="246"/>
      <c r="V334" s="246"/>
      <c r="W334" s="246"/>
      <c r="X334" s="262" t="s">
        <v>69</v>
      </c>
      <c r="Y334" s="263" t="s">
        <v>70</v>
      </c>
      <c r="Z334" s="262" t="s">
        <v>75</v>
      </c>
      <c r="AA334" s="263" t="s">
        <v>70</v>
      </c>
      <c r="AB334" s="282" t="s">
        <v>335</v>
      </c>
      <c r="AC334" s="284"/>
      <c r="AD334" s="22"/>
    </row>
    <row r="335" spans="1:30" s="23" customFormat="1" x14ac:dyDescent="0.3">
      <c r="A335" s="247"/>
      <c r="B335" s="248" t="s">
        <v>59</v>
      </c>
      <c r="C335" s="249"/>
      <c r="D335" s="249"/>
      <c r="E335" s="249"/>
      <c r="F335" s="249"/>
      <c r="G335" s="249"/>
      <c r="H335" s="250"/>
      <c r="I335" s="250"/>
      <c r="J335" s="250"/>
      <c r="K335" s="250"/>
      <c r="L335" s="250"/>
      <c r="M335" s="250"/>
      <c r="N335" s="250"/>
      <c r="O335" s="250"/>
      <c r="P335" s="251"/>
      <c r="Q335" s="269"/>
      <c r="R335" s="269"/>
      <c r="S335" s="269"/>
      <c r="T335" s="269"/>
      <c r="U335" s="269"/>
      <c r="V335" s="269"/>
      <c r="W335" s="269"/>
      <c r="X335" s="264">
        <v>3</v>
      </c>
      <c r="Y335" s="265">
        <f>+X335/X344</f>
        <v>1</v>
      </c>
      <c r="Z335" s="215">
        <v>809</v>
      </c>
      <c r="AA335" s="265">
        <f>+Z335/Z344</f>
        <v>1</v>
      </c>
      <c r="AB335" s="281"/>
      <c r="AC335" s="283"/>
      <c r="AD335" s="22"/>
    </row>
    <row r="336" spans="1:30" s="23" customFormat="1" x14ac:dyDescent="0.3">
      <c r="A336" s="252"/>
      <c r="B336" s="253" t="s">
        <v>60</v>
      </c>
      <c r="C336" s="254"/>
      <c r="D336" s="254"/>
      <c r="E336" s="254"/>
      <c r="F336" s="254"/>
      <c r="G336" s="254"/>
      <c r="H336" s="255"/>
      <c r="I336" s="255"/>
      <c r="J336" s="255"/>
      <c r="K336" s="255"/>
      <c r="L336" s="255"/>
      <c r="M336" s="255"/>
      <c r="N336" s="255"/>
      <c r="O336" s="255"/>
      <c r="P336" s="256"/>
      <c r="Q336" s="204"/>
      <c r="R336" s="204"/>
      <c r="S336" s="204"/>
      <c r="T336" s="204"/>
      <c r="U336" s="204"/>
      <c r="V336" s="204"/>
      <c r="W336" s="204"/>
      <c r="X336" s="266">
        <v>0</v>
      </c>
      <c r="Y336" s="267">
        <f>+X336/X344</f>
        <v>0</v>
      </c>
      <c r="Z336" s="98">
        <v>0</v>
      </c>
      <c r="AA336" s="268">
        <f>+Z336/Z344</f>
        <v>0</v>
      </c>
      <c r="AB336" s="40"/>
      <c r="AC336" s="43"/>
      <c r="AD336" s="22"/>
    </row>
    <row r="337" spans="1:30" s="23" customFormat="1" x14ac:dyDescent="0.3">
      <c r="A337" s="252"/>
      <c r="B337" s="253" t="s">
        <v>61</v>
      </c>
      <c r="C337" s="254"/>
      <c r="D337" s="254"/>
      <c r="E337" s="254"/>
      <c r="F337" s="254"/>
      <c r="G337" s="254"/>
      <c r="H337" s="255"/>
      <c r="I337" s="255"/>
      <c r="J337" s="255"/>
      <c r="K337" s="255"/>
      <c r="L337" s="255"/>
      <c r="M337" s="255"/>
      <c r="N337" s="255"/>
      <c r="O337" s="255"/>
      <c r="P337" s="256"/>
      <c r="Q337" s="204"/>
      <c r="R337" s="204"/>
      <c r="S337" s="204"/>
      <c r="T337" s="204"/>
      <c r="U337" s="204"/>
      <c r="V337" s="204"/>
      <c r="W337" s="204"/>
      <c r="X337" s="266">
        <v>0</v>
      </c>
      <c r="Y337" s="267">
        <f>+X337/X344</f>
        <v>0</v>
      </c>
      <c r="Z337" s="98">
        <v>0</v>
      </c>
      <c r="AA337" s="268">
        <f>+Z337/Z344</f>
        <v>0</v>
      </c>
      <c r="AB337" s="40"/>
      <c r="AC337" s="43"/>
      <c r="AD337" s="22"/>
    </row>
    <row r="338" spans="1:30" s="23" customFormat="1" x14ac:dyDescent="0.3">
      <c r="A338" s="252"/>
      <c r="B338" s="253" t="s">
        <v>100</v>
      </c>
      <c r="C338" s="254"/>
      <c r="D338" s="254"/>
      <c r="E338" s="254"/>
      <c r="F338" s="254"/>
      <c r="G338" s="254"/>
      <c r="H338" s="255"/>
      <c r="I338" s="255"/>
      <c r="J338" s="255"/>
      <c r="K338" s="255"/>
      <c r="L338" s="255"/>
      <c r="M338" s="255"/>
      <c r="N338" s="255"/>
      <c r="O338" s="255"/>
      <c r="P338" s="256"/>
      <c r="Q338" s="204"/>
      <c r="R338" s="204"/>
      <c r="S338" s="204"/>
      <c r="T338" s="204"/>
      <c r="U338" s="204"/>
      <c r="V338" s="204"/>
      <c r="W338" s="204"/>
      <c r="X338" s="266">
        <v>0</v>
      </c>
      <c r="Y338" s="267">
        <f>+X338/X344</f>
        <v>0</v>
      </c>
      <c r="Z338" s="98">
        <v>0</v>
      </c>
      <c r="AA338" s="268">
        <f>+Z338/Z344</f>
        <v>0</v>
      </c>
      <c r="AB338" s="40"/>
      <c r="AC338" s="43"/>
      <c r="AD338" s="22"/>
    </row>
    <row r="339" spans="1:30" s="23" customFormat="1" x14ac:dyDescent="0.3">
      <c r="A339" s="252"/>
      <c r="B339" s="253" t="s">
        <v>101</v>
      </c>
      <c r="C339" s="254"/>
      <c r="D339" s="254"/>
      <c r="E339" s="254"/>
      <c r="F339" s="254"/>
      <c r="G339" s="254"/>
      <c r="H339" s="255"/>
      <c r="I339" s="255"/>
      <c r="J339" s="255"/>
      <c r="K339" s="255"/>
      <c r="L339" s="255"/>
      <c r="M339" s="255"/>
      <c r="N339" s="255"/>
      <c r="O339" s="255"/>
      <c r="P339" s="256"/>
      <c r="Q339" s="204"/>
      <c r="R339" s="204"/>
      <c r="S339" s="204"/>
      <c r="T339" s="204"/>
      <c r="U339" s="204"/>
      <c r="V339" s="204"/>
      <c r="W339" s="204"/>
      <c r="X339" s="266">
        <v>0</v>
      </c>
      <c r="Y339" s="267">
        <f>+X339/X344</f>
        <v>0</v>
      </c>
      <c r="Z339" s="98">
        <v>0</v>
      </c>
      <c r="AA339" s="268">
        <f>+Z339/Z344</f>
        <v>0</v>
      </c>
      <c r="AB339" s="40"/>
      <c r="AC339" s="43"/>
      <c r="AD339" s="22"/>
    </row>
    <row r="340" spans="1:30" s="23" customFormat="1" x14ac:dyDescent="0.3">
      <c r="A340" s="252"/>
      <c r="B340" s="253" t="s">
        <v>102</v>
      </c>
      <c r="C340" s="254"/>
      <c r="D340" s="254"/>
      <c r="E340" s="254"/>
      <c r="F340" s="254"/>
      <c r="G340" s="254"/>
      <c r="H340" s="255"/>
      <c r="I340" s="255"/>
      <c r="J340" s="255"/>
      <c r="K340" s="255"/>
      <c r="L340" s="255"/>
      <c r="M340" s="255"/>
      <c r="N340" s="255"/>
      <c r="O340" s="255"/>
      <c r="P340" s="256"/>
      <c r="Q340" s="204"/>
      <c r="R340" s="204"/>
      <c r="S340" s="204"/>
      <c r="T340" s="204"/>
      <c r="U340" s="204"/>
      <c r="V340" s="204"/>
      <c r="W340" s="204"/>
      <c r="X340" s="266">
        <v>0</v>
      </c>
      <c r="Y340" s="267">
        <f>+X340/X344</f>
        <v>0</v>
      </c>
      <c r="Z340" s="98">
        <v>0</v>
      </c>
      <c r="AA340" s="268">
        <f>+Z340/Z344</f>
        <v>0</v>
      </c>
      <c r="AB340" s="40"/>
      <c r="AC340" s="43"/>
      <c r="AD340" s="22"/>
    </row>
    <row r="341" spans="1:30" s="23" customFormat="1" x14ac:dyDescent="0.3">
      <c r="A341" s="252"/>
      <c r="B341" s="253" t="s">
        <v>103</v>
      </c>
      <c r="C341" s="254"/>
      <c r="D341" s="254"/>
      <c r="E341" s="254"/>
      <c r="F341" s="254"/>
      <c r="G341" s="254"/>
      <c r="H341" s="255"/>
      <c r="I341" s="255"/>
      <c r="J341" s="255"/>
      <c r="K341" s="255"/>
      <c r="L341" s="255"/>
      <c r="M341" s="255"/>
      <c r="N341" s="255"/>
      <c r="O341" s="255"/>
      <c r="P341" s="256"/>
      <c r="Q341" s="204"/>
      <c r="R341" s="204"/>
      <c r="S341" s="204"/>
      <c r="T341" s="204"/>
      <c r="U341" s="204"/>
      <c r="V341" s="204"/>
      <c r="W341" s="204"/>
      <c r="X341" s="266">
        <v>0</v>
      </c>
      <c r="Y341" s="267">
        <f>+X341/X344</f>
        <v>0</v>
      </c>
      <c r="Z341" s="98">
        <v>0</v>
      </c>
      <c r="AA341" s="268">
        <f>+Z341/Z344</f>
        <v>0</v>
      </c>
      <c r="AB341" s="40"/>
      <c r="AC341" s="43"/>
      <c r="AD341" s="22"/>
    </row>
    <row r="342" spans="1:30" s="23" customFormat="1" x14ac:dyDescent="0.3">
      <c r="A342" s="252"/>
      <c r="B342" s="253" t="s">
        <v>104</v>
      </c>
      <c r="C342" s="254"/>
      <c r="D342" s="254"/>
      <c r="E342" s="254"/>
      <c r="F342" s="254"/>
      <c r="G342" s="254"/>
      <c r="H342" s="255"/>
      <c r="I342" s="255"/>
      <c r="J342" s="255"/>
      <c r="K342" s="255"/>
      <c r="L342" s="255"/>
      <c r="M342" s="255"/>
      <c r="N342" s="255"/>
      <c r="O342" s="255"/>
      <c r="P342" s="256"/>
      <c r="Q342" s="204"/>
      <c r="R342" s="204"/>
      <c r="S342" s="204"/>
      <c r="T342" s="204"/>
      <c r="U342" s="204"/>
      <c r="V342" s="204"/>
      <c r="W342" s="204"/>
      <c r="X342" s="266">
        <v>0</v>
      </c>
      <c r="Y342" s="265">
        <f>+X342/X344</f>
        <v>0</v>
      </c>
      <c r="Z342" s="98">
        <v>0</v>
      </c>
      <c r="AA342" s="268">
        <f>+Z342/Z344</f>
        <v>0</v>
      </c>
      <c r="AB342" s="40"/>
      <c r="AC342" s="43"/>
      <c r="AD342" s="22"/>
    </row>
    <row r="343" spans="1:30" s="23" customFormat="1" x14ac:dyDescent="0.3">
      <c r="A343" s="252"/>
      <c r="B343" s="253"/>
      <c r="C343" s="254"/>
      <c r="D343" s="254"/>
      <c r="E343" s="254"/>
      <c r="F343" s="254"/>
      <c r="G343" s="254"/>
      <c r="H343" s="255"/>
      <c r="I343" s="255"/>
      <c r="J343" s="255"/>
      <c r="K343" s="255"/>
      <c r="L343" s="255"/>
      <c r="M343" s="255"/>
      <c r="N343" s="255"/>
      <c r="O343" s="255"/>
      <c r="P343" s="256"/>
      <c r="Q343" s="204"/>
      <c r="R343" s="204"/>
      <c r="S343" s="204"/>
      <c r="T343" s="204"/>
      <c r="U343" s="204"/>
      <c r="V343" s="204"/>
      <c r="W343" s="204"/>
      <c r="X343" s="266"/>
      <c r="Y343" s="268"/>
      <c r="Z343" s="98"/>
      <c r="AA343" s="268"/>
      <c r="AB343" s="40"/>
      <c r="AC343" s="43"/>
      <c r="AD343" s="22"/>
    </row>
    <row r="344" spans="1:30" s="23" customFormat="1" x14ac:dyDescent="0.3">
      <c r="A344" s="252"/>
      <c r="B344" s="254" t="s">
        <v>80</v>
      </c>
      <c r="C344" s="254"/>
      <c r="D344" s="254"/>
      <c r="E344" s="254"/>
      <c r="F344" s="254"/>
      <c r="G344" s="254"/>
      <c r="H344" s="255"/>
      <c r="I344" s="255"/>
      <c r="J344" s="255"/>
      <c r="K344" s="255"/>
      <c r="L344" s="255"/>
      <c r="M344" s="255"/>
      <c r="N344" s="255"/>
      <c r="O344" s="255"/>
      <c r="P344" s="256"/>
      <c r="Q344" s="204"/>
      <c r="R344" s="204"/>
      <c r="S344" s="204"/>
      <c r="T344" s="204"/>
      <c r="U344" s="204"/>
      <c r="V344" s="204"/>
      <c r="W344" s="204"/>
      <c r="X344" s="266">
        <f>SUM(X335:X342)</f>
        <v>3</v>
      </c>
      <c r="Y344" s="268">
        <f>SUM(Y335:Y342)</f>
        <v>1</v>
      </c>
      <c r="Z344" s="98">
        <f>SUM(Z335:Z342)</f>
        <v>809</v>
      </c>
      <c r="AA344" s="268">
        <f>SUM(AA335:AA342)</f>
        <v>1</v>
      </c>
      <c r="AB344" s="40"/>
      <c r="AC344" s="43"/>
      <c r="AD344" s="22"/>
    </row>
    <row r="345" spans="1:30" s="23" customFormat="1" ht="16.2" thickBot="1" x14ac:dyDescent="0.35">
      <c r="A345" s="252"/>
      <c r="B345" s="254" t="s">
        <v>294</v>
      </c>
      <c r="C345" s="254"/>
      <c r="D345" s="254"/>
      <c r="E345" s="254"/>
      <c r="F345" s="254"/>
      <c r="G345" s="254"/>
      <c r="H345" s="255"/>
      <c r="I345" s="255"/>
      <c r="J345" s="255"/>
      <c r="K345" s="255"/>
      <c r="L345" s="255"/>
      <c r="M345" s="255"/>
      <c r="N345" s="255"/>
      <c r="O345" s="255"/>
      <c r="P345" s="256"/>
      <c r="Q345" s="204"/>
      <c r="R345" s="204"/>
      <c r="S345" s="204"/>
      <c r="T345" s="204"/>
      <c r="U345" s="204"/>
      <c r="V345" s="204"/>
      <c r="W345" s="204"/>
      <c r="X345" s="285"/>
      <c r="Y345" s="285">
        <f>+X344/X349</f>
        <v>7.5414781297134241E-4</v>
      </c>
      <c r="Z345" s="286"/>
      <c r="AA345" s="285">
        <f>+Z344/Z349</f>
        <v>1.0993266793947588E-3</v>
      </c>
      <c r="AB345" s="287"/>
      <c r="AC345" s="43"/>
      <c r="AD345" s="22"/>
    </row>
    <row r="346" spans="1:30" s="23" customFormat="1" ht="16.2" thickTop="1" x14ac:dyDescent="0.3">
      <c r="A346" s="252"/>
      <c r="B346" s="254" t="s">
        <v>336</v>
      </c>
      <c r="C346" s="254"/>
      <c r="D346" s="254"/>
      <c r="E346" s="254"/>
      <c r="F346" s="254"/>
      <c r="G346" s="254"/>
      <c r="H346" s="255"/>
      <c r="I346" s="255"/>
      <c r="J346" s="255"/>
      <c r="K346" s="255"/>
      <c r="L346" s="255"/>
      <c r="M346" s="255"/>
      <c r="N346" s="255"/>
      <c r="O346" s="255"/>
      <c r="P346" s="256"/>
      <c r="Q346" s="204"/>
      <c r="R346" s="204"/>
      <c r="S346" s="204"/>
      <c r="T346" s="204"/>
      <c r="U346" s="204"/>
      <c r="V346" s="204"/>
      <c r="W346" s="204"/>
      <c r="X346" s="290">
        <v>0</v>
      </c>
      <c r="Y346" s="291">
        <f>X346/X344</f>
        <v>0</v>
      </c>
      <c r="Z346" s="292">
        <v>0</v>
      </c>
      <c r="AA346" s="291">
        <f>Z346/Z344</f>
        <v>0</v>
      </c>
      <c r="AB346" s="293">
        <v>0</v>
      </c>
      <c r="AC346" s="43"/>
      <c r="AD346" s="22"/>
    </row>
    <row r="347" spans="1:30" s="23" customFormat="1" ht="16.2" thickBot="1" x14ac:dyDescent="0.35">
      <c r="A347" s="252"/>
      <c r="B347" s="254" t="s">
        <v>337</v>
      </c>
      <c r="C347" s="254"/>
      <c r="D347" s="254"/>
      <c r="E347" s="254"/>
      <c r="F347" s="254"/>
      <c r="G347" s="254"/>
      <c r="H347" s="255"/>
      <c r="I347" s="255"/>
      <c r="J347" s="255"/>
      <c r="K347" s="255"/>
      <c r="L347" s="255"/>
      <c r="M347" s="255"/>
      <c r="N347" s="255"/>
      <c r="O347" s="255"/>
      <c r="P347" s="256"/>
      <c r="Q347" s="204"/>
      <c r="R347" s="204"/>
      <c r="S347" s="204"/>
      <c r="T347" s="204"/>
      <c r="U347" s="204"/>
      <c r="V347" s="204"/>
      <c r="W347" s="204"/>
      <c r="X347" s="294">
        <v>3</v>
      </c>
      <c r="Y347" s="295">
        <f>X347/X344</f>
        <v>1</v>
      </c>
      <c r="Z347" s="296">
        <v>809</v>
      </c>
      <c r="AA347" s="295">
        <f>Z347/Z344</f>
        <v>1</v>
      </c>
      <c r="AB347" s="297">
        <v>0.33333333333333337</v>
      </c>
      <c r="AC347" s="43"/>
      <c r="AD347" s="22"/>
    </row>
    <row r="348" spans="1:30" s="23" customFormat="1" ht="16.2" thickTop="1" x14ac:dyDescent="0.3">
      <c r="A348" s="252"/>
      <c r="B348" s="254"/>
      <c r="C348" s="254"/>
      <c r="D348" s="254"/>
      <c r="E348" s="254"/>
      <c r="F348" s="254"/>
      <c r="G348" s="254"/>
      <c r="H348" s="255"/>
      <c r="I348" s="255"/>
      <c r="J348" s="255"/>
      <c r="K348" s="255"/>
      <c r="L348" s="255"/>
      <c r="M348" s="255"/>
      <c r="N348" s="255"/>
      <c r="O348" s="255"/>
      <c r="P348" s="256"/>
      <c r="Q348" s="204"/>
      <c r="R348" s="204"/>
      <c r="S348" s="204"/>
      <c r="T348" s="204"/>
      <c r="U348" s="204"/>
      <c r="V348" s="204"/>
      <c r="W348" s="204"/>
      <c r="X348" s="288"/>
      <c r="Y348" s="202"/>
      <c r="Z348" s="289"/>
      <c r="AA348" s="202"/>
      <c r="AB348" s="281"/>
      <c r="AC348" s="43"/>
      <c r="AD348" s="22"/>
    </row>
    <row r="349" spans="1:30" s="23" customFormat="1" x14ac:dyDescent="0.3">
      <c r="A349" s="47"/>
      <c r="B349" s="44" t="s">
        <v>139</v>
      </c>
      <c r="C349" s="40"/>
      <c r="D349" s="204"/>
      <c r="E349" s="204"/>
      <c r="F349" s="204"/>
      <c r="G349" s="204"/>
      <c r="H349" s="204"/>
      <c r="I349" s="204"/>
      <c r="J349" s="204"/>
      <c r="K349" s="204"/>
      <c r="L349" s="204"/>
      <c r="M349" s="204"/>
      <c r="N349" s="204"/>
      <c r="O349" s="204"/>
      <c r="P349" s="204"/>
      <c r="Q349" s="204"/>
      <c r="R349" s="204"/>
      <c r="S349" s="204"/>
      <c r="T349" s="204"/>
      <c r="U349" s="204"/>
      <c r="V349" s="204"/>
      <c r="W349" s="204"/>
      <c r="X349" s="210">
        <f>X332+X310+X298</f>
        <v>3978</v>
      </c>
      <c r="Y349" s="198"/>
      <c r="Z349" s="211">
        <f>+Z332+Z310+Z298</f>
        <v>735905</v>
      </c>
      <c r="AA349" s="198"/>
      <c r="AB349" s="40"/>
      <c r="AC349" s="43"/>
      <c r="AD349" s="22"/>
    </row>
    <row r="350" spans="1:30" s="23" customFormat="1" x14ac:dyDescent="0.3">
      <c r="A350" s="47"/>
      <c r="B350" s="44" t="s">
        <v>280</v>
      </c>
      <c r="C350" s="44"/>
      <c r="D350" s="212"/>
      <c r="E350" s="212"/>
      <c r="F350" s="212"/>
      <c r="G350" s="212"/>
      <c r="H350" s="212"/>
      <c r="I350" s="212"/>
      <c r="J350" s="212"/>
      <c r="K350" s="212"/>
      <c r="L350" s="212"/>
      <c r="M350" s="212"/>
      <c r="N350" s="212"/>
      <c r="O350" s="212"/>
      <c r="P350" s="212"/>
      <c r="Q350" s="212"/>
      <c r="R350" s="212"/>
      <c r="S350" s="212"/>
      <c r="T350" s="212"/>
      <c r="U350" s="212"/>
      <c r="V350" s="212"/>
      <c r="W350" s="212"/>
      <c r="X350" s="210"/>
      <c r="Y350" s="213"/>
      <c r="Z350" s="211">
        <f>+AB64+AB63</f>
        <v>443</v>
      </c>
      <c r="AA350" s="198"/>
      <c r="AB350" s="40"/>
      <c r="AC350" s="43"/>
      <c r="AD350" s="22"/>
    </row>
    <row r="351" spans="1:30" s="23" customFormat="1" x14ac:dyDescent="0.3">
      <c r="A351" s="47"/>
      <c r="B351" s="44" t="s">
        <v>107</v>
      </c>
      <c r="C351" s="44"/>
      <c r="D351" s="212"/>
      <c r="E351" s="212"/>
      <c r="F351" s="212"/>
      <c r="G351" s="212"/>
      <c r="H351" s="212"/>
      <c r="I351" s="212"/>
      <c r="J351" s="212"/>
      <c r="K351" s="212"/>
      <c r="L351" s="212"/>
      <c r="M351" s="212"/>
      <c r="N351" s="212"/>
      <c r="O351" s="212"/>
      <c r="P351" s="212"/>
      <c r="Q351" s="212"/>
      <c r="R351" s="212"/>
      <c r="S351" s="212"/>
      <c r="T351" s="212"/>
      <c r="U351" s="212"/>
      <c r="V351" s="212"/>
      <c r="W351" s="212"/>
      <c r="X351" s="210"/>
      <c r="Y351" s="213"/>
      <c r="Z351" s="211">
        <f>+Z349+Z350</f>
        <v>736348</v>
      </c>
      <c r="AA351" s="198"/>
      <c r="AB351" s="40"/>
      <c r="AC351" s="43"/>
      <c r="AD351" s="22"/>
    </row>
    <row r="352" spans="1:30" s="23" customFormat="1" x14ac:dyDescent="0.3">
      <c r="A352" s="47"/>
      <c r="B352" s="44" t="s">
        <v>245</v>
      </c>
      <c r="C352" s="40"/>
      <c r="D352" s="204"/>
      <c r="E352" s="204"/>
      <c r="F352" s="204"/>
      <c r="G352" s="204"/>
      <c r="H352" s="204"/>
      <c r="I352" s="204"/>
      <c r="J352" s="204"/>
      <c r="K352" s="204"/>
      <c r="L352" s="204"/>
      <c r="M352" s="204"/>
      <c r="N352" s="204"/>
      <c r="O352" s="204"/>
      <c r="P352" s="204"/>
      <c r="Q352" s="204"/>
      <c r="R352" s="204"/>
      <c r="S352" s="204"/>
      <c r="T352" s="204"/>
      <c r="U352" s="204"/>
      <c r="V352" s="204"/>
      <c r="W352" s="204"/>
      <c r="X352" s="210"/>
      <c r="Y352" s="198"/>
      <c r="Z352" s="211">
        <f>+AB66</f>
        <v>736348</v>
      </c>
      <c r="AA352" s="198"/>
      <c r="AB352" s="40"/>
      <c r="AC352" s="43"/>
      <c r="AD352" s="22"/>
    </row>
    <row r="353" spans="1:30" s="23" customFormat="1" x14ac:dyDescent="0.3">
      <c r="A353" s="47"/>
      <c r="B353" s="44"/>
      <c r="C353" s="40"/>
      <c r="D353" s="204"/>
      <c r="E353" s="204"/>
      <c r="F353" s="204"/>
      <c r="G353" s="204"/>
      <c r="H353" s="204"/>
      <c r="I353" s="204"/>
      <c r="J353" s="204"/>
      <c r="K353" s="204"/>
      <c r="L353" s="204"/>
      <c r="M353" s="204"/>
      <c r="N353" s="204"/>
      <c r="O353" s="204"/>
      <c r="P353" s="204"/>
      <c r="Q353" s="204"/>
      <c r="R353" s="204"/>
      <c r="S353" s="204"/>
      <c r="T353" s="204"/>
      <c r="U353" s="204"/>
      <c r="V353" s="204"/>
      <c r="W353" s="204"/>
      <c r="X353" s="210"/>
      <c r="Y353" s="198"/>
      <c r="Z353" s="211"/>
      <c r="AA353" s="198"/>
      <c r="AB353" s="40"/>
      <c r="AC353" s="43"/>
      <c r="AD353" s="22"/>
    </row>
    <row r="354" spans="1:30" s="23" customFormat="1" x14ac:dyDescent="0.3">
      <c r="A354" s="47"/>
      <c r="B354" s="44" t="s">
        <v>327</v>
      </c>
      <c r="C354" s="40"/>
      <c r="D354" s="204"/>
      <c r="E354" s="204"/>
      <c r="F354" s="204"/>
      <c r="G354" s="204"/>
      <c r="H354" s="204"/>
      <c r="I354" s="204"/>
      <c r="J354" s="204"/>
      <c r="K354" s="204"/>
      <c r="L354" s="204"/>
      <c r="M354" s="204"/>
      <c r="N354" s="204"/>
      <c r="O354" s="204"/>
      <c r="P354" s="204"/>
      <c r="Q354" s="204"/>
      <c r="R354" s="204"/>
      <c r="S354" s="204"/>
      <c r="T354" s="204"/>
      <c r="U354" s="204"/>
      <c r="V354" s="204"/>
      <c r="W354" s="204"/>
      <c r="X354" s="210"/>
      <c r="Y354" s="198"/>
      <c r="Z354" s="236">
        <f>(F31+H31+J31+L31+N31)/AB31</f>
        <v>1</v>
      </c>
      <c r="AA354" s="198"/>
      <c r="AB354" s="40"/>
      <c r="AC354" s="43"/>
      <c r="AD354" s="22"/>
    </row>
    <row r="355" spans="1:30" s="23" customFormat="1" x14ac:dyDescent="0.3">
      <c r="A355" s="18"/>
      <c r="B355" s="20"/>
      <c r="C355" s="20"/>
      <c r="D355" s="214"/>
      <c r="E355" s="214"/>
      <c r="F355" s="214"/>
      <c r="G355" s="214"/>
      <c r="H355" s="214"/>
      <c r="I355" s="214"/>
      <c r="J355" s="214"/>
      <c r="K355" s="214"/>
      <c r="L355" s="214"/>
      <c r="M355" s="214"/>
      <c r="N355" s="214"/>
      <c r="O355" s="214"/>
      <c r="P355" s="214"/>
      <c r="Q355" s="214"/>
      <c r="R355" s="214"/>
      <c r="S355" s="214"/>
      <c r="T355" s="214"/>
      <c r="U355" s="214"/>
      <c r="V355" s="214"/>
      <c r="W355" s="214"/>
      <c r="X355" s="214"/>
      <c r="Y355" s="214"/>
      <c r="Z355" s="215"/>
      <c r="AA355" s="214"/>
      <c r="AB355" s="20"/>
      <c r="AC355" s="21"/>
      <c r="AD355" s="22"/>
    </row>
    <row r="356" spans="1:30" s="23" customFormat="1" x14ac:dyDescent="0.3">
      <c r="A356" s="18"/>
      <c r="B356" s="19" t="s">
        <v>62</v>
      </c>
      <c r="C356" s="20"/>
      <c r="D356" s="216" t="s">
        <v>66</v>
      </c>
      <c r="E356" s="19"/>
      <c r="F356" s="19" t="s">
        <v>67</v>
      </c>
      <c r="G356" s="20"/>
      <c r="H356" s="19"/>
      <c r="I356" s="20"/>
      <c r="J356" s="20"/>
      <c r="K356" s="20"/>
      <c r="L356" s="20"/>
      <c r="M356" s="20"/>
      <c r="N356" s="20"/>
      <c r="O356" s="20"/>
      <c r="P356" s="20"/>
      <c r="Q356" s="20"/>
      <c r="R356" s="20"/>
      <c r="S356" s="20"/>
      <c r="T356" s="20"/>
      <c r="U356" s="20"/>
      <c r="V356" s="20"/>
      <c r="W356" s="20"/>
      <c r="X356" s="20"/>
      <c r="Y356" s="20"/>
      <c r="Z356" s="20"/>
      <c r="AA356" s="20"/>
      <c r="AB356" s="20"/>
      <c r="AC356" s="21"/>
      <c r="AD356" s="22"/>
    </row>
    <row r="357" spans="1:30" s="23" customFormat="1" x14ac:dyDescent="0.3">
      <c r="A357" s="18"/>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1"/>
      <c r="AD357" s="22"/>
    </row>
    <row r="358" spans="1:30" s="23" customFormat="1" x14ac:dyDescent="0.3">
      <c r="A358" s="18"/>
      <c r="B358" s="19" t="s">
        <v>152</v>
      </c>
      <c r="C358" s="19"/>
      <c r="D358" s="217" t="s">
        <v>122</v>
      </c>
      <c r="E358" s="19"/>
      <c r="F358" s="19" t="s">
        <v>169</v>
      </c>
      <c r="G358" s="19"/>
      <c r="H358" s="19"/>
      <c r="I358" s="20"/>
      <c r="J358" s="20"/>
      <c r="K358" s="20"/>
      <c r="L358" s="20"/>
      <c r="M358" s="20"/>
      <c r="N358" s="20"/>
      <c r="O358" s="20"/>
      <c r="P358" s="20"/>
      <c r="Q358" s="20"/>
      <c r="R358" s="20"/>
      <c r="S358" s="20"/>
      <c r="T358" s="20"/>
      <c r="U358" s="20"/>
      <c r="V358" s="20"/>
      <c r="W358" s="20"/>
      <c r="X358" s="20"/>
      <c r="Y358" s="20"/>
      <c r="Z358" s="20"/>
      <c r="AA358" s="20"/>
      <c r="AB358" s="20"/>
      <c r="AC358" s="21"/>
      <c r="AD358" s="22"/>
    </row>
    <row r="359" spans="1:30" s="23" customFormat="1" x14ac:dyDescent="0.3">
      <c r="A359" s="18"/>
      <c r="B359" s="19" t="s">
        <v>153</v>
      </c>
      <c r="C359" s="19"/>
      <c r="D359" s="217" t="s">
        <v>98</v>
      </c>
      <c r="E359" s="19"/>
      <c r="F359" s="19" t="s">
        <v>170</v>
      </c>
      <c r="G359" s="19"/>
      <c r="H359" s="19"/>
      <c r="I359" s="20"/>
      <c r="J359" s="20"/>
      <c r="K359" s="20"/>
      <c r="L359" s="20"/>
      <c r="M359" s="20"/>
      <c r="N359" s="20"/>
      <c r="O359" s="20"/>
      <c r="P359" s="20"/>
      <c r="Q359" s="20"/>
      <c r="R359" s="20"/>
      <c r="S359" s="20"/>
      <c r="T359" s="20"/>
      <c r="U359" s="20"/>
      <c r="V359" s="20"/>
      <c r="W359" s="20"/>
      <c r="X359" s="20"/>
      <c r="Y359" s="20"/>
      <c r="Z359" s="20"/>
      <c r="AA359" s="20"/>
      <c r="AB359" s="20"/>
      <c r="AC359" s="21"/>
      <c r="AD359" s="22"/>
    </row>
    <row r="360" spans="1:30" s="23" customFormat="1" x14ac:dyDescent="0.3">
      <c r="A360" s="18"/>
      <c r="B360" s="19"/>
      <c r="C360" s="19"/>
      <c r="D360" s="217"/>
      <c r="E360" s="19"/>
      <c r="F360" s="19"/>
      <c r="G360" s="19"/>
      <c r="H360" s="19"/>
      <c r="I360" s="20"/>
      <c r="J360" s="20"/>
      <c r="K360" s="20"/>
      <c r="L360" s="20"/>
      <c r="M360" s="20"/>
      <c r="N360" s="20"/>
      <c r="O360" s="20"/>
      <c r="P360" s="20"/>
      <c r="Q360" s="20"/>
      <c r="R360" s="20"/>
      <c r="S360" s="20"/>
      <c r="T360" s="20"/>
      <c r="U360" s="20"/>
      <c r="V360" s="20"/>
      <c r="W360" s="20"/>
      <c r="X360" s="20"/>
      <c r="Y360" s="20"/>
      <c r="Z360" s="20"/>
      <c r="AA360" s="20"/>
      <c r="AB360" s="20"/>
      <c r="AC360" s="21"/>
      <c r="AD360" s="22"/>
    </row>
    <row r="361" spans="1:30" s="23" customFormat="1" x14ac:dyDescent="0.3">
      <c r="A361" s="18"/>
      <c r="B361" s="257" t="s">
        <v>326</v>
      </c>
      <c r="C361" s="19"/>
      <c r="D361" s="217"/>
      <c r="E361" s="19"/>
      <c r="F361" s="19"/>
      <c r="G361" s="19"/>
      <c r="H361" s="19"/>
      <c r="I361" s="20"/>
      <c r="J361" s="20"/>
      <c r="K361" s="20"/>
      <c r="L361" s="20"/>
      <c r="M361" s="20"/>
      <c r="N361" s="20"/>
      <c r="O361" s="20"/>
      <c r="P361" s="20"/>
      <c r="Q361" s="20"/>
      <c r="R361" s="20"/>
      <c r="S361" s="20"/>
      <c r="T361" s="20"/>
      <c r="U361" s="20"/>
      <c r="V361" s="20"/>
      <c r="W361" s="20"/>
      <c r="X361" s="20"/>
      <c r="Y361" s="20"/>
      <c r="Z361" s="20"/>
      <c r="AA361" s="20"/>
      <c r="AB361" s="20"/>
      <c r="AC361" s="21"/>
      <c r="AD361" s="22"/>
    </row>
    <row r="362" spans="1:30" x14ac:dyDescent="0.3">
      <c r="A362" s="218"/>
      <c r="B362" s="258"/>
      <c r="C362" s="219"/>
      <c r="D362" s="220"/>
      <c r="E362" s="220"/>
      <c r="F362" s="220"/>
      <c r="G362" s="220"/>
      <c r="H362" s="220"/>
      <c r="I362" s="220"/>
      <c r="J362" s="220"/>
      <c r="K362" s="220"/>
      <c r="L362" s="220"/>
      <c r="M362" s="220"/>
      <c r="N362" s="220"/>
      <c r="O362" s="220"/>
      <c r="P362" s="220"/>
      <c r="Q362" s="220"/>
      <c r="R362" s="220"/>
      <c r="S362" s="220"/>
      <c r="T362" s="220"/>
      <c r="U362" s="220"/>
      <c r="V362" s="220"/>
      <c r="W362" s="220"/>
      <c r="X362" s="220"/>
      <c r="Y362" s="220"/>
      <c r="Z362" s="220"/>
      <c r="AA362" s="220"/>
      <c r="AB362" s="220"/>
      <c r="AC362" s="221"/>
      <c r="AD362" s="5"/>
    </row>
    <row r="363" spans="1:30" ht="18" x14ac:dyDescent="0.35">
      <c r="A363" s="218"/>
      <c r="B363" s="259" t="s">
        <v>109</v>
      </c>
      <c r="C363" s="219"/>
      <c r="D363" s="220"/>
      <c r="E363" s="220"/>
      <c r="F363" s="220"/>
      <c r="G363" s="220"/>
      <c r="H363" s="220"/>
      <c r="I363" s="220"/>
      <c r="J363" s="220"/>
      <c r="K363" s="220"/>
      <c r="L363" s="220"/>
      <c r="M363" s="220"/>
      <c r="N363" s="220"/>
      <c r="O363" s="220"/>
      <c r="P363" s="260" t="s">
        <v>168</v>
      </c>
      <c r="Q363" s="220"/>
      <c r="R363" s="220"/>
      <c r="S363" s="220"/>
      <c r="T363" s="220"/>
      <c r="U363" s="220"/>
      <c r="V363" s="220"/>
      <c r="W363" s="220"/>
      <c r="X363" s="220"/>
      <c r="Y363" s="220"/>
      <c r="Z363" s="220"/>
      <c r="AA363" s="220"/>
      <c r="AB363" s="220"/>
      <c r="AC363" s="221"/>
      <c r="AD363" s="5"/>
    </row>
    <row r="364" spans="1:30" ht="18" x14ac:dyDescent="0.35">
      <c r="A364" s="218"/>
      <c r="B364" s="259"/>
      <c r="C364" s="219"/>
      <c r="D364" s="220"/>
      <c r="E364" s="220"/>
      <c r="F364" s="220"/>
      <c r="G364" s="220"/>
      <c r="H364" s="220"/>
      <c r="I364" s="220"/>
      <c r="J364" s="220"/>
      <c r="K364" s="220"/>
      <c r="L364" s="220"/>
      <c r="M364" s="220"/>
      <c r="N364" s="220"/>
      <c r="O364" s="220"/>
      <c r="P364" s="260"/>
      <c r="Q364" s="220"/>
      <c r="R364" s="220"/>
      <c r="S364" s="220"/>
      <c r="T364" s="220"/>
      <c r="U364" s="220"/>
      <c r="V364" s="220"/>
      <c r="W364" s="220"/>
      <c r="X364" s="220"/>
      <c r="Y364" s="220"/>
      <c r="Z364" s="220"/>
      <c r="AA364" s="220"/>
      <c r="AB364" s="220"/>
      <c r="AC364" s="221"/>
      <c r="AD364" s="5"/>
    </row>
    <row r="365" spans="1:30" ht="18.600000000000001" thickBot="1" x14ac:dyDescent="0.4">
      <c r="A365" s="218"/>
      <c r="B365" s="222" t="str">
        <f>B234</f>
        <v>PM27 INVESTOR REPORT QUARTER ENDING JUNE 2021</v>
      </c>
      <c r="C365" s="219"/>
      <c r="D365" s="220"/>
      <c r="E365" s="220"/>
      <c r="F365" s="220"/>
      <c r="G365" s="220"/>
      <c r="H365" s="220"/>
      <c r="I365" s="220"/>
      <c r="J365" s="220"/>
      <c r="K365" s="220"/>
      <c r="L365" s="220"/>
      <c r="M365" s="220"/>
      <c r="N365" s="220"/>
      <c r="O365" s="220"/>
      <c r="P365" s="220"/>
      <c r="Q365" s="220"/>
      <c r="R365" s="220"/>
      <c r="S365" s="220"/>
      <c r="T365" s="220"/>
      <c r="U365" s="220"/>
      <c r="V365" s="220"/>
      <c r="W365" s="220"/>
      <c r="X365" s="220"/>
      <c r="Y365" s="220"/>
      <c r="Z365" s="220"/>
      <c r="AA365" s="220"/>
      <c r="AB365" s="220"/>
      <c r="AC365" s="223"/>
      <c r="AD365" s="5"/>
    </row>
    <row r="366" spans="1:30" x14ac:dyDescent="0.3">
      <c r="A366" s="224"/>
      <c r="B366" s="224"/>
      <c r="C366" s="224"/>
      <c r="D366" s="224"/>
      <c r="E366" s="224"/>
      <c r="F366" s="224"/>
      <c r="G366" s="224"/>
      <c r="H366" s="224"/>
      <c r="I366" s="224"/>
      <c r="J366" s="224"/>
      <c r="K366" s="224"/>
      <c r="L366" s="224"/>
      <c r="M366" s="224"/>
      <c r="N366" s="224"/>
      <c r="O366" s="224"/>
      <c r="P366" s="224"/>
      <c r="Q366" s="224"/>
      <c r="R366" s="224"/>
      <c r="S366" s="224"/>
      <c r="T366" s="224"/>
      <c r="U366" s="224"/>
      <c r="V366" s="224"/>
      <c r="W366" s="224"/>
      <c r="X366" s="224"/>
      <c r="Y366" s="224"/>
      <c r="Z366" s="224"/>
      <c r="AA366" s="224"/>
      <c r="AB366" s="224"/>
      <c r="AC366" s="224"/>
    </row>
    <row r="368" spans="1:30" x14ac:dyDescent="0.3">
      <c r="B368" s="278" t="s">
        <v>284</v>
      </c>
    </row>
    <row r="369" spans="2:19" x14ac:dyDescent="0.3">
      <c r="B369" s="270" t="s">
        <v>285</v>
      </c>
    </row>
    <row r="370" spans="2:19" x14ac:dyDescent="0.3">
      <c r="B370" s="270" t="s">
        <v>286</v>
      </c>
    </row>
    <row r="371" spans="2:19" x14ac:dyDescent="0.3">
      <c r="B371" s="270" t="s">
        <v>287</v>
      </c>
    </row>
    <row r="372" spans="2:19" x14ac:dyDescent="0.3">
      <c r="B372" s="270" t="s">
        <v>288</v>
      </c>
    </row>
    <row r="373" spans="2:19" x14ac:dyDescent="0.3">
      <c r="B373" s="270" t="s">
        <v>289</v>
      </c>
    </row>
    <row r="374" spans="2:19" x14ac:dyDescent="0.3">
      <c r="B374" s="270" t="s">
        <v>290</v>
      </c>
    </row>
    <row r="375" spans="2:19" x14ac:dyDescent="0.3">
      <c r="B375" s="270" t="s">
        <v>291</v>
      </c>
    </row>
    <row r="376" spans="2:19" x14ac:dyDescent="0.3">
      <c r="B376" s="270"/>
    </row>
    <row r="377" spans="2:19" x14ac:dyDescent="0.3">
      <c r="B377" s="278" t="s">
        <v>328</v>
      </c>
    </row>
    <row r="378" spans="2:19" x14ac:dyDescent="0.3">
      <c r="B378" s="270" t="s">
        <v>342</v>
      </c>
    </row>
    <row r="379" spans="2:19" x14ac:dyDescent="0.3">
      <c r="B379" s="270" t="s">
        <v>344</v>
      </c>
    </row>
    <row r="380" spans="2:19" x14ac:dyDescent="0.3">
      <c r="B380" s="270"/>
    </row>
    <row r="381" spans="2:19" x14ac:dyDescent="0.3">
      <c r="B381" s="278" t="s">
        <v>292</v>
      </c>
    </row>
    <row r="382" spans="2:19" x14ac:dyDescent="0.3">
      <c r="B382" s="270" t="s">
        <v>293</v>
      </c>
    </row>
    <row r="383" spans="2:19" x14ac:dyDescent="0.3">
      <c r="B383" s="270" t="s">
        <v>339</v>
      </c>
      <c r="C383" s="271"/>
      <c r="D383" s="271"/>
      <c r="E383" s="271"/>
      <c r="F383" s="271"/>
      <c r="G383" s="271"/>
      <c r="H383" s="271"/>
      <c r="I383" s="271"/>
      <c r="J383" s="271"/>
      <c r="K383" s="271"/>
      <c r="L383" s="271"/>
      <c r="M383" s="271"/>
      <c r="N383" s="271"/>
      <c r="O383" s="271"/>
      <c r="P383" s="271"/>
      <c r="Q383" s="271"/>
      <c r="R383" s="271"/>
      <c r="S383" s="271"/>
    </row>
    <row r="384" spans="2:19" x14ac:dyDescent="0.3">
      <c r="B384" s="6" t="s">
        <v>338</v>
      </c>
      <c r="C384" s="271"/>
      <c r="D384" s="271"/>
      <c r="E384" s="271"/>
      <c r="F384" s="271"/>
      <c r="G384" s="271"/>
      <c r="H384" s="271"/>
      <c r="I384" s="271"/>
      <c r="J384" s="271"/>
      <c r="K384" s="271"/>
      <c r="L384" s="271"/>
      <c r="M384" s="271"/>
      <c r="N384" s="271"/>
      <c r="O384" s="271"/>
      <c r="P384" s="271"/>
      <c r="Q384" s="271"/>
      <c r="R384" s="271"/>
      <c r="S384" s="271"/>
    </row>
  </sheetData>
  <hyperlinks>
    <hyperlink ref="K9" r:id="rId1" display="http://www.paragon-group.co.uk" xr:uid="{3D941994-F264-4A52-8158-7E4028E464D8}"/>
    <hyperlink ref="P363" r:id="rId2" xr:uid="{619C1438-5E13-4536-8A66-C2F8417C2A79}"/>
    <hyperlink ref="P274" r:id="rId3" xr:uid="{5285FA13-67C0-4777-8F2A-585BFD2DC611}"/>
  </hyperlinks>
  <printOptions horizontalCentered="1" verticalCentered="1"/>
  <pageMargins left="0.19685039370078741" right="0.19685039370078741" top="0.27559055118110237" bottom="0.27559055118110237" header="0" footer="0"/>
  <pageSetup scale="33" orientation="landscape" r:id="rId4"/>
  <headerFooter alignWithMargins="0"/>
  <rowBreaks count="3" manualBreakCount="3">
    <brk id="53" max="18" man="1"/>
    <brk id="131" max="18" man="1"/>
    <brk id="234" max="18" man="1"/>
  </rowBreaks>
  <colBreaks count="1" manualBreakCount="1">
    <brk id="29" max="299" man="1"/>
  </colBreaks>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2049B-AE64-43DB-A24E-D3F5E38F16F1}">
  <sheetPr>
    <tabColor rgb="FF2D2926"/>
  </sheetPr>
  <dimension ref="A1:JB390"/>
  <sheetViews>
    <sheetView showGridLines="0" showOutlineSymbols="0" zoomScale="70" zoomScaleNormal="70" workbookViewId="0"/>
  </sheetViews>
  <sheetFormatPr defaultColWidth="9.81640625" defaultRowHeight="15.6" x14ac:dyDescent="0.3"/>
  <cols>
    <col min="1" max="1" width="4" style="6" customWidth="1"/>
    <col min="2" max="2" width="71.08984375" style="6" customWidth="1"/>
    <col min="3" max="3" width="2.08984375" style="6" customWidth="1"/>
    <col min="4" max="4" width="16.08984375" style="6" customWidth="1"/>
    <col min="5" max="5" width="2.81640625" style="6" customWidth="1"/>
    <col min="6" max="6" width="16.08984375" style="6" customWidth="1"/>
    <col min="7" max="7" width="2.08984375" style="6" customWidth="1"/>
    <col min="8" max="8" width="17.81640625" style="6" customWidth="1"/>
    <col min="9" max="9" width="2.08984375" style="6" customWidth="1"/>
    <col min="10" max="10" width="14.8164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302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168</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301</v>
      </c>
      <c r="AC14" s="21"/>
      <c r="AD14" s="22"/>
    </row>
    <row r="15" spans="1:30" s="23" customFormat="1" x14ac:dyDescent="0.3">
      <c r="A15" s="18"/>
      <c r="B15" s="19" t="s">
        <v>278</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323</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3.6400000000000002E-2</v>
      </c>
      <c r="Z16" s="29" t="s">
        <v>264</v>
      </c>
      <c r="AA16" s="29">
        <v>0.96360000000000001</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3.1300000000000001E-2</v>
      </c>
      <c r="Z17" s="29" t="s">
        <v>264</v>
      </c>
      <c r="AA17" s="29">
        <v>0.96870000000000001</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6">
        <v>43951</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44489</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304</v>
      </c>
      <c r="G23" s="35"/>
      <c r="H23" s="35" t="s">
        <v>140</v>
      </c>
      <c r="I23" s="35"/>
      <c r="J23" s="35" t="s">
        <v>141</v>
      </c>
      <c r="K23" s="35"/>
      <c r="L23" s="35" t="s">
        <v>171</v>
      </c>
      <c r="M23" s="35"/>
      <c r="N23" s="35" t="s">
        <v>161</v>
      </c>
      <c r="O23" s="35"/>
      <c r="P23" s="35" t="s">
        <v>181</v>
      </c>
      <c r="Q23" s="35"/>
      <c r="R23" s="35" t="s">
        <v>182</v>
      </c>
      <c r="S23" s="35"/>
      <c r="T23" s="35" t="s">
        <v>183</v>
      </c>
      <c r="U23" s="35"/>
      <c r="V23" s="35" t="s">
        <v>184</v>
      </c>
      <c r="W23" s="35"/>
      <c r="X23" s="35" t="s">
        <v>185</v>
      </c>
      <c r="Y23" s="35" t="s">
        <v>186</v>
      </c>
      <c r="Z23" s="35"/>
      <c r="AA23" s="34"/>
      <c r="AB23" s="34"/>
      <c r="AC23" s="36"/>
      <c r="AD23" s="5"/>
    </row>
    <row r="24" spans="1:33" s="23" customFormat="1" x14ac:dyDescent="0.3">
      <c r="A24" s="18"/>
      <c r="B24" s="37" t="s">
        <v>158</v>
      </c>
      <c r="C24" s="38"/>
      <c r="D24" s="228"/>
      <c r="E24" s="228"/>
      <c r="F24" s="228" t="s">
        <v>220</v>
      </c>
      <c r="G24" s="228"/>
      <c r="H24" s="228" t="s">
        <v>221</v>
      </c>
      <c r="I24" s="228"/>
      <c r="J24" s="228" t="s">
        <v>269</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c r="E25" s="227"/>
      <c r="F25" s="227" t="s">
        <v>222</v>
      </c>
      <c r="G25" s="227"/>
      <c r="H25" s="227" t="s">
        <v>223</v>
      </c>
      <c r="I25" s="227"/>
      <c r="J25" s="227" t="s">
        <v>270</v>
      </c>
      <c r="K25" s="227"/>
      <c r="L25" s="227" t="s">
        <v>324</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159</v>
      </c>
      <c r="C26" s="41"/>
      <c r="D26" s="229"/>
      <c r="E26" s="229"/>
      <c r="F26" s="229" t="s">
        <v>220</v>
      </c>
      <c r="G26" s="229"/>
      <c r="H26" s="229" t="s">
        <v>354</v>
      </c>
      <c r="I26" s="229"/>
      <c r="J26" s="229" t="s">
        <v>355</v>
      </c>
      <c r="K26" s="229"/>
      <c r="L26" s="229" t="s">
        <v>356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c r="E27" s="229"/>
      <c r="F27" s="229" t="s">
        <v>222</v>
      </c>
      <c r="G27" s="229"/>
      <c r="H27" s="229" t="s">
        <v>223</v>
      </c>
      <c r="I27" s="229"/>
      <c r="J27" s="229" t="s">
        <v>270</v>
      </c>
      <c r="K27" s="229"/>
      <c r="L27" s="229" t="s">
        <v>324</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c r="E28" s="227"/>
      <c r="F28" s="227" t="s">
        <v>313</v>
      </c>
      <c r="G28" s="227"/>
      <c r="H28" s="227" t="s">
        <v>314</v>
      </c>
      <c r="I28" s="227"/>
      <c r="J28" s="227" t="s">
        <v>315</v>
      </c>
      <c r="K28" s="227"/>
      <c r="L28" s="227" t="s">
        <v>316</v>
      </c>
      <c r="M28" s="227"/>
      <c r="N28" s="227" t="s">
        <v>317</v>
      </c>
      <c r="O28" s="227"/>
      <c r="P28" s="227" t="s">
        <v>318</v>
      </c>
      <c r="Q28" s="227"/>
      <c r="R28" s="227" t="s">
        <v>83</v>
      </c>
      <c r="S28" s="227"/>
      <c r="T28" s="227" t="s">
        <v>319</v>
      </c>
      <c r="U28" s="227"/>
      <c r="V28" s="227" t="s">
        <v>320</v>
      </c>
      <c r="W28" s="227"/>
      <c r="X28" s="227" t="s">
        <v>321</v>
      </c>
      <c r="Y28" s="227" t="s">
        <v>322</v>
      </c>
      <c r="Z28" s="227"/>
      <c r="AA28" s="49"/>
      <c r="AB28" s="50"/>
      <c r="AC28" s="51"/>
      <c r="AD28" s="22"/>
      <c r="AE28" s="45"/>
      <c r="AG28" s="46"/>
    </row>
    <row r="29" spans="1:33" s="23" customFormat="1" x14ac:dyDescent="0.3">
      <c r="A29" s="39"/>
      <c r="B29" s="40" t="s">
        <v>91</v>
      </c>
      <c r="C29" s="52"/>
      <c r="D29" s="54"/>
      <c r="E29" s="53"/>
      <c r="F29" s="54">
        <v>648307</v>
      </c>
      <c r="G29" s="55"/>
      <c r="H29" s="54">
        <v>41826</v>
      </c>
      <c r="I29" s="55"/>
      <c r="J29" s="54">
        <v>22814</v>
      </c>
      <c r="K29" s="55"/>
      <c r="L29" s="54">
        <v>22814</v>
      </c>
      <c r="M29" s="50"/>
      <c r="N29" s="54">
        <v>24717</v>
      </c>
      <c r="O29" s="54"/>
      <c r="P29" s="231">
        <v>11637</v>
      </c>
      <c r="Q29" s="231"/>
      <c r="R29" s="231">
        <v>4175</v>
      </c>
      <c r="S29" s="54"/>
      <c r="T29" s="54" t="s">
        <v>83</v>
      </c>
      <c r="U29" s="54"/>
      <c r="V29" s="54" t="s">
        <v>83</v>
      </c>
      <c r="W29" s="54"/>
      <c r="X29" s="54" t="s">
        <v>83</v>
      </c>
      <c r="Y29" s="54" t="s">
        <v>83</v>
      </c>
      <c r="Z29" s="54"/>
      <c r="AA29" s="52"/>
      <c r="AB29" s="50">
        <f>SUM(F29:N29)</f>
        <v>760478</v>
      </c>
      <c r="AC29" s="51"/>
      <c r="AD29" s="22"/>
    </row>
    <row r="30" spans="1:33" s="23" customFormat="1" x14ac:dyDescent="0.3">
      <c r="A30" s="47"/>
      <c r="B30" s="40" t="s">
        <v>90</v>
      </c>
      <c r="C30" s="49"/>
      <c r="D30" s="54"/>
      <c r="E30" s="54"/>
      <c r="F30" s="54">
        <f>F29*F33</f>
        <v>624177.01345999993</v>
      </c>
      <c r="G30" s="54"/>
      <c r="H30" s="54">
        <f>H29</f>
        <v>41826</v>
      </c>
      <c r="I30" s="54"/>
      <c r="J30" s="54">
        <f>J29</f>
        <v>22814</v>
      </c>
      <c r="K30" s="54"/>
      <c r="L30" s="54">
        <f>L29</f>
        <v>22814</v>
      </c>
      <c r="M30" s="54"/>
      <c r="N30" s="54">
        <f>N29</f>
        <v>24717</v>
      </c>
      <c r="O30" s="54"/>
      <c r="P30" s="54">
        <f>P29*P33</f>
        <v>10803.20895</v>
      </c>
      <c r="Q30" s="54"/>
      <c r="R30" s="54">
        <f>'December 2020'!R31</f>
        <v>0</v>
      </c>
      <c r="S30" s="54"/>
      <c r="T30" s="54" t="s">
        <v>83</v>
      </c>
      <c r="U30" s="54"/>
      <c r="V30" s="54" t="s">
        <v>83</v>
      </c>
      <c r="W30" s="54"/>
      <c r="X30" s="54" t="s">
        <v>83</v>
      </c>
      <c r="Y30" s="54" t="s">
        <v>83</v>
      </c>
      <c r="Z30" s="54"/>
      <c r="AA30" s="49"/>
      <c r="AB30" s="50">
        <f>SUM(F30:N30)</f>
        <v>736348.01345999993</v>
      </c>
      <c r="AC30" s="51"/>
      <c r="AD30" s="22"/>
    </row>
    <row r="31" spans="1:33" s="23" customFormat="1" x14ac:dyDescent="0.3">
      <c r="A31" s="47"/>
      <c r="B31" s="44" t="s">
        <v>92</v>
      </c>
      <c r="C31" s="49"/>
      <c r="D31" s="57"/>
      <c r="E31" s="57"/>
      <c r="F31" s="57">
        <f>F29*F32</f>
        <v>616416.77867000003</v>
      </c>
      <c r="G31" s="57"/>
      <c r="H31" s="57">
        <f>H29</f>
        <v>41826</v>
      </c>
      <c r="I31" s="57"/>
      <c r="J31" s="57">
        <f>J29</f>
        <v>22814</v>
      </c>
      <c r="K31" s="57"/>
      <c r="L31" s="57">
        <f>L29</f>
        <v>22814</v>
      </c>
      <c r="M31" s="57"/>
      <c r="N31" s="57">
        <f>N29</f>
        <v>24717</v>
      </c>
      <c r="O31" s="57"/>
      <c r="P31" s="57">
        <f>P29*P32</f>
        <v>10674.03825</v>
      </c>
      <c r="Q31" s="57"/>
      <c r="R31" s="57">
        <v>0</v>
      </c>
      <c r="S31" s="57"/>
      <c r="T31" s="57" t="s">
        <v>83</v>
      </c>
      <c r="U31" s="57"/>
      <c r="V31" s="57" t="s">
        <v>83</v>
      </c>
      <c r="W31" s="57"/>
      <c r="X31" s="57" t="s">
        <v>83</v>
      </c>
      <c r="Y31" s="57" t="s">
        <v>83</v>
      </c>
      <c r="Z31" s="57"/>
      <c r="AA31" s="49"/>
      <c r="AB31" s="56">
        <f>SUM(F31:N31)</f>
        <v>728587.77867000003</v>
      </c>
      <c r="AC31" s="51"/>
      <c r="AD31" s="22"/>
      <c r="AE31" s="235"/>
    </row>
    <row r="32" spans="1:33" s="65" customFormat="1" x14ac:dyDescent="0.3">
      <c r="A32" s="58"/>
      <c r="B32" s="166" t="s">
        <v>88</v>
      </c>
      <c r="C32" s="61"/>
      <c r="D32" s="60"/>
      <c r="E32" s="60"/>
      <c r="F32" s="60">
        <v>0.95081000000000004</v>
      </c>
      <c r="G32" s="60"/>
      <c r="H32" s="60">
        <v>1</v>
      </c>
      <c r="I32" s="60"/>
      <c r="J32" s="60">
        <v>1</v>
      </c>
      <c r="K32" s="60"/>
      <c r="L32" s="60">
        <v>1</v>
      </c>
      <c r="M32" s="60"/>
      <c r="N32" s="60">
        <v>1</v>
      </c>
      <c r="O32" s="60"/>
      <c r="P32" s="60">
        <v>0.91725000000000001</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c r="E33" s="225"/>
      <c r="F33" s="60">
        <v>0.96277999999999997</v>
      </c>
      <c r="G33" s="60"/>
      <c r="H33" s="60">
        <v>1</v>
      </c>
      <c r="I33" s="60"/>
      <c r="J33" s="60">
        <v>1</v>
      </c>
      <c r="K33" s="60"/>
      <c r="L33" s="60">
        <v>1</v>
      </c>
      <c r="M33" s="60"/>
      <c r="N33" s="60">
        <v>1</v>
      </c>
      <c r="O33" s="60"/>
      <c r="P33" s="60">
        <v>0.92835000000000001</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c r="E34" s="48"/>
      <c r="F34" s="48" t="s">
        <v>305</v>
      </c>
      <c r="G34" s="48"/>
      <c r="H34" s="48" t="s">
        <v>306</v>
      </c>
      <c r="I34" s="48"/>
      <c r="J34" s="48" t="s">
        <v>273</v>
      </c>
      <c r="K34" s="48"/>
      <c r="L34" s="48" t="s">
        <v>307</v>
      </c>
      <c r="M34" s="48"/>
      <c r="N34" s="48" t="s">
        <v>308</v>
      </c>
      <c r="O34" s="48"/>
      <c r="P34" s="48" t="s">
        <v>254</v>
      </c>
      <c r="Q34" s="48"/>
      <c r="R34" s="48" t="s">
        <v>254</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c r="E35" s="241"/>
      <c r="F35" s="241">
        <v>1.1503599999999999E-2</v>
      </c>
      <c r="G35" s="241"/>
      <c r="H35" s="241">
        <v>1.5503599999999999E-2</v>
      </c>
      <c r="I35" s="241"/>
      <c r="J35" s="241">
        <v>1.8503599999999999E-2</v>
      </c>
      <c r="K35" s="241"/>
      <c r="L35" s="241">
        <v>2.1503600000000001E-2</v>
      </c>
      <c r="M35" s="241"/>
      <c r="N35" s="241">
        <v>3.15036E-2</v>
      </c>
      <c r="O35" s="241"/>
      <c r="P35" s="241">
        <v>4.0503600000000001E-2</v>
      </c>
      <c r="Q35" s="241"/>
      <c r="R35" s="241">
        <v>4.0503600000000001E-2</v>
      </c>
      <c r="S35" s="68"/>
      <c r="T35" s="68" t="s">
        <v>83</v>
      </c>
      <c r="U35" s="68"/>
      <c r="V35" s="68" t="s">
        <v>83</v>
      </c>
      <c r="W35" s="68"/>
      <c r="X35" s="68" t="s">
        <v>83</v>
      </c>
      <c r="Y35" s="68" t="s">
        <v>83</v>
      </c>
      <c r="Z35" s="68"/>
      <c r="AA35" s="40"/>
      <c r="AB35" s="67">
        <f>SUMPRODUCT(D35:N35,D30:N30)/AB30</f>
        <v>1.292885270770899E-2</v>
      </c>
      <c r="AC35" s="43"/>
      <c r="AD35" s="22"/>
    </row>
    <row r="36" spans="1:30" s="23" customFormat="1" x14ac:dyDescent="0.3">
      <c r="A36" s="47"/>
      <c r="B36" s="40" t="s">
        <v>10</v>
      </c>
      <c r="C36" s="69"/>
      <c r="D36" s="241"/>
      <c r="E36" s="241"/>
      <c r="F36" s="241">
        <v>1.1495E-2</v>
      </c>
      <c r="G36" s="241"/>
      <c r="H36" s="241">
        <v>1.5495E-2</v>
      </c>
      <c r="I36" s="241"/>
      <c r="J36" s="241">
        <v>1.8495000000000001E-2</v>
      </c>
      <c r="K36" s="241"/>
      <c r="L36" s="241">
        <v>2.1495E-2</v>
      </c>
      <c r="M36" s="241"/>
      <c r="N36" s="241">
        <v>3.1495000000000002E-2</v>
      </c>
      <c r="O36" s="241"/>
      <c r="P36" s="241">
        <v>4.0495000000000003E-2</v>
      </c>
      <c r="Q36" s="241"/>
      <c r="R36" s="241">
        <v>4.0495000000000003E-2</v>
      </c>
      <c r="S36" s="68"/>
      <c r="T36" s="68" t="s">
        <v>83</v>
      </c>
      <c r="U36" s="68"/>
      <c r="V36" s="68" t="s">
        <v>83</v>
      </c>
      <c r="W36" s="68"/>
      <c r="X36" s="68" t="s">
        <v>83</v>
      </c>
      <c r="Y36" s="68" t="s">
        <v>83</v>
      </c>
      <c r="Z36" s="68"/>
      <c r="AA36" s="40"/>
      <c r="AB36" s="40"/>
      <c r="AC36" s="43"/>
      <c r="AD36" s="22"/>
    </row>
    <row r="37" spans="1:30" s="23" customFormat="1" x14ac:dyDescent="0.3">
      <c r="A37" s="47"/>
      <c r="B37" s="40" t="s">
        <v>160</v>
      </c>
      <c r="C37" s="40"/>
      <c r="D37" s="69"/>
      <c r="E37" s="69"/>
      <c r="F37" s="69">
        <v>45945</v>
      </c>
      <c r="G37" s="69"/>
      <c r="H37" s="69">
        <v>45945</v>
      </c>
      <c r="I37" s="69"/>
      <c r="J37" s="69">
        <v>45945</v>
      </c>
      <c r="K37" s="69"/>
      <c r="L37" s="69">
        <v>45945</v>
      </c>
      <c r="M37" s="69"/>
      <c r="N37" s="69">
        <v>45945</v>
      </c>
      <c r="O37" s="69"/>
      <c r="P37" s="69">
        <v>45945</v>
      </c>
      <c r="Q37" s="69"/>
      <c r="R37" s="69">
        <v>45945</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c r="E38" s="69"/>
      <c r="F38" s="69">
        <v>45945</v>
      </c>
      <c r="G38" s="48"/>
      <c r="H38" s="69">
        <v>45945</v>
      </c>
      <c r="I38" s="48"/>
      <c r="J38" s="69">
        <v>45945</v>
      </c>
      <c r="K38" s="48"/>
      <c r="L38" s="69">
        <v>45945</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c r="E39" s="48"/>
      <c r="F39" s="48" t="s">
        <v>309</v>
      </c>
      <c r="G39" s="48"/>
      <c r="H39" s="48" t="s">
        <v>272</v>
      </c>
      <c r="I39" s="48"/>
      <c r="J39" s="48" t="s">
        <v>310</v>
      </c>
      <c r="K39" s="48"/>
      <c r="L39" s="48" t="s">
        <v>308</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7" t="s">
        <v>110</v>
      </c>
      <c r="AC40" s="43"/>
      <c r="AD40" s="22"/>
    </row>
    <row r="41" spans="1:30" s="23" customFormat="1" x14ac:dyDescent="0.3">
      <c r="A41" s="47"/>
      <c r="B41" s="40" t="s">
        <v>253</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32">
        <f>SUM(G29:N29)/F29</f>
        <v>0.17302142349226524</v>
      </c>
      <c r="AC41" s="43"/>
      <c r="AD41" s="22"/>
    </row>
    <row r="42" spans="1:30" s="23" customFormat="1" x14ac:dyDescent="0.3">
      <c r="A42" s="47"/>
      <c r="B42" s="40" t="s">
        <v>252</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32">
        <f>SUM(G31:N31)/F31</f>
        <v>0.18197265856718506</v>
      </c>
      <c r="AC42" s="43"/>
      <c r="AD42" s="22"/>
    </row>
    <row r="43" spans="1:30" s="23" customFormat="1" x14ac:dyDescent="0.3">
      <c r="A43" s="47"/>
      <c r="B43" s="40" t="s">
        <v>197</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1"/>
      <c r="AC44" s="43"/>
      <c r="AD44" s="22"/>
    </row>
    <row r="45" spans="1:30" s="23" customFormat="1" x14ac:dyDescent="0.3">
      <c r="A45" s="47"/>
      <c r="B45" s="40" t="s">
        <v>196</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2"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3"/>
      <c r="AA46" s="73"/>
      <c r="AB46" s="74">
        <v>44484</v>
      </c>
      <c r="AC46" s="43"/>
      <c r="AD46" s="22"/>
    </row>
    <row r="47" spans="1:30" s="23" customFormat="1" x14ac:dyDescent="0.3">
      <c r="A47" s="47"/>
      <c r="B47" s="40" t="s">
        <v>85</v>
      </c>
      <c r="C47" s="40"/>
      <c r="D47" s="75"/>
      <c r="E47" s="75"/>
      <c r="F47" s="75"/>
      <c r="G47" s="75"/>
      <c r="H47" s="75"/>
      <c r="I47" s="75"/>
      <c r="J47" s="75"/>
      <c r="K47" s="75"/>
      <c r="L47" s="75"/>
      <c r="M47" s="75"/>
      <c r="N47" s="75"/>
      <c r="O47" s="75"/>
      <c r="P47" s="75"/>
      <c r="Q47" s="75"/>
      <c r="R47" s="75"/>
      <c r="S47" s="75"/>
      <c r="T47" s="75"/>
      <c r="U47" s="75"/>
      <c r="V47" s="75"/>
      <c r="W47" s="75"/>
      <c r="X47" s="280">
        <f>+AB47-Z47+1</f>
        <v>91</v>
      </c>
      <c r="Y47" s="40"/>
      <c r="Z47" s="76">
        <v>44301</v>
      </c>
      <c r="AA47" s="77"/>
      <c r="AB47" s="76">
        <v>44391</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80">
        <f>+AB48-Z48+1</f>
        <v>92</v>
      </c>
      <c r="Y48" s="40"/>
      <c r="Z48" s="76">
        <v>44392</v>
      </c>
      <c r="AA48" s="77"/>
      <c r="AB48" s="76">
        <v>44483</v>
      </c>
      <c r="AC48" s="43"/>
      <c r="AD48" s="22"/>
    </row>
    <row r="49" spans="1:31" s="23" customFormat="1" x14ac:dyDescent="0.3">
      <c r="A49" s="47"/>
      <c r="B49" s="40" t="s">
        <v>187</v>
      </c>
      <c r="C49" s="40"/>
      <c r="D49" s="40"/>
      <c r="E49" s="40"/>
      <c r="F49" s="40"/>
      <c r="G49" s="40"/>
      <c r="H49" s="40"/>
      <c r="I49" s="40"/>
      <c r="J49" s="40"/>
      <c r="K49" s="40"/>
      <c r="L49" s="40"/>
      <c r="M49" s="40"/>
      <c r="N49" s="40"/>
      <c r="O49" s="40"/>
      <c r="P49" s="40"/>
      <c r="Q49" s="40"/>
      <c r="R49" s="40"/>
      <c r="S49" s="40"/>
      <c r="T49" s="40"/>
      <c r="U49" s="40"/>
      <c r="V49" s="40"/>
      <c r="W49" s="40"/>
      <c r="X49" s="40"/>
      <c r="Y49" s="40"/>
      <c r="Z49" s="76"/>
      <c r="AA49" s="77"/>
      <c r="AB49" s="76" t="s">
        <v>99</v>
      </c>
      <c r="AC49" s="43"/>
      <c r="AD49" s="22"/>
      <c r="AE49" s="78"/>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v>44483</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9"/>
      <c r="AA51" s="80"/>
      <c r="AB51" s="79"/>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1"/>
      <c r="AA52" s="82"/>
      <c r="AB52" s="81"/>
      <c r="AC52" s="21"/>
      <c r="AD52" s="22"/>
    </row>
    <row r="53" spans="1:31" s="23" customFormat="1" ht="18.600000000000001" thickBot="1" x14ac:dyDescent="0.4">
      <c r="A53" s="83"/>
      <c r="B53" s="84" t="s">
        <v>348</v>
      </c>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6"/>
      <c r="AC53" s="87"/>
      <c r="AD53" s="22"/>
    </row>
    <row r="54" spans="1:31" x14ac:dyDescent="0.3">
      <c r="A54" s="33"/>
      <c r="B54" s="88" t="s">
        <v>13</v>
      </c>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90"/>
      <c r="AC54" s="89"/>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1"/>
      <c r="AC55" s="10"/>
      <c r="AD55" s="5"/>
    </row>
    <row r="56" spans="1:31" s="65" customFormat="1" ht="46.8" x14ac:dyDescent="0.3">
      <c r="A56" s="92"/>
      <c r="B56" s="93" t="s">
        <v>14</v>
      </c>
      <c r="C56" s="94"/>
      <c r="D56" s="94"/>
      <c r="E56" s="94"/>
      <c r="F56" s="94"/>
      <c r="G56" s="94"/>
      <c r="H56" s="94"/>
      <c r="I56" s="94"/>
      <c r="J56" s="94"/>
      <c r="K56" s="94"/>
      <c r="L56" s="94"/>
      <c r="M56" s="94"/>
      <c r="N56" s="94"/>
      <c r="O56" s="94"/>
      <c r="P56" s="94" t="s">
        <v>63</v>
      </c>
      <c r="Q56" s="94"/>
      <c r="R56" s="94" t="s">
        <v>65</v>
      </c>
      <c r="S56" s="94"/>
      <c r="T56" s="94" t="s">
        <v>135</v>
      </c>
      <c r="U56" s="94"/>
      <c r="V56" s="94" t="s">
        <v>136</v>
      </c>
      <c r="W56" s="94"/>
      <c r="X56" s="94" t="s">
        <v>68</v>
      </c>
      <c r="Y56" s="94"/>
      <c r="Z56" s="94" t="s">
        <v>72</v>
      </c>
      <c r="AA56" s="94"/>
      <c r="AB56" s="95" t="s">
        <v>78</v>
      </c>
      <c r="AC56" s="96"/>
      <c r="AD56" s="64"/>
    </row>
    <row r="57" spans="1:31" s="23" customFormat="1" x14ac:dyDescent="0.3">
      <c r="A57" s="47"/>
      <c r="B57" s="40" t="s">
        <v>15</v>
      </c>
      <c r="C57" s="97"/>
      <c r="D57" s="97"/>
      <c r="E57" s="97"/>
      <c r="F57" s="97"/>
      <c r="G57" s="97"/>
      <c r="H57" s="98"/>
      <c r="I57" s="97"/>
      <c r="J57" s="98"/>
      <c r="K57" s="97"/>
      <c r="L57" s="97"/>
      <c r="M57" s="97"/>
      <c r="N57" s="97"/>
      <c r="O57" s="97"/>
      <c r="P57" s="238">
        <v>759666</v>
      </c>
      <c r="Q57" s="238"/>
      <c r="R57" s="237">
        <v>735905</v>
      </c>
      <c r="S57" s="238"/>
      <c r="T57" s="237">
        <f>343+18</f>
        <v>361</v>
      </c>
      <c r="U57" s="238"/>
      <c r="V57" s="238">
        <v>7184</v>
      </c>
      <c r="W57" s="238"/>
      <c r="X57" s="238">
        <v>13</v>
      </c>
      <c r="Y57" s="238"/>
      <c r="Z57" s="238">
        <v>0</v>
      </c>
      <c r="AA57" s="238"/>
      <c r="AB57" s="237">
        <f>R57-T57-V57+X57-Z57</f>
        <v>728373</v>
      </c>
      <c r="AC57" s="43"/>
      <c r="AD57" s="22"/>
      <c r="AE57" s="271"/>
    </row>
    <row r="58" spans="1:31" s="23" customFormat="1" x14ac:dyDescent="0.3">
      <c r="A58" s="47"/>
      <c r="B58" s="40" t="s">
        <v>16</v>
      </c>
      <c r="C58" s="97"/>
      <c r="D58" s="97"/>
      <c r="E58" s="97"/>
      <c r="F58" s="97"/>
      <c r="G58" s="97"/>
      <c r="H58" s="98"/>
      <c r="I58" s="97"/>
      <c r="J58" s="98"/>
      <c r="K58" s="97"/>
      <c r="L58" s="97"/>
      <c r="M58" s="97"/>
      <c r="N58" s="97"/>
      <c r="O58" s="97"/>
      <c r="P58" s="238">
        <v>0</v>
      </c>
      <c r="Q58" s="238"/>
      <c r="R58" s="237">
        <v>0</v>
      </c>
      <c r="S58" s="238"/>
      <c r="T58" s="237">
        <v>0</v>
      </c>
      <c r="U58" s="238"/>
      <c r="V58" s="238">
        <v>0</v>
      </c>
      <c r="W58" s="238"/>
      <c r="X58" s="238">
        <v>0</v>
      </c>
      <c r="Y58" s="238"/>
      <c r="Z58" s="238">
        <v>0</v>
      </c>
      <c r="AA58" s="238"/>
      <c r="AB58" s="237">
        <f>F58-J58-L58</f>
        <v>0</v>
      </c>
      <c r="AC58" s="43"/>
      <c r="AD58" s="22"/>
    </row>
    <row r="59" spans="1:31" s="23" customFormat="1" x14ac:dyDescent="0.3">
      <c r="A59" s="47"/>
      <c r="B59" s="40"/>
      <c r="C59" s="97"/>
      <c r="D59" s="97"/>
      <c r="E59" s="97"/>
      <c r="F59" s="97"/>
      <c r="G59" s="97"/>
      <c r="H59" s="98"/>
      <c r="I59" s="97"/>
      <c r="J59" s="98"/>
      <c r="K59" s="97"/>
      <c r="L59" s="97"/>
      <c r="M59" s="97"/>
      <c r="N59" s="97"/>
      <c r="O59" s="97"/>
      <c r="P59" s="238"/>
      <c r="Q59" s="238"/>
      <c r="R59" s="237"/>
      <c r="S59" s="238"/>
      <c r="T59" s="237"/>
      <c r="U59" s="238"/>
      <c r="V59" s="238"/>
      <c r="W59" s="238"/>
      <c r="X59" s="238"/>
      <c r="Y59" s="238"/>
      <c r="Z59" s="238"/>
      <c r="AA59" s="238"/>
      <c r="AB59" s="237"/>
      <c r="AC59" s="43"/>
      <c r="AD59" s="22"/>
    </row>
    <row r="60" spans="1:31" s="23" customFormat="1" x14ac:dyDescent="0.3">
      <c r="A60" s="47"/>
      <c r="B60" s="40" t="s">
        <v>17</v>
      </c>
      <c r="C60" s="97"/>
      <c r="D60" s="97"/>
      <c r="E60" s="97"/>
      <c r="F60" s="97"/>
      <c r="G60" s="97"/>
      <c r="H60" s="97"/>
      <c r="I60" s="97"/>
      <c r="J60" s="97"/>
      <c r="K60" s="97"/>
      <c r="L60" s="97"/>
      <c r="M60" s="97"/>
      <c r="N60" s="97"/>
      <c r="O60" s="97"/>
      <c r="P60" s="238">
        <f>SUM(P57:P59)</f>
        <v>759666</v>
      </c>
      <c r="Q60" s="238"/>
      <c r="R60" s="238">
        <f>R57+R58</f>
        <v>735905</v>
      </c>
      <c r="S60" s="238"/>
      <c r="T60" s="238">
        <f>T57+T58</f>
        <v>361</v>
      </c>
      <c r="U60" s="238"/>
      <c r="V60" s="238">
        <f>SUM(V57:V59)</f>
        <v>7184</v>
      </c>
      <c r="W60" s="238"/>
      <c r="X60" s="238">
        <f>SUM(X57:X59)</f>
        <v>13</v>
      </c>
      <c r="Y60" s="238"/>
      <c r="Z60" s="238">
        <f>SUM(Z57:Z59)</f>
        <v>0</v>
      </c>
      <c r="AA60" s="238"/>
      <c r="AB60" s="238">
        <f>SUM(AB57:AB59)</f>
        <v>728373</v>
      </c>
      <c r="AC60" s="43"/>
      <c r="AD60" s="22"/>
    </row>
    <row r="61" spans="1:31" s="23" customFormat="1" ht="32.1" customHeight="1" x14ac:dyDescent="0.3">
      <c r="A61" s="47"/>
      <c r="B61" s="40"/>
      <c r="C61" s="97"/>
      <c r="D61" s="97"/>
      <c r="E61" s="97"/>
      <c r="F61" s="97"/>
      <c r="G61" s="97"/>
      <c r="H61" s="97"/>
      <c r="I61" s="97"/>
      <c r="J61" s="97"/>
      <c r="K61" s="97"/>
      <c r="L61" s="97"/>
      <c r="M61" s="97"/>
      <c r="N61" s="97"/>
      <c r="O61" s="97"/>
      <c r="P61" s="238"/>
      <c r="Q61" s="238"/>
      <c r="R61" s="238"/>
      <c r="S61" s="238"/>
      <c r="T61" s="238"/>
      <c r="U61" s="238"/>
      <c r="V61" s="238"/>
      <c r="W61" s="238"/>
      <c r="X61" s="238"/>
      <c r="Y61" s="238"/>
      <c r="Z61" s="238"/>
      <c r="AA61" s="238"/>
      <c r="AB61" s="238"/>
      <c r="AC61" s="43"/>
      <c r="AD61" s="22"/>
    </row>
    <row r="62" spans="1:31" s="23" customFormat="1" x14ac:dyDescent="0.3">
      <c r="A62" s="47"/>
      <c r="B62" s="40" t="s">
        <v>18</v>
      </c>
      <c r="C62" s="97"/>
      <c r="D62" s="97"/>
      <c r="E62" s="97"/>
      <c r="F62" s="97"/>
      <c r="G62" s="97"/>
      <c r="H62" s="97"/>
      <c r="I62" s="97"/>
      <c r="J62" s="97"/>
      <c r="K62" s="97"/>
      <c r="L62" s="97"/>
      <c r="M62" s="97"/>
      <c r="N62" s="97"/>
      <c r="O62" s="97"/>
      <c r="P62" s="238">
        <v>0</v>
      </c>
      <c r="Q62" s="238"/>
      <c r="R62" s="238">
        <v>0</v>
      </c>
      <c r="S62" s="238"/>
      <c r="T62" s="238"/>
      <c r="U62" s="238"/>
      <c r="V62" s="238"/>
      <c r="W62" s="238"/>
      <c r="X62" s="238"/>
      <c r="Y62" s="238"/>
      <c r="Z62" s="238"/>
      <c r="AA62" s="238"/>
      <c r="AB62" s="237">
        <v>0</v>
      </c>
      <c r="AC62" s="43"/>
      <c r="AD62" s="22"/>
    </row>
    <row r="63" spans="1:31" s="23" customFormat="1" x14ac:dyDescent="0.3">
      <c r="A63" s="47"/>
      <c r="B63" s="40" t="s">
        <v>274</v>
      </c>
      <c r="C63" s="97"/>
      <c r="D63" s="97"/>
      <c r="E63" s="97"/>
      <c r="F63" s="97"/>
      <c r="G63" s="97"/>
      <c r="H63" s="97"/>
      <c r="I63" s="97"/>
      <c r="J63" s="97"/>
      <c r="K63" s="97"/>
      <c r="L63" s="97"/>
      <c r="M63" s="97"/>
      <c r="N63" s="97"/>
      <c r="O63" s="97"/>
      <c r="P63" s="238">
        <v>0</v>
      </c>
      <c r="Q63" s="238"/>
      <c r="R63" s="238">
        <v>0</v>
      </c>
      <c r="S63" s="238"/>
      <c r="T63" s="238">
        <v>0</v>
      </c>
      <c r="U63" s="238"/>
      <c r="V63" s="238">
        <v>0</v>
      </c>
      <c r="W63" s="238"/>
      <c r="X63" s="238"/>
      <c r="Y63" s="238"/>
      <c r="Z63" s="238"/>
      <c r="AA63" s="238"/>
      <c r="AB63" s="238">
        <f>R63+V63</f>
        <v>0</v>
      </c>
      <c r="AC63" s="43"/>
      <c r="AD63" s="22"/>
    </row>
    <row r="64" spans="1:31" s="23" customFormat="1" x14ac:dyDescent="0.3">
      <c r="A64" s="47"/>
      <c r="B64" s="40" t="s">
        <v>172</v>
      </c>
      <c r="C64" s="97"/>
      <c r="D64" s="97"/>
      <c r="E64" s="97"/>
      <c r="F64" s="97"/>
      <c r="G64" s="97"/>
      <c r="H64" s="97"/>
      <c r="I64" s="97"/>
      <c r="J64" s="97"/>
      <c r="K64" s="97"/>
      <c r="L64" s="97"/>
      <c r="M64" s="97"/>
      <c r="N64" s="97"/>
      <c r="O64" s="97"/>
      <c r="P64" s="238">
        <v>812</v>
      </c>
      <c r="Q64" s="238"/>
      <c r="R64" s="238">
        <v>443</v>
      </c>
      <c r="S64" s="238"/>
      <c r="T64" s="238"/>
      <c r="U64" s="238"/>
      <c r="V64" s="238"/>
      <c r="W64" s="238"/>
      <c r="X64" s="238">
        <f>-X57-215</f>
        <v>-228</v>
      </c>
      <c r="Y64" s="238"/>
      <c r="Z64" s="238"/>
      <c r="AA64" s="238"/>
      <c r="AB64" s="238">
        <f>+R64+X64</f>
        <v>215</v>
      </c>
      <c r="AC64" s="43"/>
      <c r="AD64" s="22"/>
    </row>
    <row r="65" spans="1:30" s="23" customFormat="1" x14ac:dyDescent="0.3">
      <c r="A65" s="47"/>
      <c r="B65" s="40" t="s">
        <v>19</v>
      </c>
      <c r="C65" s="97"/>
      <c r="D65" s="97"/>
      <c r="E65" s="97"/>
      <c r="F65" s="97"/>
      <c r="G65" s="97"/>
      <c r="H65" s="97"/>
      <c r="I65" s="97"/>
      <c r="J65" s="97"/>
      <c r="K65" s="97"/>
      <c r="L65" s="97"/>
      <c r="M65" s="97"/>
      <c r="N65" s="97"/>
      <c r="O65" s="97"/>
      <c r="P65" s="238">
        <v>0</v>
      </c>
      <c r="Q65" s="238"/>
      <c r="R65" s="238">
        <v>0</v>
      </c>
      <c r="S65" s="238"/>
      <c r="T65" s="238"/>
      <c r="U65" s="238"/>
      <c r="V65" s="238"/>
      <c r="W65" s="238"/>
      <c r="X65" s="238"/>
      <c r="Y65" s="238"/>
      <c r="Z65" s="238"/>
      <c r="AA65" s="238"/>
      <c r="AB65" s="238">
        <v>0</v>
      </c>
      <c r="AC65" s="43"/>
      <c r="AD65" s="22"/>
    </row>
    <row r="66" spans="1:30" s="23" customFormat="1" x14ac:dyDescent="0.3">
      <c r="A66" s="47"/>
      <c r="B66" s="40" t="s">
        <v>20</v>
      </c>
      <c r="C66" s="97"/>
      <c r="D66" s="97"/>
      <c r="E66" s="97"/>
      <c r="F66" s="97"/>
      <c r="G66" s="97"/>
      <c r="H66" s="97"/>
      <c r="I66" s="97"/>
      <c r="J66" s="97"/>
      <c r="K66" s="97"/>
      <c r="L66" s="97"/>
      <c r="M66" s="97"/>
      <c r="N66" s="97"/>
      <c r="O66" s="97"/>
      <c r="P66" s="238">
        <f>SUM(P60:P65)</f>
        <v>760478</v>
      </c>
      <c r="Q66" s="238"/>
      <c r="R66" s="238">
        <f>SUM(R60:R65)</f>
        <v>736348</v>
      </c>
      <c r="S66" s="238"/>
      <c r="T66" s="238"/>
      <c r="U66" s="238"/>
      <c r="V66" s="238"/>
      <c r="W66" s="238"/>
      <c r="X66" s="238"/>
      <c r="Y66" s="238"/>
      <c r="Z66" s="238"/>
      <c r="AA66" s="238"/>
      <c r="AB66" s="238">
        <f>SUM(AB60:AB65)</f>
        <v>728588</v>
      </c>
      <c r="AC66" s="43"/>
      <c r="AD66" s="22"/>
    </row>
    <row r="67" spans="1:30" x14ac:dyDescent="0.3">
      <c r="A67" s="7"/>
      <c r="B67" s="99"/>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1"/>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2" t="s">
        <v>21</v>
      </c>
      <c r="C69" s="102"/>
      <c r="D69" s="103"/>
      <c r="E69" s="103"/>
      <c r="F69" s="103"/>
      <c r="G69" s="103"/>
      <c r="H69" s="104"/>
      <c r="I69" s="103"/>
      <c r="J69" s="105"/>
      <c r="K69" s="103"/>
      <c r="L69" s="103"/>
      <c r="M69" s="103"/>
      <c r="N69" s="103"/>
      <c r="O69" s="103"/>
      <c r="P69" s="103"/>
      <c r="Q69" s="103"/>
      <c r="R69" s="104" t="s">
        <v>64</v>
      </c>
      <c r="S69" s="103"/>
      <c r="T69" s="105">
        <f>+Z235</f>
        <v>44469</v>
      </c>
      <c r="U69" s="103"/>
      <c r="V69" s="103"/>
      <c r="W69" s="103"/>
      <c r="X69" s="103"/>
      <c r="Y69" s="103"/>
      <c r="Z69" s="103" t="s">
        <v>73</v>
      </c>
      <c r="AA69" s="103"/>
      <c r="AB69" s="103"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100">
        <f>+R63</f>
        <v>0</v>
      </c>
      <c r="AA70" s="37"/>
      <c r="AB70" s="107">
        <v>0</v>
      </c>
      <c r="AC70" s="21"/>
      <c r="AD70" s="22"/>
    </row>
    <row r="71" spans="1:30" s="23" customFormat="1" x14ac:dyDescent="0.3">
      <c r="A71" s="47"/>
      <c r="B71" s="40" t="s">
        <v>218</v>
      </c>
      <c r="C71" s="40"/>
      <c r="D71" s="70"/>
      <c r="E71" s="70"/>
      <c r="F71" s="70"/>
      <c r="G71" s="108"/>
      <c r="H71" s="70"/>
      <c r="I71" s="40"/>
      <c r="J71" s="109"/>
      <c r="K71" s="40"/>
      <c r="L71" s="40"/>
      <c r="M71" s="40"/>
      <c r="N71" s="40"/>
      <c r="O71" s="40"/>
      <c r="P71" s="40"/>
      <c r="Q71" s="40"/>
      <c r="R71" s="40"/>
      <c r="S71" s="40"/>
      <c r="T71" s="40"/>
      <c r="U71" s="40"/>
      <c r="V71" s="40"/>
      <c r="W71" s="40"/>
      <c r="X71" s="40"/>
      <c r="Y71" s="40"/>
      <c r="Z71" s="238">
        <f>-X64</f>
        <v>228</v>
      </c>
      <c r="AA71" s="40"/>
      <c r="AB71" s="98"/>
      <c r="AC71" s="43"/>
      <c r="AD71" s="22"/>
    </row>
    <row r="72" spans="1:30" s="23" customFormat="1" x14ac:dyDescent="0.3">
      <c r="A72" s="47"/>
      <c r="B72" s="40" t="s">
        <v>217</v>
      </c>
      <c r="C72" s="40"/>
      <c r="D72" s="70"/>
      <c r="E72" s="70"/>
      <c r="F72" s="70"/>
      <c r="G72" s="108"/>
      <c r="H72" s="70"/>
      <c r="I72" s="40"/>
      <c r="J72" s="109"/>
      <c r="K72" s="40"/>
      <c r="L72" s="40"/>
      <c r="M72" s="40"/>
      <c r="N72" s="40"/>
      <c r="O72" s="40"/>
      <c r="P72" s="40"/>
      <c r="Q72" s="40"/>
      <c r="R72" s="40"/>
      <c r="S72" s="40"/>
      <c r="T72" s="40"/>
      <c r="U72" s="40"/>
      <c r="V72" s="40"/>
      <c r="W72" s="40"/>
      <c r="X72" s="40"/>
      <c r="Y72" s="40"/>
      <c r="Z72" s="238">
        <f>-Z209</f>
        <v>-13</v>
      </c>
      <c r="AA72" s="40"/>
      <c r="AB72" s="98"/>
      <c r="AC72" s="43"/>
      <c r="AD72" s="22"/>
    </row>
    <row r="73" spans="1:30" s="23" customFormat="1" x14ac:dyDescent="0.3">
      <c r="A73" s="47"/>
      <c r="B73" s="40" t="s">
        <v>23</v>
      </c>
      <c r="C73" s="40"/>
      <c r="D73" s="70"/>
      <c r="E73" s="70"/>
      <c r="F73" s="70"/>
      <c r="G73" s="108"/>
      <c r="H73" s="70"/>
      <c r="I73" s="40"/>
      <c r="J73" s="109"/>
      <c r="K73" s="40"/>
      <c r="L73" s="40"/>
      <c r="M73" s="40"/>
      <c r="N73" s="40"/>
      <c r="O73" s="40"/>
      <c r="P73" s="40"/>
      <c r="Q73" s="40"/>
      <c r="R73" s="40"/>
      <c r="S73" s="40"/>
      <c r="T73" s="40"/>
      <c r="U73" s="40"/>
      <c r="V73" s="40"/>
      <c r="W73" s="40"/>
      <c r="X73" s="40"/>
      <c r="Y73" s="40"/>
      <c r="Z73" s="238">
        <f>+T57+V57+Z57</f>
        <v>7545</v>
      </c>
      <c r="AA73" s="40"/>
      <c r="AB73" s="98"/>
      <c r="AC73" s="43"/>
      <c r="AD73" s="22"/>
    </row>
    <row r="74" spans="1:30" s="23" customFormat="1" x14ac:dyDescent="0.3">
      <c r="A74" s="47"/>
      <c r="B74" s="40" t="s">
        <v>115</v>
      </c>
      <c r="C74" s="40"/>
      <c r="D74" s="70"/>
      <c r="E74" s="70"/>
      <c r="F74" s="70"/>
      <c r="G74" s="108"/>
      <c r="H74" s="70"/>
      <c r="I74" s="40"/>
      <c r="J74" s="109"/>
      <c r="K74" s="40"/>
      <c r="L74" s="40"/>
      <c r="M74" s="40"/>
      <c r="N74" s="40"/>
      <c r="O74" s="40"/>
      <c r="P74" s="40"/>
      <c r="Q74" s="40"/>
      <c r="R74" s="40"/>
      <c r="S74" s="40"/>
      <c r="T74" s="40"/>
      <c r="U74" s="40"/>
      <c r="V74" s="40"/>
      <c r="W74" s="40"/>
      <c r="X74" s="40"/>
      <c r="Y74" s="40"/>
      <c r="Z74" s="238"/>
      <c r="AA74" s="40"/>
      <c r="AB74" s="98">
        <f>7045+243-738-19</f>
        <v>6531</v>
      </c>
      <c r="AC74" s="43"/>
      <c r="AD74" s="22"/>
    </row>
    <row r="75" spans="1:30" s="23" customFormat="1" x14ac:dyDescent="0.3">
      <c r="A75" s="47"/>
      <c r="B75" s="40" t="s">
        <v>113</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169+5</f>
        <v>174</v>
      </c>
      <c r="AC75" s="43"/>
      <c r="AD75" s="22"/>
    </row>
    <row r="76" spans="1:30" s="23" customFormat="1" x14ac:dyDescent="0.3">
      <c r="A76" s="47"/>
      <c r="B76" s="40" t="s">
        <v>114</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v>2</v>
      </c>
      <c r="AC76" s="43"/>
      <c r="AD76" s="22"/>
    </row>
    <row r="77" spans="1:30" s="23" customFormat="1" x14ac:dyDescent="0.3">
      <c r="A77" s="47"/>
      <c r="B77" s="40" t="s">
        <v>120</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59" t="s">
        <v>224</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129</v>
      </c>
      <c r="AC78" s="43"/>
      <c r="AD78" s="22"/>
    </row>
    <row r="79" spans="1:30" s="23" customFormat="1" x14ac:dyDescent="0.3">
      <c r="A79" s="47"/>
      <c r="B79" s="59" t="s">
        <v>225</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0</v>
      </c>
      <c r="AC79" s="43"/>
      <c r="AD79" s="22"/>
    </row>
    <row r="80" spans="1:30" s="23" customFormat="1" x14ac:dyDescent="0.3">
      <c r="A80" s="47"/>
      <c r="B80" s="40" t="s">
        <v>232</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f>+AB167</f>
        <v>0</v>
      </c>
      <c r="AC80" s="43"/>
      <c r="AD80" s="22"/>
    </row>
    <row r="81" spans="1:30" s="23" customFormat="1" x14ac:dyDescent="0.3">
      <c r="A81" s="47"/>
      <c r="B81" s="40" t="s">
        <v>246</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v>0</v>
      </c>
      <c r="AC81" s="43"/>
      <c r="AD81" s="22"/>
    </row>
    <row r="82" spans="1:30" s="23" customFormat="1" x14ac:dyDescent="0.3">
      <c r="A82" s="47"/>
      <c r="B82" s="59" t="s">
        <v>233</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25</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8">
        <f>SUM(Z70:Z82)</f>
        <v>7760</v>
      </c>
      <c r="AA83" s="40"/>
      <c r="AB83" s="97">
        <f>SUM(AB70:AB82)</f>
        <v>6861</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8">
        <f>-AB84</f>
        <v>0</v>
      </c>
      <c r="AA84" s="40"/>
      <c r="AB84" s="98">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8"/>
      <c r="AA85" s="40"/>
      <c r="AB85" s="98">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8">
        <f>Z83+Z84</f>
        <v>7760</v>
      </c>
      <c r="AA86" s="40"/>
      <c r="AB86" s="97">
        <f>AB83+AB84+AB85</f>
        <v>6861</v>
      </c>
      <c r="AC86" s="43"/>
      <c r="AD86" s="22"/>
    </row>
    <row r="87" spans="1:30" x14ac:dyDescent="0.3">
      <c r="A87" s="110"/>
      <c r="B87" s="111" t="s">
        <v>27</v>
      </c>
      <c r="C87" s="59"/>
      <c r="D87" s="59"/>
      <c r="E87" s="59"/>
      <c r="F87" s="59"/>
      <c r="G87" s="59"/>
      <c r="H87" s="59"/>
      <c r="I87" s="59"/>
      <c r="J87" s="59"/>
      <c r="K87" s="59"/>
      <c r="L87" s="59"/>
      <c r="M87" s="59"/>
      <c r="N87" s="59"/>
      <c r="O87" s="59"/>
      <c r="P87" s="59"/>
      <c r="Q87" s="59"/>
      <c r="R87" s="59"/>
      <c r="S87" s="59"/>
      <c r="T87" s="59"/>
      <c r="U87" s="59"/>
      <c r="V87" s="59"/>
      <c r="W87" s="59"/>
      <c r="X87" s="59"/>
      <c r="Y87" s="59"/>
      <c r="Z87" s="238"/>
      <c r="AA87" s="112"/>
      <c r="AB87" s="113"/>
      <c r="AC87" s="114"/>
      <c r="AD87" s="5"/>
    </row>
    <row r="88" spans="1:30" x14ac:dyDescent="0.3">
      <c r="A88" s="110">
        <v>1</v>
      </c>
      <c r="B88" s="59" t="s">
        <v>138</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98">
        <v>0</v>
      </c>
      <c r="AC88" s="114"/>
      <c r="AD88" s="5"/>
    </row>
    <row r="89" spans="1:30" x14ac:dyDescent="0.3">
      <c r="A89" s="110">
        <v>2</v>
      </c>
      <c r="B89" s="59" t="s">
        <v>275</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-2</v>
      </c>
      <c r="AC89" s="114"/>
      <c r="AD89" s="5"/>
    </row>
    <row r="90" spans="1:30" x14ac:dyDescent="0.3">
      <c r="A90" s="110">
        <v>3</v>
      </c>
      <c r="B90" s="59" t="s">
        <v>247</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f>-372-10-11</f>
        <v>-393</v>
      </c>
      <c r="AC90" s="114"/>
      <c r="AD90" s="5"/>
    </row>
    <row r="91" spans="1:30" x14ac:dyDescent="0.3">
      <c r="A91" s="110">
        <v>4</v>
      </c>
      <c r="B91" s="59" t="s">
        <v>82</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v>-742</v>
      </c>
      <c r="AC91" s="114"/>
      <c r="AD91" s="5"/>
    </row>
    <row r="92" spans="1:30" x14ac:dyDescent="0.3">
      <c r="A92" s="110">
        <v>5</v>
      </c>
      <c r="B92" s="59" t="s">
        <v>129</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-1810</v>
      </c>
      <c r="AC92" s="114"/>
      <c r="AD92" s="5"/>
    </row>
    <row r="93" spans="1:30" x14ac:dyDescent="0.3">
      <c r="A93" s="110">
        <v>6</v>
      </c>
      <c r="B93" s="59" t="s">
        <v>150</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-163</v>
      </c>
      <c r="AC93" s="114"/>
      <c r="AD93" s="5"/>
    </row>
    <row r="94" spans="1:30" x14ac:dyDescent="0.3">
      <c r="A94" s="110">
        <v>7</v>
      </c>
      <c r="B94" s="59" t="s">
        <v>201</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0</v>
      </c>
      <c r="AC94" s="114"/>
      <c r="AD94" s="5"/>
    </row>
    <row r="95" spans="1:30" x14ac:dyDescent="0.3">
      <c r="A95" s="110">
        <v>8</v>
      </c>
      <c r="B95" s="59" t="s">
        <v>151</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-106</v>
      </c>
      <c r="AC95" s="114"/>
      <c r="AD95" s="5"/>
    </row>
    <row r="96" spans="1:30" x14ac:dyDescent="0.3">
      <c r="A96" s="110">
        <v>9</v>
      </c>
      <c r="B96" s="59" t="s">
        <v>180</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-124</v>
      </c>
      <c r="AC96" s="114"/>
      <c r="AD96" s="5"/>
    </row>
    <row r="97" spans="1:30" x14ac:dyDescent="0.3">
      <c r="A97" s="110">
        <v>10</v>
      </c>
      <c r="B97" s="59" t="s">
        <v>130</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0</v>
      </c>
      <c r="AC97" s="114"/>
      <c r="AD97" s="5"/>
    </row>
    <row r="98" spans="1:30" x14ac:dyDescent="0.3">
      <c r="A98" s="110">
        <v>11</v>
      </c>
      <c r="B98" s="59" t="s">
        <v>200</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0</v>
      </c>
      <c r="AC98" s="114"/>
      <c r="AD98" s="5"/>
    </row>
    <row r="99" spans="1:30" x14ac:dyDescent="0.3">
      <c r="A99" s="110">
        <v>12</v>
      </c>
      <c r="B99" s="59" t="s">
        <v>33</v>
      </c>
      <c r="C99" s="59"/>
      <c r="D99" s="59"/>
      <c r="E99" s="59"/>
      <c r="F99" s="59"/>
      <c r="G99" s="59"/>
      <c r="H99" s="59"/>
      <c r="I99" s="59"/>
      <c r="J99" s="59"/>
      <c r="K99" s="59"/>
      <c r="L99" s="59"/>
      <c r="M99" s="59"/>
      <c r="N99" s="59"/>
      <c r="O99" s="59"/>
      <c r="P99" s="59"/>
      <c r="Q99" s="59"/>
      <c r="R99" s="59"/>
      <c r="S99" s="59"/>
      <c r="T99" s="59"/>
      <c r="U99" s="59"/>
      <c r="V99" s="59"/>
      <c r="W99" s="59"/>
      <c r="X99" s="59"/>
      <c r="Y99" s="59"/>
      <c r="Z99" s="238">
        <f>-AB99</f>
        <v>0</v>
      </c>
      <c r="AA99" s="112"/>
      <c r="AB99" s="98">
        <v>0</v>
      </c>
      <c r="AC99" s="114"/>
      <c r="AD99" s="5"/>
    </row>
    <row r="100" spans="1:30" x14ac:dyDescent="0.3">
      <c r="A100" s="110">
        <v>13</v>
      </c>
      <c r="B100" s="59" t="s">
        <v>276</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14</v>
      </c>
      <c r="B101" s="59" t="s">
        <v>277</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c r="AA101" s="112"/>
      <c r="AB101" s="98">
        <v>-1250</v>
      </c>
      <c r="AC101" s="114"/>
      <c r="AD101" s="5"/>
    </row>
    <row r="102" spans="1:30" x14ac:dyDescent="0.3">
      <c r="A102" s="110">
        <v>15</v>
      </c>
      <c r="B102" s="59" t="s">
        <v>28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-26</v>
      </c>
      <c r="AC102" s="114"/>
      <c r="AD102" s="5"/>
    </row>
    <row r="103" spans="1:30" x14ac:dyDescent="0.3">
      <c r="A103" s="110">
        <v>16</v>
      </c>
      <c r="B103" s="59" t="s">
        <v>118</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0</v>
      </c>
      <c r="AC103" s="114"/>
      <c r="AD103" s="5"/>
    </row>
    <row r="104" spans="1:30" x14ac:dyDescent="0.3">
      <c r="A104" s="110">
        <v>17</v>
      </c>
      <c r="B104" s="59" t="s">
        <v>188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0</v>
      </c>
      <c r="AC104" s="114"/>
      <c r="AD104" s="5"/>
    </row>
    <row r="105" spans="1:30" x14ac:dyDescent="0.3">
      <c r="A105" s="110">
        <v>18</v>
      </c>
      <c r="B105" s="59" t="s">
        <v>162</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-196</v>
      </c>
      <c r="AC105" s="114"/>
      <c r="AD105" s="5"/>
    </row>
    <row r="106" spans="1:30" x14ac:dyDescent="0.3">
      <c r="A106" s="110">
        <v>19</v>
      </c>
      <c r="B106" s="59" t="s">
        <v>257</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-110</v>
      </c>
      <c r="AC106" s="114"/>
      <c r="AD106" s="5"/>
    </row>
    <row r="107" spans="1:30" x14ac:dyDescent="0.3">
      <c r="A107" s="110">
        <v>20</v>
      </c>
      <c r="B107" s="59" t="s">
        <v>258</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-129</v>
      </c>
      <c r="AC107" s="114"/>
      <c r="AD107" s="5"/>
    </row>
    <row r="108" spans="1:30" x14ac:dyDescent="0.3">
      <c r="A108" s="110">
        <v>21</v>
      </c>
      <c r="B108" s="59" t="s">
        <v>259</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0</v>
      </c>
      <c r="AC108" s="114"/>
      <c r="AD108" s="5"/>
    </row>
    <row r="109" spans="1:30" x14ac:dyDescent="0.3">
      <c r="A109" s="110">
        <v>22</v>
      </c>
      <c r="B109" s="59" t="s">
        <v>260</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0</v>
      </c>
      <c r="AC109" s="114"/>
      <c r="AD109" s="5"/>
    </row>
    <row r="110" spans="1:30" x14ac:dyDescent="0.3">
      <c r="A110" s="110">
        <v>23</v>
      </c>
      <c r="B110" s="59" t="s">
        <v>131</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24</v>
      </c>
      <c r="B111" s="59" t="s">
        <v>137</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f>-12-69</f>
        <v>-81</v>
      </c>
      <c r="AC111" s="114"/>
      <c r="AD111" s="5"/>
    </row>
    <row r="112" spans="1:30" x14ac:dyDescent="0.3">
      <c r="A112" s="110">
        <v>25</v>
      </c>
      <c r="B112" s="59" t="s">
        <v>255</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-5</v>
      </c>
      <c r="AC112" s="114"/>
      <c r="AD112" s="5"/>
    </row>
    <row r="113" spans="1:30" x14ac:dyDescent="0.3">
      <c r="A113" s="110">
        <v>26</v>
      </c>
      <c r="B113" s="59" t="s">
        <v>226</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-1724</v>
      </c>
      <c r="AC113" s="114"/>
      <c r="AD113" s="5"/>
    </row>
    <row r="114" spans="1:30" x14ac:dyDescent="0.3">
      <c r="A114" s="110"/>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113"/>
      <c r="AC114" s="114"/>
      <c r="AD114" s="5"/>
    </row>
    <row r="115" spans="1:30" x14ac:dyDescent="0.3">
      <c r="A115" s="110"/>
      <c r="B115" s="111" t="s">
        <v>29</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112"/>
      <c r="AB115" s="116"/>
      <c r="AC115" s="114"/>
      <c r="AD115" s="5"/>
    </row>
    <row r="116" spans="1:30" x14ac:dyDescent="0.3">
      <c r="A116" s="110"/>
      <c r="B116" s="40" t="s">
        <v>227</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v>0</v>
      </c>
      <c r="AA116" s="112"/>
      <c r="AB116" s="116"/>
      <c r="AC116" s="114"/>
      <c r="AD116" s="5"/>
    </row>
    <row r="117" spans="1:30" s="23" customFormat="1" x14ac:dyDescent="0.3">
      <c r="A117" s="47"/>
      <c r="B117" s="40" t="s">
        <v>156</v>
      </c>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238">
        <v>0</v>
      </c>
      <c r="AA117" s="97"/>
      <c r="AB117" s="98"/>
      <c r="AC117" s="43"/>
      <c r="AD117" s="22"/>
    </row>
    <row r="118" spans="1:30" s="23" customFormat="1" x14ac:dyDescent="0.3">
      <c r="A118" s="47"/>
      <c r="B118" s="40" t="s">
        <v>157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8">
        <v>0</v>
      </c>
      <c r="AA118" s="97"/>
      <c r="AB118" s="98"/>
      <c r="AC118" s="43"/>
      <c r="AD118" s="22"/>
    </row>
    <row r="119" spans="1:30" s="23" customFormat="1" x14ac:dyDescent="0.3">
      <c r="A119" s="47"/>
      <c r="B119" s="40" t="s">
        <v>262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263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312</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-7760</v>
      </c>
      <c r="AA121" s="97"/>
      <c r="AB121" s="98"/>
      <c r="AC121" s="43"/>
      <c r="AD121" s="22"/>
    </row>
    <row r="122" spans="1:30" s="23" customFormat="1" x14ac:dyDescent="0.3">
      <c r="A122" s="47"/>
      <c r="B122" s="40" t="s">
        <v>142</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143</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0</v>
      </c>
      <c r="AA123" s="97"/>
      <c r="AB123" s="98"/>
      <c r="AC123" s="43"/>
      <c r="AD123" s="22"/>
    </row>
    <row r="124" spans="1:30" s="23" customFormat="1" x14ac:dyDescent="0.3">
      <c r="A124" s="47"/>
      <c r="B124" s="40" t="s">
        <v>173</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163</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189</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30</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f>SUM(Z116:Z126)</f>
        <v>-7760</v>
      </c>
      <c r="AA127" s="97"/>
      <c r="AB127" s="97">
        <f>SUM(AB87:AB125)</f>
        <v>-6861</v>
      </c>
      <c r="AC127" s="43"/>
      <c r="AD127" s="22"/>
    </row>
    <row r="128" spans="1:30" s="23" customFormat="1" x14ac:dyDescent="0.3">
      <c r="A128" s="47"/>
      <c r="B128" s="40" t="s">
        <v>31</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f>Z86+Z127+Z99</f>
        <v>0</v>
      </c>
      <c r="AA128" s="97"/>
      <c r="AB128" s="97">
        <f>AB86+AB127</f>
        <v>0</v>
      </c>
      <c r="AC128" s="43"/>
      <c r="AD128" s="22"/>
    </row>
    <row r="129" spans="1:30" s="23" customFormat="1" x14ac:dyDescent="0.3">
      <c r="A129" s="18"/>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106"/>
      <c r="AA129" s="106"/>
      <c r="AB129" s="106"/>
      <c r="AC129" s="21"/>
      <c r="AD129" s="22"/>
    </row>
    <row r="130" spans="1:30" s="23" customFormat="1" x14ac:dyDescent="0.3">
      <c r="A130" s="18"/>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117"/>
      <c r="AC130" s="21"/>
      <c r="AD130" s="22"/>
    </row>
    <row r="131" spans="1:30" s="23" customFormat="1" ht="18.600000000000001" thickBot="1" x14ac:dyDescent="0.4">
      <c r="A131" s="83"/>
      <c r="B131" s="84" t="str">
        <f>B53</f>
        <v>PM27 INVESTOR REPORT QUARTER ENDING SEPTEMBER 2021</v>
      </c>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118"/>
      <c r="AC131" s="87"/>
      <c r="AD131" s="22"/>
    </row>
    <row r="132" spans="1:30" x14ac:dyDescent="0.3">
      <c r="A132" s="119"/>
      <c r="B132" s="120" t="s">
        <v>32</v>
      </c>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2"/>
      <c r="AC132" s="123"/>
      <c r="AD132" s="5"/>
    </row>
    <row r="133" spans="1:30" x14ac:dyDescent="0.3">
      <c r="A133" s="7"/>
      <c r="B133" s="124"/>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1"/>
      <c r="AC133" s="10"/>
      <c r="AD133" s="5"/>
    </row>
    <row r="134" spans="1:30" x14ac:dyDescent="0.3">
      <c r="A134" s="7"/>
      <c r="B134" s="125" t="s">
        <v>192</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1"/>
      <c r="AC134" s="10"/>
      <c r="AD134" s="5"/>
    </row>
    <row r="135" spans="1:30" s="23" customFormat="1" x14ac:dyDescent="0.3">
      <c r="A135" s="47"/>
      <c r="B135" s="40" t="s">
        <v>199</v>
      </c>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98">
        <f>SUM(F29:H29)*1.5%</f>
        <v>10351.994999999999</v>
      </c>
      <c r="AC135" s="43"/>
      <c r="AD135" s="22"/>
    </row>
    <row r="136" spans="1:30" s="23" customFormat="1" x14ac:dyDescent="0.3">
      <c r="A136" s="47"/>
      <c r="B136" s="40" t="s">
        <v>204</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8">
        <f>+'June 2021'!AB143</f>
        <v>10119.994999999999</v>
      </c>
      <c r="AC136" s="43"/>
      <c r="AD136" s="22"/>
    </row>
    <row r="137" spans="1:30" s="23" customFormat="1" x14ac:dyDescent="0.3">
      <c r="A137" s="47"/>
      <c r="B137" s="40" t="s">
        <v>248</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8"/>
      <c r="AC137" s="43"/>
      <c r="AD137" s="22"/>
    </row>
    <row r="138" spans="1:30" s="23" customFormat="1" x14ac:dyDescent="0.3">
      <c r="A138" s="47"/>
      <c r="B138" s="40" t="s">
        <v>250</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v>0</v>
      </c>
      <c r="AC138" s="43"/>
      <c r="AD138" s="22"/>
    </row>
    <row r="139" spans="1:30" s="23" customFormat="1" x14ac:dyDescent="0.3">
      <c r="A139" s="47"/>
      <c r="B139" s="40" t="s">
        <v>198</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v>0</v>
      </c>
      <c r="AC139" s="43"/>
      <c r="AD139" s="22"/>
    </row>
    <row r="140" spans="1:30" s="23" customFormat="1" x14ac:dyDescent="0.3">
      <c r="A140" s="47"/>
      <c r="B140" s="40" t="s">
        <v>150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v>0</v>
      </c>
      <c r="AC140" s="43"/>
      <c r="AD140" s="22"/>
    </row>
    <row r="141" spans="1:30" s="23" customFormat="1" x14ac:dyDescent="0.3">
      <c r="A141" s="47"/>
      <c r="B141" s="40" t="s">
        <v>87</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251</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-129</v>
      </c>
      <c r="AC142" s="43"/>
      <c r="AD142" s="22"/>
    </row>
    <row r="143" spans="1:30" s="23" customFormat="1" x14ac:dyDescent="0.3">
      <c r="A143" s="47"/>
      <c r="B143" s="40" t="s">
        <v>203</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f>SUM(AB136:AB142)</f>
        <v>9990.994999999999</v>
      </c>
      <c r="AC143" s="43"/>
      <c r="AD143" s="22"/>
    </row>
    <row r="144" spans="1:30" x14ac:dyDescent="0.3">
      <c r="A144" s="7"/>
      <c r="B144" s="124"/>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1"/>
      <c r="AC144" s="10"/>
      <c r="AD144" s="5"/>
    </row>
    <row r="145" spans="1:30" x14ac:dyDescent="0.3">
      <c r="A145" s="7"/>
      <c r="B145" s="125" t="s">
        <v>190</v>
      </c>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1"/>
      <c r="AC145" s="10"/>
      <c r="AD145" s="5"/>
    </row>
    <row r="146" spans="1:30" s="23" customFormat="1" x14ac:dyDescent="0.3">
      <c r="A146" s="47"/>
      <c r="B146" s="59" t="s">
        <v>191</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SUM(J29:L29)*1.5%</f>
        <v>684.42</v>
      </c>
      <c r="AC146" s="43"/>
      <c r="AD146" s="22"/>
    </row>
    <row r="147" spans="1:30" s="23" customFormat="1" x14ac:dyDescent="0.3">
      <c r="A147" s="47"/>
      <c r="B147" s="59" t="s">
        <v>205</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8">
        <f>SUM(J29:L29)*0.015</f>
        <v>684.42</v>
      </c>
      <c r="AC147" s="43"/>
      <c r="AD147" s="22"/>
    </row>
    <row r="148" spans="1:30" s="23" customFormat="1" x14ac:dyDescent="0.3">
      <c r="A148" s="47"/>
      <c r="B148" s="59" t="s">
        <v>93</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8"/>
      <c r="AC148" s="43"/>
      <c r="AD148" s="22"/>
    </row>
    <row r="149" spans="1:30" s="23" customFormat="1" x14ac:dyDescent="0.3">
      <c r="A149" s="47"/>
      <c r="B149" s="40" t="s">
        <v>250</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v>0</v>
      </c>
      <c r="AC149" s="43"/>
      <c r="AD149" s="22"/>
    </row>
    <row r="150" spans="1:30" s="23" customFormat="1" x14ac:dyDescent="0.3">
      <c r="A150" s="47"/>
      <c r="B150" s="59" t="s">
        <v>129</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v>0</v>
      </c>
      <c r="AC150" s="43"/>
      <c r="AD150" s="22"/>
    </row>
    <row r="151" spans="1:30" s="23" customFormat="1" x14ac:dyDescent="0.3">
      <c r="A151" s="47"/>
      <c r="B151" s="59" t="s">
        <v>150</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v>0</v>
      </c>
      <c r="AC151" s="43"/>
      <c r="AD151" s="22"/>
    </row>
    <row r="152" spans="1:30" s="23" customFormat="1" x14ac:dyDescent="0.3">
      <c r="A152" s="47"/>
      <c r="B152" s="59" t="s">
        <v>151</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0" s="23" customFormat="1" x14ac:dyDescent="0.3">
      <c r="A153" s="47"/>
      <c r="B153" s="59" t="s">
        <v>180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0" s="23" customFormat="1" x14ac:dyDescent="0.3">
      <c r="A154" s="47"/>
      <c r="B154" s="59" t="s">
        <v>87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0" s="23" customFormat="1" x14ac:dyDescent="0.3">
      <c r="A155" s="47"/>
      <c r="B155" s="40" t="s">
        <v>251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0" s="23" customFormat="1" x14ac:dyDescent="0.3">
      <c r="A156" s="47"/>
      <c r="B156" s="59" t="s">
        <v>202</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f>SUM(AB147:AB155)</f>
        <v>684.42</v>
      </c>
      <c r="AC156" s="43"/>
      <c r="AD156" s="22"/>
    </row>
    <row r="157" spans="1:30" x14ac:dyDescent="0.3">
      <c r="A157" s="7"/>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126"/>
      <c r="AC157" s="10"/>
      <c r="AD157" s="5"/>
    </row>
    <row r="158" spans="1:30" x14ac:dyDescent="0.3">
      <c r="A158" s="7"/>
      <c r="B158" s="125" t="s">
        <v>174</v>
      </c>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8"/>
      <c r="AC158" s="10"/>
      <c r="AD158" s="5"/>
    </row>
    <row r="159" spans="1:30" s="23" customFormat="1" x14ac:dyDescent="0.3">
      <c r="A159" s="129"/>
      <c r="B159" s="230" t="s">
        <v>281</v>
      </c>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1">
        <f>+'June 2021'!AB162</f>
        <v>443</v>
      </c>
      <c r="AC159" s="132"/>
      <c r="AD159" s="22"/>
    </row>
    <row r="160" spans="1:30" s="23" customFormat="1" x14ac:dyDescent="0.3">
      <c r="A160" s="129"/>
      <c r="B160" s="230" t="s">
        <v>175</v>
      </c>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1">
        <f>X64+215</f>
        <v>-13</v>
      </c>
      <c r="AC160" s="132"/>
      <c r="AD160" s="22"/>
    </row>
    <row r="161" spans="1:262" s="23" customFormat="1" x14ac:dyDescent="0.3">
      <c r="A161" s="129"/>
      <c r="B161" s="230" t="s">
        <v>249</v>
      </c>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1">
        <v>-215</v>
      </c>
      <c r="AC161" s="132"/>
      <c r="AD161" s="22"/>
    </row>
    <row r="162" spans="1:262" s="23" customFormat="1" x14ac:dyDescent="0.3">
      <c r="A162" s="129"/>
      <c r="B162" s="230" t="s">
        <v>176</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AB159+AB160+AB161</f>
        <v>215</v>
      </c>
      <c r="AC162" s="132"/>
      <c r="AD162" s="22"/>
    </row>
    <row r="163" spans="1:262" x14ac:dyDescent="0.3">
      <c r="A163" s="7"/>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126"/>
      <c r="AC163" s="10"/>
      <c r="AD163" s="5"/>
    </row>
    <row r="164" spans="1:262" x14ac:dyDescent="0.3">
      <c r="A164" s="7"/>
      <c r="B164" s="125" t="s">
        <v>34</v>
      </c>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133"/>
      <c r="AC164" s="10"/>
      <c r="AD164" s="5"/>
    </row>
    <row r="165" spans="1:262" s="23" customFormat="1" x14ac:dyDescent="0.3">
      <c r="A165" s="47"/>
      <c r="B165" s="40" t="s">
        <v>35</v>
      </c>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98">
        <v>0</v>
      </c>
      <c r="AC165" s="43"/>
      <c r="AD165" s="22"/>
    </row>
    <row r="166" spans="1:262" s="23" customFormat="1" x14ac:dyDescent="0.3">
      <c r="A166" s="47"/>
      <c r="B166" s="40" t="s">
        <v>36</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8">
        <v>0</v>
      </c>
      <c r="AC166" s="43"/>
      <c r="AD166" s="22"/>
    </row>
    <row r="167" spans="1:262" s="23" customFormat="1" x14ac:dyDescent="0.3">
      <c r="A167" s="47"/>
      <c r="B167" s="40" t="s">
        <v>219</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8">
        <v>0</v>
      </c>
      <c r="AC167" s="43"/>
      <c r="AD167" s="22"/>
    </row>
    <row r="168" spans="1:262" s="23" customFormat="1" x14ac:dyDescent="0.3">
      <c r="A168" s="47"/>
      <c r="B168" s="40" t="s">
        <v>37</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AB166+AB165+AB167</f>
        <v>0</v>
      </c>
      <c r="AC168" s="43"/>
      <c r="AD168" s="22"/>
    </row>
    <row r="169" spans="1:262" s="23" customFormat="1" x14ac:dyDescent="0.3">
      <c r="A169" s="47"/>
      <c r="B169" s="40" t="s">
        <v>268</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f>+AB99</f>
        <v>0</v>
      </c>
      <c r="AC169" s="43"/>
      <c r="AD169" s="22"/>
    </row>
    <row r="170" spans="1:262" s="23" customFormat="1" x14ac:dyDescent="0.3">
      <c r="A170" s="47"/>
      <c r="B170" s="40" t="s">
        <v>38</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f>AB168+AB169</f>
        <v>0</v>
      </c>
      <c r="AC170" s="43"/>
      <c r="AD170" s="22"/>
    </row>
    <row r="171" spans="1:262" s="23" customFormat="1" x14ac:dyDescent="0.3">
      <c r="A171" s="47"/>
      <c r="B171" s="40" t="s">
        <v>124</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-AB85</f>
        <v>0</v>
      </c>
      <c r="AC171" s="43"/>
      <c r="AD171" s="22"/>
    </row>
    <row r="172" spans="1:262" ht="16.2" thickBot="1" x14ac:dyDescent="0.35">
      <c r="A172" s="7"/>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126"/>
      <c r="AC172" s="10"/>
      <c r="AD172" s="5"/>
    </row>
    <row r="173" spans="1:262" x14ac:dyDescent="0.3">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134"/>
      <c r="AC173" s="4"/>
      <c r="AD173" s="5"/>
    </row>
    <row r="174" spans="1:262" s="136" customFormat="1" x14ac:dyDescent="0.3">
      <c r="A174" s="7"/>
      <c r="B174" s="125" t="s">
        <v>193</v>
      </c>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135"/>
      <c r="AC174" s="10"/>
      <c r="AD174" s="5"/>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row>
    <row r="175" spans="1:262" s="137" customFormat="1" x14ac:dyDescent="0.3">
      <c r="A175" s="47"/>
      <c r="B175" s="40" t="s">
        <v>332</v>
      </c>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98">
        <v>0</v>
      </c>
      <c r="AC175" s="43"/>
      <c r="AD175" s="22"/>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row>
    <row r="176" spans="1:262" s="137" customFormat="1" x14ac:dyDescent="0.3">
      <c r="A176" s="47"/>
      <c r="B176" s="40" t="s">
        <v>210</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8">
        <f>+'June 2021'!AB179</f>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7" customFormat="1" x14ac:dyDescent="0.3">
      <c r="A177" s="47"/>
      <c r="B177" s="40" t="s">
        <v>234</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8">
        <f>-AB185</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7" customFormat="1" x14ac:dyDescent="0.3">
      <c r="A178" s="47"/>
      <c r="B178" s="40" t="s">
        <v>236</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f>+AB81</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207</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+AB176+AB177-AB178</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9" customFormat="1" ht="16.2" thickBot="1" x14ac:dyDescent="0.35">
      <c r="A180" s="138"/>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126"/>
      <c r="AC180" s="10"/>
      <c r="AD180" s="5"/>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row>
    <row r="181" spans="1:262" x14ac:dyDescent="0.3">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134"/>
      <c r="AC181" s="4"/>
      <c r="AD181" s="5"/>
    </row>
    <row r="182" spans="1:262" s="136" customFormat="1" x14ac:dyDescent="0.3">
      <c r="A182" s="7"/>
      <c r="B182" s="125" t="s">
        <v>206</v>
      </c>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135"/>
      <c r="AC182" s="10"/>
      <c r="AD182" s="5"/>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row>
    <row r="183" spans="1:262" s="137" customFormat="1" x14ac:dyDescent="0.3">
      <c r="A183" s="47"/>
      <c r="B183" s="40" t="s">
        <v>208</v>
      </c>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98">
        <v>300</v>
      </c>
      <c r="AC183" s="43"/>
      <c r="AD183" s="22"/>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row>
    <row r="184" spans="1:262" s="137" customFormat="1" x14ac:dyDescent="0.3">
      <c r="A184" s="47"/>
      <c r="B184" s="40" t="s">
        <v>211</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98">
        <f>+'June 2021'!AB187</f>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7" customFormat="1" x14ac:dyDescent="0.3">
      <c r="A185" s="47"/>
      <c r="B185" s="59" t="s">
        <v>228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8">
        <v>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7" customFormat="1" x14ac:dyDescent="0.3">
      <c r="A186" s="47"/>
      <c r="B186" s="59" t="s">
        <v>229</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f>-AB100</f>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209</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AB183-AB185+AB186</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9" customFormat="1" ht="16.2" thickBot="1" x14ac:dyDescent="0.35">
      <c r="A188" s="138"/>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126"/>
      <c r="AC188" s="10"/>
      <c r="AD188" s="5"/>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row>
    <row r="189" spans="1:262" x14ac:dyDescent="0.3">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134"/>
      <c r="AC189" s="4"/>
      <c r="AD189" s="5"/>
    </row>
    <row r="190" spans="1:262" s="136" customFormat="1" x14ac:dyDescent="0.3">
      <c r="A190" s="7"/>
      <c r="B190" s="125" t="s">
        <v>212</v>
      </c>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135"/>
      <c r="AC190" s="10"/>
      <c r="AD190" s="5"/>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row>
    <row r="191" spans="1:262" s="137" customFormat="1" x14ac:dyDescent="0.3">
      <c r="A191" s="47"/>
      <c r="B191" s="40" t="s">
        <v>334</v>
      </c>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98">
        <v>0</v>
      </c>
      <c r="AC191" s="43"/>
      <c r="AD191" s="22"/>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row>
    <row r="192" spans="1:262" s="137" customFormat="1" x14ac:dyDescent="0.3">
      <c r="A192" s="47"/>
      <c r="B192" s="40" t="s">
        <v>213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98">
        <f>+'June 2021'!AB195</f>
        <v>105</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7" customFormat="1" x14ac:dyDescent="0.3">
      <c r="A193" s="47"/>
      <c r="B193" s="40" t="s">
        <v>235</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8">
        <f>AB201</f>
        <v>513</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7"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f>AB82</f>
        <v>25</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346</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AB192+AB193-AB194</f>
        <v>593</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9" customFormat="1" ht="16.2" thickBot="1" x14ac:dyDescent="0.35">
      <c r="A196" s="138"/>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126"/>
      <c r="AC196" s="10"/>
      <c r="AD196" s="5"/>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row>
    <row r="197" spans="1:262" x14ac:dyDescent="0.3">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134"/>
      <c r="AC197" s="4"/>
      <c r="AD197" s="5"/>
    </row>
    <row r="198" spans="1:262" s="136" customFormat="1" x14ac:dyDescent="0.3">
      <c r="A198" s="7"/>
      <c r="B198" s="125" t="s">
        <v>333</v>
      </c>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135"/>
      <c r="AC198" s="10"/>
      <c r="AD198" s="5"/>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row>
    <row r="199" spans="1:262" s="137" customFormat="1" x14ac:dyDescent="0.3">
      <c r="A199" s="47"/>
      <c r="B199" s="40" t="s">
        <v>214</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v>301</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7" customFormat="1" x14ac:dyDescent="0.3">
      <c r="A200" s="47"/>
      <c r="B200" s="40" t="s">
        <v>215</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98">
        <f>+'June 2021'!AB203</f>
        <v>540</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7" customFormat="1" x14ac:dyDescent="0.3">
      <c r="A201" s="47"/>
      <c r="B201" s="59" t="s">
        <v>256</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8">
        <v>513</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7" customFormat="1" x14ac:dyDescent="0.3">
      <c r="A202" s="47"/>
      <c r="B202" s="59" t="s">
        <v>231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f>-AB101</f>
        <v>1250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AB200-AB201+AB202</f>
        <v>1277</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9" customFormat="1" ht="16.2" thickBot="1" x14ac:dyDescent="0.35">
      <c r="A204" s="138"/>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126"/>
      <c r="AC204" s="10"/>
      <c r="AD204" s="5"/>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row>
    <row r="205" spans="1:262" x14ac:dyDescent="0.3">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134"/>
      <c r="AC205" s="4"/>
      <c r="AD205" s="5"/>
    </row>
    <row r="206" spans="1:262" s="136" customFormat="1" x14ac:dyDescent="0.3">
      <c r="A206" s="7"/>
      <c r="B206" s="125" t="s">
        <v>237</v>
      </c>
      <c r="C206" s="99"/>
      <c r="D206" s="99"/>
      <c r="E206" s="99"/>
      <c r="F206" s="99"/>
      <c r="G206" s="99"/>
      <c r="H206" s="99"/>
      <c r="I206" s="99"/>
      <c r="J206" s="99"/>
      <c r="K206" s="99"/>
      <c r="L206" s="99"/>
      <c r="M206" s="99"/>
      <c r="N206" s="99"/>
      <c r="O206" s="99"/>
      <c r="P206" s="99"/>
      <c r="Q206" s="99"/>
      <c r="R206" s="99"/>
      <c r="S206" s="99"/>
      <c r="T206" s="99"/>
      <c r="U206" s="99"/>
      <c r="V206" s="99"/>
      <c r="W206" s="99"/>
      <c r="X206" s="99"/>
      <c r="Y206" s="233" t="s">
        <v>243</v>
      </c>
      <c r="Z206" s="233" t="s">
        <v>244</v>
      </c>
      <c r="AA206" s="12"/>
      <c r="AB206" s="234" t="s">
        <v>80</v>
      </c>
      <c r="AC206" s="10"/>
      <c r="AD206" s="5"/>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row>
    <row r="207" spans="1:262" s="137" customFormat="1" x14ac:dyDescent="0.3">
      <c r="A207" s="47"/>
      <c r="B207" s="40" t="s">
        <v>238</v>
      </c>
      <c r="C207" s="40"/>
      <c r="D207" s="40"/>
      <c r="E207" s="40"/>
      <c r="F207" s="40"/>
      <c r="G207" s="40"/>
      <c r="H207" s="40"/>
      <c r="I207" s="40"/>
      <c r="J207" s="40"/>
      <c r="K207" s="40"/>
      <c r="L207" s="40"/>
      <c r="M207" s="40"/>
      <c r="N207" s="40"/>
      <c r="O207" s="40"/>
      <c r="P207" s="40"/>
      <c r="Q207" s="40"/>
      <c r="R207" s="40"/>
      <c r="S207" s="40"/>
      <c r="T207" s="40"/>
      <c r="U207" s="40"/>
      <c r="V207" s="40"/>
      <c r="W207" s="40"/>
      <c r="X207" s="40"/>
      <c r="Y207" s="98">
        <f>SUM(F29:R29)*0.16</f>
        <v>124206.40000000001</v>
      </c>
      <c r="Z207" s="70"/>
      <c r="AA207" s="40"/>
      <c r="AB207" s="98"/>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7" customFormat="1" x14ac:dyDescent="0.3">
      <c r="A208" s="47"/>
      <c r="B208" s="40" t="s">
        <v>239</v>
      </c>
      <c r="C208" s="40"/>
      <c r="D208" s="40"/>
      <c r="E208" s="40"/>
      <c r="F208" s="40"/>
      <c r="G208" s="40"/>
      <c r="H208" s="40"/>
      <c r="I208" s="40"/>
      <c r="J208" s="40"/>
      <c r="K208" s="40"/>
      <c r="L208" s="40"/>
      <c r="M208" s="40"/>
      <c r="N208" s="40"/>
      <c r="O208" s="40"/>
      <c r="P208" s="40"/>
      <c r="Q208" s="40"/>
      <c r="R208" s="40"/>
      <c r="S208" s="40"/>
      <c r="T208" s="40"/>
      <c r="U208" s="40"/>
      <c r="V208" s="40"/>
      <c r="W208" s="40"/>
      <c r="X208" s="40"/>
      <c r="Y208" s="98">
        <f>+'June 2021'!Y210</f>
        <v>0</v>
      </c>
      <c r="Z208" s="98">
        <f>+'June 2021'!Z210</f>
        <v>369</v>
      </c>
      <c r="AA208" s="40"/>
      <c r="AB208" s="98">
        <f>Y208+Z208</f>
        <v>369</v>
      </c>
      <c r="AC208" s="43"/>
      <c r="AD208" s="22"/>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row>
    <row r="209" spans="1:262" s="137" customFormat="1" x14ac:dyDescent="0.3">
      <c r="A209" s="47"/>
      <c r="B209" s="40" t="s">
        <v>240</v>
      </c>
      <c r="C209" s="40"/>
      <c r="D209" s="40"/>
      <c r="E209" s="40"/>
      <c r="F209" s="40"/>
      <c r="G209" s="40"/>
      <c r="H209" s="40"/>
      <c r="I209" s="40"/>
      <c r="J209" s="40"/>
      <c r="K209" s="40"/>
      <c r="L209" s="40"/>
      <c r="M209" s="40"/>
      <c r="N209" s="40"/>
      <c r="O209" s="40"/>
      <c r="P209" s="40"/>
      <c r="Q209" s="40"/>
      <c r="R209" s="40"/>
      <c r="S209" s="40"/>
      <c r="T209" s="40"/>
      <c r="U209" s="40"/>
      <c r="V209" s="40"/>
      <c r="W209" s="40"/>
      <c r="X209" s="40"/>
      <c r="Y209" s="97">
        <v>0</v>
      </c>
      <c r="Z209" s="97">
        <v>13</v>
      </c>
      <c r="AA209" s="40"/>
      <c r="AB209" s="98">
        <f>Y209+Z209</f>
        <v>13</v>
      </c>
      <c r="AC209" s="43"/>
      <c r="AD209" s="22"/>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row>
    <row r="210" spans="1:262" s="137" customFormat="1" x14ac:dyDescent="0.3">
      <c r="A210" s="47"/>
      <c r="B210" s="40" t="s">
        <v>241</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Y208+Y209</f>
        <v>0</v>
      </c>
      <c r="Z210" s="98">
        <f>Z209+Z208</f>
        <v>382</v>
      </c>
      <c r="AA210" s="40"/>
      <c r="AB210" s="98">
        <f>Y210+Z210</f>
        <v>382</v>
      </c>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242</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Y207-Y210-Z210</f>
        <v>123824.40000000001</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9" customFormat="1" ht="16.2" thickBot="1" x14ac:dyDescent="0.35">
      <c r="A212" s="138"/>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126"/>
      <c r="AC212" s="10"/>
      <c r="AD212" s="5"/>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row>
    <row r="213" spans="1:262" x14ac:dyDescent="0.3">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134"/>
      <c r="AC213" s="4"/>
      <c r="AD213" s="5"/>
    </row>
    <row r="214" spans="1:262" s="136" customFormat="1" x14ac:dyDescent="0.3">
      <c r="A214" s="7"/>
      <c r="B214" s="125" t="s">
        <v>267</v>
      </c>
      <c r="C214" s="99"/>
      <c r="D214" s="99"/>
      <c r="E214" s="99"/>
      <c r="F214" s="99"/>
      <c r="G214" s="99"/>
      <c r="H214" s="99"/>
      <c r="I214" s="99"/>
      <c r="J214" s="99"/>
      <c r="K214" s="99"/>
      <c r="L214" s="99"/>
      <c r="M214" s="99"/>
      <c r="N214" s="99"/>
      <c r="O214" s="99"/>
      <c r="P214" s="99"/>
      <c r="Q214" s="99"/>
      <c r="R214" s="99"/>
      <c r="S214" s="99"/>
      <c r="T214" s="99"/>
      <c r="U214" s="99"/>
      <c r="V214" s="99"/>
      <c r="W214" s="99"/>
      <c r="X214" s="99"/>
      <c r="Y214" s="233"/>
      <c r="Z214" s="233"/>
      <c r="AA214" s="12"/>
      <c r="AB214" s="234" t="s">
        <v>80</v>
      </c>
      <c r="AC214" s="10"/>
      <c r="AD214" s="5"/>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row>
    <row r="215" spans="1:262" s="137" customFormat="1" x14ac:dyDescent="0.3">
      <c r="A215" s="47"/>
      <c r="B215" s="40" t="s">
        <v>265</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c r="Z215" s="70"/>
      <c r="AA215" s="40"/>
      <c r="AB215" s="237">
        <v>721500</v>
      </c>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7" customFormat="1" x14ac:dyDescent="0.3">
      <c r="A216" s="47"/>
      <c r="B216" s="40" t="s">
        <v>325</v>
      </c>
      <c r="C216" s="40"/>
      <c r="D216" s="40"/>
      <c r="E216" s="40"/>
      <c r="F216" s="40"/>
      <c r="G216" s="40"/>
      <c r="H216" s="40"/>
      <c r="I216" s="40"/>
      <c r="J216" s="40"/>
      <c r="K216" s="40"/>
      <c r="L216" s="40"/>
      <c r="M216" s="40"/>
      <c r="N216" s="40"/>
      <c r="O216" s="40"/>
      <c r="P216" s="40"/>
      <c r="Q216" s="40"/>
      <c r="R216" s="40"/>
      <c r="S216" s="40"/>
      <c r="T216" s="40"/>
      <c r="U216" s="40"/>
      <c r="V216" s="40"/>
      <c r="W216" s="40"/>
      <c r="X216" s="40"/>
      <c r="Y216" s="98"/>
      <c r="Z216" s="98"/>
      <c r="AA216" s="40"/>
      <c r="AB216" s="237">
        <v>719966</v>
      </c>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7" customFormat="1" x14ac:dyDescent="0.3">
      <c r="A217" s="47"/>
      <c r="B217" s="40" t="s">
        <v>266</v>
      </c>
      <c r="C217" s="40"/>
      <c r="D217" s="40"/>
      <c r="E217" s="40"/>
      <c r="F217" s="40"/>
      <c r="G217" s="40"/>
      <c r="H217" s="40"/>
      <c r="I217" s="40"/>
      <c r="J217" s="40"/>
      <c r="K217" s="40"/>
      <c r="L217" s="40"/>
      <c r="M217" s="40"/>
      <c r="N217" s="40"/>
      <c r="O217" s="40"/>
      <c r="P217" s="40"/>
      <c r="Q217" s="40"/>
      <c r="R217" s="40"/>
      <c r="S217" s="40"/>
      <c r="T217" s="40"/>
      <c r="U217" s="40"/>
      <c r="V217" s="40"/>
      <c r="W217" s="40"/>
      <c r="X217" s="40"/>
      <c r="Y217" s="98"/>
      <c r="Z217" s="98"/>
      <c r="AA217" s="40"/>
      <c r="AB217" s="98">
        <f>AB215-AB216</f>
        <v>1534</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7" customFormat="1" x14ac:dyDescent="0.3">
      <c r="A218" s="47"/>
      <c r="B218" s="40" t="s">
        <v>279</v>
      </c>
      <c r="C218" s="40"/>
      <c r="D218" s="40"/>
      <c r="E218" s="40"/>
      <c r="F218" s="40"/>
      <c r="G218" s="40"/>
      <c r="H218" s="40"/>
      <c r="I218" s="40"/>
      <c r="J218" s="40"/>
      <c r="K218" s="40"/>
      <c r="L218" s="40"/>
      <c r="M218" s="40"/>
      <c r="N218" s="40"/>
      <c r="O218" s="40"/>
      <c r="P218" s="40"/>
      <c r="Q218" s="40"/>
      <c r="R218" s="40"/>
      <c r="S218" s="40"/>
      <c r="T218" s="40"/>
      <c r="U218" s="40"/>
      <c r="V218" s="40"/>
      <c r="W218" s="40"/>
      <c r="X218" s="40"/>
      <c r="Y218" s="97"/>
      <c r="Z218" s="97"/>
      <c r="AA218" s="40"/>
      <c r="AB218" s="240">
        <v>4.5999999999999999E-3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9" customFormat="1" ht="16.2" thickBot="1" x14ac:dyDescent="0.35">
      <c r="A219" s="138"/>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126"/>
      <c r="AC219" s="10"/>
      <c r="AD219" s="5"/>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row>
    <row r="220" spans="1:262" x14ac:dyDescent="0.3">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134"/>
      <c r="AC220" s="4"/>
      <c r="AD220" s="5"/>
    </row>
    <row r="221" spans="1:262" x14ac:dyDescent="0.3">
      <c r="A221" s="7"/>
      <c r="B221" s="125" t="s">
        <v>39</v>
      </c>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140"/>
      <c r="AC221" s="10"/>
      <c r="AD221" s="5"/>
    </row>
    <row r="222" spans="1:262" s="23" customFormat="1" x14ac:dyDescent="0.3">
      <c r="A222" s="47"/>
      <c r="B222" s="40" t="s">
        <v>40</v>
      </c>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142">
        <f>(AB86+AB88+AB89+AB90+AB91)/-AB92</f>
        <v>3.1624309392265193</v>
      </c>
      <c r="AC222" s="43" t="s">
        <v>81</v>
      </c>
      <c r="AD222" s="22"/>
    </row>
    <row r="223" spans="1:262" s="23" customFormat="1" x14ac:dyDescent="0.3">
      <c r="A223" s="47"/>
      <c r="B223" s="40" t="s">
        <v>41</v>
      </c>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142">
        <v>2.91</v>
      </c>
      <c r="AC223" s="43" t="s">
        <v>81</v>
      </c>
      <c r="AD223" s="22"/>
    </row>
    <row r="224" spans="1:262" s="23" customFormat="1" x14ac:dyDescent="0.3">
      <c r="A224" s="47"/>
      <c r="B224" s="40" t="s">
        <v>144</v>
      </c>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141">
        <f>(AB86+AB88+AB89+AB90+AB91+AB92)/-(AB93)</f>
        <v>24.012269938650306</v>
      </c>
      <c r="AC224" s="43" t="s">
        <v>81</v>
      </c>
      <c r="AD224" s="22"/>
    </row>
    <row r="225" spans="1:30" s="23" customFormat="1" x14ac:dyDescent="0.3">
      <c r="A225" s="47"/>
      <c r="B225" s="40" t="s">
        <v>145</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v>21.68</v>
      </c>
      <c r="AC225" s="43" t="s">
        <v>81</v>
      </c>
      <c r="AD225" s="22"/>
    </row>
    <row r="226" spans="1:30" s="23" customFormat="1" x14ac:dyDescent="0.3">
      <c r="A226" s="47"/>
      <c r="B226" s="40" t="s">
        <v>146</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1">
        <f>(AB86+AB88+AB89+AB90+AB91+AB92+AB93)/-(AB95)</f>
        <v>35.386792452830186</v>
      </c>
      <c r="AC226" s="43" t="s">
        <v>81</v>
      </c>
      <c r="AD226" s="22"/>
    </row>
    <row r="227" spans="1:30" s="23" customFormat="1" x14ac:dyDescent="0.3">
      <c r="A227" s="47"/>
      <c r="B227" s="40" t="s">
        <v>147</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31.77</v>
      </c>
      <c r="AC227" s="43" t="s">
        <v>81</v>
      </c>
      <c r="AD227" s="22"/>
    </row>
    <row r="228" spans="1:30" s="23" customFormat="1" x14ac:dyDescent="0.3">
      <c r="A228" s="47"/>
      <c r="B228" s="40" t="s">
        <v>177</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(AB86+AB88+AB89+AB90+AB91+AB92+AB93+AB95)/-(AB96)</f>
        <v>29.39516129032258</v>
      </c>
      <c r="AC228" s="43" t="s">
        <v>81</v>
      </c>
      <c r="AD228" s="22"/>
    </row>
    <row r="229" spans="1:30" s="23" customFormat="1" x14ac:dyDescent="0.3">
      <c r="A229" s="47"/>
      <c r="B229" s="40" t="s">
        <v>178</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26.44</v>
      </c>
      <c r="AC229" s="43" t="s">
        <v>81</v>
      </c>
      <c r="AD229" s="22"/>
    </row>
    <row r="230" spans="1:30" s="23" customFormat="1" x14ac:dyDescent="0.3">
      <c r="A230" s="47"/>
      <c r="B230" s="40" t="s">
        <v>164</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(AB86+AB88+AB89+AB90+AB91+AB92+AB93+AB95+AB96)/-(AB105)</f>
        <v>17.964285714285715</v>
      </c>
      <c r="AC230" s="43" t="s">
        <v>81</v>
      </c>
      <c r="AD230" s="22"/>
    </row>
    <row r="231" spans="1:30" s="23" customFormat="1" x14ac:dyDescent="0.3">
      <c r="A231" s="47"/>
      <c r="B231" s="40" t="s">
        <v>165</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16.05</v>
      </c>
      <c r="AC231" s="43" t="s">
        <v>81</v>
      </c>
      <c r="AD231" s="22"/>
    </row>
    <row r="232" spans="1:30" s="23" customFormat="1" x14ac:dyDescent="0.3">
      <c r="A232" s="18"/>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21"/>
      <c r="AD232" s="22"/>
    </row>
    <row r="233" spans="1:30" s="23" customFormat="1" x14ac:dyDescent="0.3">
      <c r="A233" s="18"/>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1"/>
      <c r="AD233" s="22"/>
    </row>
    <row r="234" spans="1:30" s="23" customFormat="1" ht="18.600000000000001" thickBot="1" x14ac:dyDescent="0.4">
      <c r="A234" s="83"/>
      <c r="B234" s="84" t="str">
        <f>B131</f>
        <v>PM27 INVESTOR REPORT QUARTER ENDING SEPTEMBER 2021</v>
      </c>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7"/>
      <c r="AD234" s="22"/>
    </row>
    <row r="235" spans="1:30" x14ac:dyDescent="0.3">
      <c r="A235" s="119"/>
      <c r="B235" s="120" t="s">
        <v>42</v>
      </c>
      <c r="C235" s="143"/>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v>44469</v>
      </c>
      <c r="AA235" s="121"/>
      <c r="AB235" s="121"/>
      <c r="AC235" s="123"/>
      <c r="AD235" s="5"/>
    </row>
    <row r="236" spans="1:30" x14ac:dyDescent="0.3">
      <c r="A236" s="145"/>
      <c r="B236" s="146"/>
      <c r="C236" s="147"/>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9"/>
      <c r="AB236" s="9"/>
      <c r="AC236" s="10"/>
      <c r="AD236" s="5"/>
    </row>
    <row r="237" spans="1:30" s="23" customFormat="1" x14ac:dyDescent="0.3">
      <c r="A237" s="47"/>
      <c r="B237" s="40" t="s">
        <v>43</v>
      </c>
      <c r="C237" s="149"/>
      <c r="D237" s="73"/>
      <c r="E237" s="73"/>
      <c r="F237" s="73"/>
      <c r="G237" s="73"/>
      <c r="H237" s="73"/>
      <c r="I237" s="73"/>
      <c r="J237" s="73"/>
      <c r="K237" s="73"/>
      <c r="L237" s="73"/>
      <c r="M237" s="73"/>
      <c r="N237" s="73"/>
      <c r="O237" s="73"/>
      <c r="P237" s="73"/>
      <c r="Q237" s="73"/>
      <c r="R237" s="73"/>
      <c r="S237" s="73"/>
      <c r="T237" s="73"/>
      <c r="U237" s="73"/>
      <c r="V237" s="73"/>
      <c r="W237" s="73"/>
      <c r="X237" s="73"/>
      <c r="Y237" s="73"/>
      <c r="Z237" s="67">
        <v>3.5749999999999997E-2</v>
      </c>
      <c r="AA237" s="40"/>
      <c r="AB237" s="40"/>
      <c r="AC237" s="43"/>
      <c r="AD237" s="22"/>
    </row>
    <row r="238" spans="1:30" s="23" customFormat="1" x14ac:dyDescent="0.3">
      <c r="A238" s="47"/>
      <c r="B238" s="40" t="s">
        <v>132</v>
      </c>
      <c r="C238" s="149"/>
      <c r="D238" s="73"/>
      <c r="E238" s="73"/>
      <c r="F238" s="73"/>
      <c r="G238" s="73"/>
      <c r="H238" s="73"/>
      <c r="I238" s="73"/>
      <c r="J238" s="73"/>
      <c r="K238" s="73"/>
      <c r="L238" s="73"/>
      <c r="M238" s="73"/>
      <c r="N238" s="73"/>
      <c r="O238" s="73"/>
      <c r="P238" s="73"/>
      <c r="Q238" s="73"/>
      <c r="R238" s="73"/>
      <c r="S238" s="73"/>
      <c r="T238" s="73"/>
      <c r="U238" s="73"/>
      <c r="V238" s="73"/>
      <c r="W238" s="73"/>
      <c r="X238" s="73"/>
      <c r="Y238" s="73"/>
      <c r="Z238" s="67">
        <v>1.3036129402559968E-2</v>
      </c>
      <c r="AA238" s="40"/>
      <c r="AB238" s="40"/>
      <c r="AC238" s="43"/>
      <c r="AD238" s="22"/>
    </row>
    <row r="239" spans="1:30" s="23" customFormat="1" x14ac:dyDescent="0.3">
      <c r="A239" s="47"/>
      <c r="B239" s="40" t="s">
        <v>44</v>
      </c>
      <c r="C239" s="149"/>
      <c r="D239" s="73"/>
      <c r="E239" s="73"/>
      <c r="F239" s="73"/>
      <c r="G239" s="73"/>
      <c r="H239" s="73"/>
      <c r="I239" s="73"/>
      <c r="J239" s="73"/>
      <c r="K239" s="73"/>
      <c r="L239" s="73"/>
      <c r="M239" s="73"/>
      <c r="N239" s="73"/>
      <c r="O239" s="73"/>
      <c r="P239" s="73"/>
      <c r="Q239" s="73"/>
      <c r="R239" s="73"/>
      <c r="S239" s="73"/>
      <c r="T239" s="73"/>
      <c r="U239" s="73"/>
      <c r="V239" s="73"/>
      <c r="W239" s="73"/>
      <c r="X239" s="73"/>
      <c r="Y239" s="73"/>
      <c r="Z239" s="67">
        <f>Z237-Z238</f>
        <v>2.2713870597440029E-2</v>
      </c>
      <c r="AA239" s="40"/>
      <c r="AB239" s="40"/>
      <c r="AC239" s="43"/>
      <c r="AD239" s="22"/>
    </row>
    <row r="240" spans="1:30" s="23" customFormat="1" x14ac:dyDescent="0.3">
      <c r="A240" s="47"/>
      <c r="B240" s="40" t="s">
        <v>45</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3.5970000000000002E-2</v>
      </c>
      <c r="AA240" s="40"/>
      <c r="AB240" s="40"/>
      <c r="AC240" s="43"/>
      <c r="AD240" s="22"/>
    </row>
    <row r="241" spans="1:30" s="23" customFormat="1" x14ac:dyDescent="0.3">
      <c r="A241" s="47"/>
      <c r="B241" s="40" t="s">
        <v>133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f>+AB35</f>
        <v>1.292885270770899E-2</v>
      </c>
      <c r="AA241" s="40"/>
      <c r="AB241" s="40"/>
      <c r="AC241" s="43"/>
      <c r="AD241" s="22"/>
    </row>
    <row r="242" spans="1:30" s="23" customFormat="1" x14ac:dyDescent="0.3">
      <c r="A242" s="47"/>
      <c r="B242" s="40" t="s">
        <v>46</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2.3041147292291012E-2</v>
      </c>
      <c r="AA242" s="40"/>
      <c r="AB242" s="40"/>
      <c r="AC242" s="43"/>
      <c r="AD242" s="22"/>
    </row>
    <row r="243" spans="1:30" s="23" customFormat="1" x14ac:dyDescent="0.3">
      <c r="A243" s="47"/>
      <c r="B243" s="40" t="s">
        <v>119</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(+AB86+AB88)/R66</f>
        <v>9.3176052627290361E-3</v>
      </c>
      <c r="AA243" s="40"/>
      <c r="AB243" s="40"/>
      <c r="AC243" s="43"/>
      <c r="AD243" s="22"/>
    </row>
    <row r="244" spans="1:30" s="23" customFormat="1" x14ac:dyDescent="0.3">
      <c r="A244" s="47"/>
      <c r="B244" s="40" t="s">
        <v>112</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150">
        <v>53797</v>
      </c>
      <c r="AA244" s="40"/>
      <c r="AB244" s="40"/>
      <c r="AC244" s="43"/>
      <c r="AD244" s="22"/>
    </row>
    <row r="245" spans="1:30" s="23" customFormat="1" x14ac:dyDescent="0.3">
      <c r="A245" s="47"/>
      <c r="B245" s="40" t="s">
        <v>148</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150">
        <v>53797</v>
      </c>
      <c r="AA245" s="40"/>
      <c r="AB245" s="40"/>
      <c r="AC245" s="43"/>
      <c r="AD245" s="22"/>
    </row>
    <row r="246" spans="1:30" s="23" customFormat="1" x14ac:dyDescent="0.3">
      <c r="A246" s="47"/>
      <c r="B246" s="40" t="s">
        <v>149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150">
        <v>53797</v>
      </c>
      <c r="AA246" s="40"/>
      <c r="AB246" s="40"/>
      <c r="AC246" s="43"/>
      <c r="AD246" s="22"/>
    </row>
    <row r="247" spans="1:30" s="23" customFormat="1" x14ac:dyDescent="0.3">
      <c r="A247" s="47"/>
      <c r="B247" s="40" t="s">
        <v>179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53797</v>
      </c>
      <c r="AA247" s="40"/>
      <c r="AB247" s="40"/>
      <c r="AC247" s="43"/>
      <c r="AD247" s="22"/>
    </row>
    <row r="248" spans="1:30" s="23" customFormat="1" x14ac:dyDescent="0.3">
      <c r="A248" s="47"/>
      <c r="B248" s="40" t="s">
        <v>166</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53797</v>
      </c>
      <c r="AA248" s="40"/>
      <c r="AB248" s="40"/>
      <c r="AC248" s="43"/>
      <c r="AD248" s="22"/>
    </row>
    <row r="249" spans="1:30" s="23" customFormat="1" x14ac:dyDescent="0.3">
      <c r="A249" s="47"/>
      <c r="B249" s="40" t="s">
        <v>194</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53797</v>
      </c>
      <c r="AA249" s="40"/>
      <c r="AB249" s="40"/>
      <c r="AC249" s="43"/>
      <c r="AD249" s="22"/>
    </row>
    <row r="250" spans="1:30" s="23" customFormat="1" x14ac:dyDescent="0.3">
      <c r="A250" s="47"/>
      <c r="B250" s="40" t="s">
        <v>195</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53797</v>
      </c>
      <c r="AA250" s="40"/>
      <c r="AB250" s="40"/>
      <c r="AC250" s="43"/>
      <c r="AD250" s="22"/>
    </row>
    <row r="251" spans="1:30" s="23" customFormat="1" x14ac:dyDescent="0.3">
      <c r="A251" s="47"/>
      <c r="B251" s="40" t="s">
        <v>47</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71">
        <v>21.18</v>
      </c>
      <c r="AA251" s="40" t="s">
        <v>76</v>
      </c>
      <c r="AB251" s="40"/>
      <c r="AC251" s="43"/>
      <c r="AD251" s="22"/>
    </row>
    <row r="252" spans="1:30" s="23" customFormat="1" x14ac:dyDescent="0.3">
      <c r="A252" s="47"/>
      <c r="B252" s="40" t="s">
        <v>48</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71">
        <v>19.850000000000001</v>
      </c>
      <c r="AA252" s="40" t="s">
        <v>76</v>
      </c>
      <c r="AB252" s="40"/>
      <c r="AC252" s="43"/>
      <c r="AD252" s="22"/>
    </row>
    <row r="253" spans="1:30" s="23" customFormat="1" x14ac:dyDescent="0.3">
      <c r="A253" s="47"/>
      <c r="B253" s="40" t="s">
        <v>49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67">
        <f>(+T57+V57+Z57)/(R57+R63+R64)</f>
        <v>1.024651387659096E-2</v>
      </c>
      <c r="AA253" s="40"/>
      <c r="AB253" s="40"/>
      <c r="AC253" s="43"/>
      <c r="AD253" s="22"/>
    </row>
    <row r="254" spans="1:30" s="23" customFormat="1" x14ac:dyDescent="0.3">
      <c r="A254" s="47"/>
      <c r="B254" s="40" t="s">
        <v>50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67">
        <v>2.8799999999999999E-2</v>
      </c>
      <c r="AA254" s="40"/>
      <c r="AB254" s="40"/>
      <c r="AC254" s="43"/>
      <c r="AD254" s="22"/>
    </row>
    <row r="255" spans="1:30" x14ac:dyDescent="0.3">
      <c r="A255" s="145"/>
      <c r="B255" s="151"/>
      <c r="C255" s="151"/>
      <c r="D255" s="99"/>
      <c r="E255" s="99"/>
      <c r="F255" s="99"/>
      <c r="G255" s="99"/>
      <c r="H255" s="99"/>
      <c r="I255" s="99"/>
      <c r="J255" s="99"/>
      <c r="K255" s="99"/>
      <c r="L255" s="99"/>
      <c r="M255" s="99"/>
      <c r="N255" s="99"/>
      <c r="O255" s="99"/>
      <c r="P255" s="99"/>
      <c r="Q255" s="99"/>
      <c r="R255" s="99"/>
      <c r="S255" s="99"/>
      <c r="T255" s="99"/>
      <c r="U255" s="99"/>
      <c r="V255" s="99"/>
      <c r="W255" s="99"/>
      <c r="X255" s="99"/>
      <c r="Y255" s="99"/>
      <c r="Z255" s="126"/>
      <c r="AA255" s="99"/>
      <c r="AB255" s="152"/>
      <c r="AC255" s="10"/>
      <c r="AD255" s="5"/>
    </row>
    <row r="256" spans="1:30" x14ac:dyDescent="0.3">
      <c r="A256" s="153"/>
      <c r="B256" s="102" t="s">
        <v>51</v>
      </c>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t="s">
        <v>69</v>
      </c>
      <c r="Z256" s="154" t="s">
        <v>74</v>
      </c>
      <c r="AA256" s="34"/>
      <c r="AB256" s="34"/>
      <c r="AC256" s="36"/>
      <c r="AD256" s="5"/>
    </row>
    <row r="257" spans="1:30" s="23" customFormat="1" x14ac:dyDescent="0.3">
      <c r="A257" s="155"/>
      <c r="B257" s="37" t="s">
        <v>52</v>
      </c>
      <c r="C257" s="10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v>0</v>
      </c>
      <c r="Z257" s="157">
        <v>0</v>
      </c>
      <c r="AA257" s="37"/>
      <c r="AB257" s="158"/>
      <c r="AC257" s="159"/>
      <c r="AD257" s="22"/>
    </row>
    <row r="258" spans="1:30" s="23" customFormat="1" x14ac:dyDescent="0.3">
      <c r="A258" s="160"/>
      <c r="B258" s="40" t="s">
        <v>97</v>
      </c>
      <c r="C258" s="97"/>
      <c r="D258" s="48"/>
      <c r="E258" s="48"/>
      <c r="F258" s="48"/>
      <c r="G258" s="48"/>
      <c r="H258" s="48"/>
      <c r="I258" s="48"/>
      <c r="J258" s="48"/>
      <c r="K258" s="48"/>
      <c r="L258" s="48"/>
      <c r="M258" s="48"/>
      <c r="N258" s="48"/>
      <c r="O258" s="48"/>
      <c r="P258" s="48"/>
      <c r="Q258" s="48"/>
      <c r="R258" s="48"/>
      <c r="S258" s="48"/>
      <c r="T258" s="48"/>
      <c r="U258" s="48"/>
      <c r="V258" s="48"/>
      <c r="W258" s="48"/>
      <c r="X258" s="48"/>
      <c r="Y258" s="161">
        <f>+X310</f>
        <v>0</v>
      </c>
      <c r="Z258" s="162">
        <f>+Z310</f>
        <v>0</v>
      </c>
      <c r="AA258" s="40"/>
      <c r="AB258" s="163"/>
      <c r="AC258" s="164"/>
      <c r="AD258" s="22"/>
    </row>
    <row r="259" spans="1:30" s="23" customFormat="1" x14ac:dyDescent="0.3">
      <c r="A259" s="160"/>
      <c r="B259" s="40" t="s">
        <v>53</v>
      </c>
      <c r="C259" s="97"/>
      <c r="D259" s="48"/>
      <c r="E259" s="48"/>
      <c r="F259" s="48"/>
      <c r="G259" s="48"/>
      <c r="H259" s="48"/>
      <c r="I259" s="48"/>
      <c r="J259" s="48"/>
      <c r="K259" s="48"/>
      <c r="L259" s="48"/>
      <c r="M259" s="48"/>
      <c r="N259" s="48"/>
      <c r="O259" s="48"/>
      <c r="P259" s="48"/>
      <c r="Q259" s="48"/>
      <c r="R259" s="48"/>
      <c r="S259" s="48"/>
      <c r="T259" s="48"/>
      <c r="U259" s="48"/>
      <c r="V259" s="48"/>
      <c r="W259" s="48"/>
      <c r="X259" s="48"/>
      <c r="Y259" s="161">
        <f>+X332</f>
        <v>0</v>
      </c>
      <c r="Z259" s="162">
        <f>+Z332</f>
        <v>0</v>
      </c>
      <c r="AA259" s="40"/>
      <c r="AB259" s="163"/>
      <c r="AC259" s="164"/>
      <c r="AD259" s="22"/>
    </row>
    <row r="260" spans="1:30" x14ac:dyDescent="0.3">
      <c r="A260" s="165"/>
      <c r="B260" s="166" t="s">
        <v>167</v>
      </c>
      <c r="C260" s="167"/>
      <c r="D260" s="59"/>
      <c r="E260" s="59"/>
      <c r="F260" s="59"/>
      <c r="G260" s="59"/>
      <c r="H260" s="59"/>
      <c r="I260" s="59"/>
      <c r="J260" s="59"/>
      <c r="K260" s="59"/>
      <c r="L260" s="59"/>
      <c r="M260" s="59"/>
      <c r="N260" s="59"/>
      <c r="O260" s="59"/>
      <c r="P260" s="59"/>
      <c r="Q260" s="59"/>
      <c r="R260" s="59"/>
      <c r="S260" s="59"/>
      <c r="T260" s="59"/>
      <c r="U260" s="59"/>
      <c r="V260" s="59"/>
      <c r="W260" s="59"/>
      <c r="X260" s="59"/>
      <c r="Y260" s="112"/>
      <c r="Z260" s="162">
        <f>Z57</f>
        <v>0</v>
      </c>
      <c r="AA260" s="59"/>
      <c r="AB260" s="168"/>
      <c r="AC260" s="169"/>
      <c r="AD260" s="5"/>
    </row>
    <row r="261" spans="1:30" x14ac:dyDescent="0.3">
      <c r="A261" s="165"/>
      <c r="B261" s="166" t="s">
        <v>261</v>
      </c>
      <c r="C261" s="167"/>
      <c r="D261" s="59"/>
      <c r="E261" s="59"/>
      <c r="F261" s="59"/>
      <c r="G261" s="59"/>
      <c r="H261" s="59"/>
      <c r="I261" s="59"/>
      <c r="J261" s="59"/>
      <c r="K261" s="59"/>
      <c r="L261" s="59"/>
      <c r="M261" s="59"/>
      <c r="N261" s="59"/>
      <c r="O261" s="59"/>
      <c r="P261" s="59"/>
      <c r="Q261" s="59"/>
      <c r="R261" s="59"/>
      <c r="S261" s="59"/>
      <c r="T261" s="59"/>
      <c r="U261" s="59"/>
      <c r="V261" s="59"/>
      <c r="W261" s="59"/>
      <c r="X261" s="59"/>
      <c r="Y261" s="112"/>
      <c r="Z261" s="162">
        <f>-T63</f>
        <v>0</v>
      </c>
      <c r="AA261" s="59"/>
      <c r="AB261" s="168"/>
      <c r="AC261" s="169"/>
      <c r="AD261" s="5"/>
    </row>
    <row r="262" spans="1:30" x14ac:dyDescent="0.3">
      <c r="A262" s="170"/>
      <c r="B262" s="166" t="s">
        <v>54</v>
      </c>
      <c r="C262" s="171"/>
      <c r="D262" s="59"/>
      <c r="E262" s="59"/>
      <c r="F262" s="59"/>
      <c r="G262" s="59"/>
      <c r="H262" s="59"/>
      <c r="I262" s="59"/>
      <c r="J262" s="59"/>
      <c r="K262" s="59"/>
      <c r="L262" s="59"/>
      <c r="M262" s="59"/>
      <c r="N262" s="59"/>
      <c r="O262" s="59"/>
      <c r="P262" s="59"/>
      <c r="Q262" s="59"/>
      <c r="R262" s="59"/>
      <c r="S262" s="59"/>
      <c r="T262" s="59"/>
      <c r="U262" s="59"/>
      <c r="V262" s="59"/>
      <c r="W262" s="59"/>
      <c r="X262" s="59"/>
      <c r="Y262" s="112"/>
      <c r="Z262" s="172"/>
      <c r="AA262" s="59"/>
      <c r="AB262" s="168"/>
      <c r="AC262" s="173"/>
      <c r="AD262" s="5"/>
    </row>
    <row r="263" spans="1:30" s="23" customFormat="1" x14ac:dyDescent="0.3">
      <c r="A263" s="174"/>
      <c r="B263" s="40" t="s">
        <v>55</v>
      </c>
      <c r="C263" s="40"/>
      <c r="D263" s="40"/>
      <c r="E263" s="40"/>
      <c r="F263" s="40"/>
      <c r="G263" s="40"/>
      <c r="H263" s="40"/>
      <c r="I263" s="40"/>
      <c r="J263" s="40"/>
      <c r="K263" s="40"/>
      <c r="L263" s="40"/>
      <c r="M263" s="40"/>
      <c r="N263" s="40"/>
      <c r="O263" s="40"/>
      <c r="P263" s="40"/>
      <c r="Q263" s="40"/>
      <c r="R263" s="40"/>
      <c r="S263" s="40"/>
      <c r="T263" s="40"/>
      <c r="U263" s="40"/>
      <c r="V263" s="40"/>
      <c r="W263" s="40"/>
      <c r="X263" s="40"/>
      <c r="Y263" s="48"/>
      <c r="Z263" s="162">
        <f>AB166</f>
        <v>0</v>
      </c>
      <c r="AA263" s="40"/>
      <c r="AB263" s="163"/>
      <c r="AC263" s="175"/>
      <c r="AD263" s="22"/>
    </row>
    <row r="264" spans="1:30" s="23" customFormat="1" x14ac:dyDescent="0.3">
      <c r="A264" s="160"/>
      <c r="B264" s="40" t="s">
        <v>56</v>
      </c>
      <c r="C264" s="97"/>
      <c r="D264" s="40"/>
      <c r="E264" s="40"/>
      <c r="F264" s="40"/>
      <c r="G264" s="40"/>
      <c r="H264" s="40"/>
      <c r="I264" s="40"/>
      <c r="J264" s="40"/>
      <c r="K264" s="40"/>
      <c r="L264" s="40"/>
      <c r="M264" s="40"/>
      <c r="N264" s="40"/>
      <c r="O264" s="40"/>
      <c r="P264" s="40"/>
      <c r="Q264" s="40"/>
      <c r="R264" s="40"/>
      <c r="S264" s="40"/>
      <c r="T264" s="40"/>
      <c r="U264" s="40"/>
      <c r="V264" s="40"/>
      <c r="W264" s="40"/>
      <c r="X264" s="40"/>
      <c r="Y264" s="48"/>
      <c r="Z264" s="162">
        <f>Z263+'June 2021'!Z264</f>
        <v>0</v>
      </c>
      <c r="AA264" s="40"/>
      <c r="AB264" s="163"/>
      <c r="AC264" s="175"/>
      <c r="AD264" s="22"/>
    </row>
    <row r="265" spans="1:30" x14ac:dyDescent="0.3">
      <c r="A265" s="170"/>
      <c r="B265" s="166" t="s">
        <v>125</v>
      </c>
      <c r="C265" s="171"/>
      <c r="D265" s="59"/>
      <c r="E265" s="59"/>
      <c r="F265" s="59"/>
      <c r="G265" s="59"/>
      <c r="H265" s="59"/>
      <c r="I265" s="59"/>
      <c r="J265" s="59"/>
      <c r="K265" s="59"/>
      <c r="L265" s="59"/>
      <c r="M265" s="59"/>
      <c r="N265" s="59"/>
      <c r="O265" s="59"/>
      <c r="P265" s="59"/>
      <c r="Q265" s="59"/>
      <c r="R265" s="59"/>
      <c r="S265" s="59"/>
      <c r="T265" s="59"/>
      <c r="U265" s="59"/>
      <c r="V265" s="59"/>
      <c r="W265" s="59"/>
      <c r="X265" s="59"/>
      <c r="Y265" s="176"/>
      <c r="Z265" s="172"/>
      <c r="AA265" s="59"/>
      <c r="AB265" s="168"/>
      <c r="AC265" s="173"/>
      <c r="AD265" s="5"/>
    </row>
    <row r="266" spans="1:30" s="23" customFormat="1" x14ac:dyDescent="0.3">
      <c r="A266" s="174"/>
      <c r="B266" s="40" t="s">
        <v>134</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v>0</v>
      </c>
      <c r="Z266" s="162">
        <v>0</v>
      </c>
      <c r="AA266" s="40"/>
      <c r="AB266" s="163"/>
      <c r="AC266" s="175"/>
      <c r="AD266" s="22"/>
    </row>
    <row r="267" spans="1:30" s="23" customFormat="1" x14ac:dyDescent="0.3">
      <c r="A267" s="160"/>
      <c r="B267" s="40" t="s">
        <v>57</v>
      </c>
      <c r="C267" s="70"/>
      <c r="D267" s="40"/>
      <c r="E267" s="40"/>
      <c r="F267" s="40"/>
      <c r="G267" s="40"/>
      <c r="H267" s="40"/>
      <c r="I267" s="40"/>
      <c r="J267" s="40"/>
      <c r="K267" s="40"/>
      <c r="L267" s="40"/>
      <c r="M267" s="40"/>
      <c r="N267" s="40"/>
      <c r="O267" s="40"/>
      <c r="P267" s="40"/>
      <c r="Q267" s="40"/>
      <c r="R267" s="40"/>
      <c r="S267" s="40"/>
      <c r="T267" s="40"/>
      <c r="U267" s="40"/>
      <c r="V267" s="40"/>
      <c r="W267" s="40"/>
      <c r="X267" s="40"/>
      <c r="Y267" s="40"/>
      <c r="Z267" s="177">
        <v>0</v>
      </c>
      <c r="AA267" s="40"/>
      <c r="AB267" s="163"/>
      <c r="AC267" s="175"/>
      <c r="AD267" s="22"/>
    </row>
    <row r="268" spans="1:30" s="23" customFormat="1" x14ac:dyDescent="0.3">
      <c r="A268" s="160"/>
      <c r="B268" s="40" t="s">
        <v>58</v>
      </c>
      <c r="C268" s="70"/>
      <c r="D268" s="40"/>
      <c r="E268" s="40"/>
      <c r="F268" s="40"/>
      <c r="G268" s="40"/>
      <c r="H268" s="40"/>
      <c r="I268" s="40"/>
      <c r="J268" s="40"/>
      <c r="K268" s="40"/>
      <c r="L268" s="40"/>
      <c r="M268" s="40"/>
      <c r="N268" s="40"/>
      <c r="O268" s="40"/>
      <c r="P268" s="40"/>
      <c r="Q268" s="40"/>
      <c r="R268" s="40"/>
      <c r="S268" s="40"/>
      <c r="T268" s="40"/>
      <c r="U268" s="40"/>
      <c r="V268" s="40"/>
      <c r="W268" s="40"/>
      <c r="X268" s="40"/>
      <c r="Y268" s="40"/>
      <c r="Z268" s="177">
        <v>0</v>
      </c>
      <c r="AA268" s="40"/>
      <c r="AB268" s="163"/>
      <c r="AC268" s="175"/>
      <c r="AD268" s="22"/>
    </row>
    <row r="269" spans="1:30" x14ac:dyDescent="0.3">
      <c r="A269" s="165"/>
      <c r="B269" s="166" t="s">
        <v>116</v>
      </c>
      <c r="C269" s="178"/>
      <c r="D269" s="59"/>
      <c r="E269" s="59"/>
      <c r="F269" s="59"/>
      <c r="G269" s="59"/>
      <c r="H269" s="59"/>
      <c r="I269" s="59"/>
      <c r="J269" s="59"/>
      <c r="K269" s="59"/>
      <c r="L269" s="59"/>
      <c r="M269" s="59"/>
      <c r="N269" s="59"/>
      <c r="O269" s="59"/>
      <c r="P269" s="59"/>
      <c r="Q269" s="59"/>
      <c r="R269" s="59"/>
      <c r="S269" s="59"/>
      <c r="T269" s="59"/>
      <c r="U269" s="59"/>
      <c r="V269" s="59"/>
      <c r="W269" s="59"/>
      <c r="X269" s="59"/>
      <c r="Y269" s="112"/>
      <c r="Z269" s="179"/>
      <c r="AA269" s="59"/>
      <c r="AB269" s="168"/>
      <c r="AC269" s="173"/>
      <c r="AD269" s="5"/>
    </row>
    <row r="270" spans="1:30" s="23" customFormat="1" x14ac:dyDescent="0.3">
      <c r="A270" s="160"/>
      <c r="B270" s="40" t="s">
        <v>134</v>
      </c>
      <c r="C270" s="7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0" s="23" customFormat="1" x14ac:dyDescent="0.3">
      <c r="A271" s="160"/>
      <c r="B271" s="40" t="s">
        <v>117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71"/>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x14ac:dyDescent="0.3">
      <c r="A273" s="165"/>
      <c r="B273" s="171"/>
      <c r="C273" s="178"/>
      <c r="D273" s="59"/>
      <c r="E273" s="59"/>
      <c r="F273" s="59"/>
      <c r="G273" s="59"/>
      <c r="H273" s="59"/>
      <c r="I273" s="59"/>
      <c r="J273" s="59"/>
      <c r="K273" s="59"/>
      <c r="L273" s="59"/>
      <c r="M273" s="59"/>
      <c r="N273" s="59"/>
      <c r="O273" s="59"/>
      <c r="P273" s="59"/>
      <c r="Q273" s="59"/>
      <c r="R273" s="59"/>
      <c r="S273" s="59"/>
      <c r="T273" s="59"/>
      <c r="U273" s="59"/>
      <c r="V273" s="59"/>
      <c r="W273" s="59"/>
      <c r="X273" s="59"/>
      <c r="Y273" s="59"/>
      <c r="Z273" s="180"/>
      <c r="AA273" s="59"/>
      <c r="AB273" s="168"/>
      <c r="AC273" s="173"/>
      <c r="AD273" s="5"/>
    </row>
    <row r="274" spans="1:30" ht="18" x14ac:dyDescent="0.35">
      <c r="A274" s="165"/>
      <c r="B274" s="181" t="s">
        <v>109</v>
      </c>
      <c r="C274" s="178"/>
      <c r="D274" s="59"/>
      <c r="E274" s="59"/>
      <c r="F274" s="59"/>
      <c r="G274" s="59"/>
      <c r="H274" s="59"/>
      <c r="I274" s="59"/>
      <c r="J274" s="59"/>
      <c r="K274" s="59"/>
      <c r="L274" s="182"/>
      <c r="M274" s="182"/>
      <c r="N274" s="182"/>
      <c r="O274" s="182"/>
      <c r="P274" s="261" t="s">
        <v>168</v>
      </c>
      <c r="Q274" s="182"/>
      <c r="R274" s="182"/>
      <c r="S274" s="182"/>
      <c r="T274" s="182"/>
      <c r="U274" s="182"/>
      <c r="V274" s="182"/>
      <c r="W274" s="59"/>
      <c r="X274" s="183"/>
      <c r="Y274" s="182"/>
      <c r="Z274" s="180"/>
      <c r="AA274" s="59"/>
      <c r="AB274" s="168"/>
      <c r="AC274" s="173"/>
      <c r="AD274" s="5"/>
    </row>
    <row r="275" spans="1:30" ht="18" x14ac:dyDescent="0.35">
      <c r="A275" s="184"/>
      <c r="B275" s="185"/>
      <c r="C275" s="186"/>
      <c r="D275" s="99"/>
      <c r="E275" s="99"/>
      <c r="F275" s="99"/>
      <c r="G275" s="99"/>
      <c r="H275" s="99"/>
      <c r="I275" s="99"/>
      <c r="J275" s="99"/>
      <c r="K275" s="99"/>
      <c r="L275" s="187"/>
      <c r="M275" s="187"/>
      <c r="N275" s="187"/>
      <c r="O275" s="187"/>
      <c r="P275" s="187"/>
      <c r="Q275" s="187"/>
      <c r="R275" s="187"/>
      <c r="S275" s="187"/>
      <c r="T275" s="187"/>
      <c r="U275" s="187"/>
      <c r="V275" s="187"/>
      <c r="W275" s="99"/>
      <c r="X275" s="99"/>
      <c r="Y275" s="99"/>
      <c r="Z275" s="188"/>
      <c r="AA275" s="99"/>
      <c r="AB275" s="152"/>
      <c r="AC275" s="189"/>
      <c r="AD275" s="5"/>
    </row>
    <row r="276" spans="1:30" x14ac:dyDescent="0.3">
      <c r="A276" s="33"/>
      <c r="B276" s="102" t="s">
        <v>126</v>
      </c>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54" t="s">
        <v>69</v>
      </c>
      <c r="Y276" s="103" t="s">
        <v>70</v>
      </c>
      <c r="Z276" s="154" t="s">
        <v>75</v>
      </c>
      <c r="AA276" s="103" t="s">
        <v>70</v>
      </c>
      <c r="AB276" s="34"/>
      <c r="AC276" s="190"/>
      <c r="AD276" s="5"/>
    </row>
    <row r="277" spans="1:30" s="23" customFormat="1" x14ac:dyDescent="0.3">
      <c r="A277" s="18"/>
      <c r="B277" s="106" t="s">
        <v>59</v>
      </c>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06">
        <f t="shared" ref="X277:X284" si="0">+X289+X301+X323</f>
        <v>3936</v>
      </c>
      <c r="Y277" s="192">
        <f>X277/$X$286</f>
        <v>0.99974599949199894</v>
      </c>
      <c r="Z277" s="107">
        <f t="shared" ref="Z277:Z284" si="1">+Z289+Z301+Z323</f>
        <v>728219</v>
      </c>
      <c r="AA277" s="192">
        <f>Z277/$Z$286</f>
        <v>0.99978856986736186</v>
      </c>
      <c r="AB277" s="158"/>
      <c r="AC277" s="193"/>
      <c r="AD277" s="22"/>
    </row>
    <row r="278" spans="1:30" s="23" customFormat="1" x14ac:dyDescent="0.3">
      <c r="A278" s="47"/>
      <c r="B278" s="97" t="s">
        <v>60</v>
      </c>
      <c r="C278" s="194"/>
      <c r="D278" s="194"/>
      <c r="E278" s="194"/>
      <c r="F278" s="194"/>
      <c r="G278" s="194"/>
      <c r="H278" s="194"/>
      <c r="I278" s="194"/>
      <c r="J278" s="194"/>
      <c r="K278" s="194"/>
      <c r="L278" s="194"/>
      <c r="M278" s="194"/>
      <c r="N278" s="194"/>
      <c r="O278" s="194"/>
      <c r="P278" s="194"/>
      <c r="Q278" s="194"/>
      <c r="R278" s="194"/>
      <c r="S278" s="194"/>
      <c r="T278" s="194"/>
      <c r="U278" s="194"/>
      <c r="V278" s="194"/>
      <c r="W278" s="194"/>
      <c r="X278" s="195">
        <f t="shared" si="0"/>
        <v>0</v>
      </c>
      <c r="Y278" s="196">
        <f t="shared" ref="Y278:Y284" si="2">X278/$X$286</f>
        <v>0</v>
      </c>
      <c r="Z278" s="197">
        <f t="shared" si="1"/>
        <v>0</v>
      </c>
      <c r="AA278" s="198">
        <f>Z278/$Z$286</f>
        <v>0</v>
      </c>
      <c r="AB278" s="163"/>
      <c r="AC278" s="175"/>
      <c r="AD278" s="22"/>
    </row>
    <row r="279" spans="1:30" s="23" customFormat="1" x14ac:dyDescent="0.3">
      <c r="A279" s="47"/>
      <c r="B279" s="97" t="s">
        <v>61</v>
      </c>
      <c r="C279" s="194"/>
      <c r="D279" s="194"/>
      <c r="E279" s="194"/>
      <c r="F279" s="194"/>
      <c r="G279" s="194"/>
      <c r="H279" s="194"/>
      <c r="I279" s="194"/>
      <c r="J279" s="194"/>
      <c r="K279" s="194"/>
      <c r="L279" s="194"/>
      <c r="M279" s="194"/>
      <c r="N279" s="194"/>
      <c r="O279" s="194"/>
      <c r="P279" s="194"/>
      <c r="Q279" s="194"/>
      <c r="R279" s="194"/>
      <c r="S279" s="194"/>
      <c r="T279" s="194"/>
      <c r="U279" s="194"/>
      <c r="V279" s="194"/>
      <c r="W279" s="194"/>
      <c r="X279" s="199">
        <f t="shared" si="0"/>
        <v>0</v>
      </c>
      <c r="Y279" s="200">
        <f t="shared" si="2"/>
        <v>0</v>
      </c>
      <c r="Z279" s="131">
        <f t="shared" si="1"/>
        <v>0</v>
      </c>
      <c r="AA279" s="198">
        <f t="shared" ref="AA279:AA284" si="3">Z279/$Z$286</f>
        <v>0</v>
      </c>
      <c r="AB279" s="163"/>
      <c r="AC279" s="175"/>
      <c r="AD279" s="22"/>
    </row>
    <row r="280" spans="1:30" s="23" customFormat="1" x14ac:dyDescent="0.3">
      <c r="A280" s="47"/>
      <c r="B280" s="97" t="s">
        <v>100</v>
      </c>
      <c r="C280" s="194"/>
      <c r="D280" s="194"/>
      <c r="E280" s="194"/>
      <c r="F280" s="194"/>
      <c r="G280" s="194"/>
      <c r="H280" s="194"/>
      <c r="I280" s="194"/>
      <c r="J280" s="194"/>
      <c r="K280" s="194"/>
      <c r="L280" s="194"/>
      <c r="M280" s="194"/>
      <c r="N280" s="194"/>
      <c r="O280" s="194"/>
      <c r="P280" s="194"/>
      <c r="Q280" s="194"/>
      <c r="R280" s="194"/>
      <c r="S280" s="194"/>
      <c r="T280" s="194"/>
      <c r="U280" s="194"/>
      <c r="V280" s="194"/>
      <c r="W280" s="194"/>
      <c r="X280" s="199">
        <f t="shared" si="0"/>
        <v>1</v>
      </c>
      <c r="Y280" s="200">
        <f t="shared" si="2"/>
        <v>2.5400050800101598E-4</v>
      </c>
      <c r="Z280" s="131">
        <f t="shared" si="1"/>
        <v>154</v>
      </c>
      <c r="AA280" s="198">
        <f t="shared" si="3"/>
        <v>2.1143013263808517E-4</v>
      </c>
      <c r="AB280" s="163"/>
      <c r="AC280" s="175"/>
      <c r="AD280" s="22"/>
    </row>
    <row r="281" spans="1:30" s="23" customFormat="1" x14ac:dyDescent="0.3">
      <c r="A281" s="47"/>
      <c r="B281" s="97" t="s">
        <v>101</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9">
        <f t="shared" si="0"/>
        <v>0</v>
      </c>
      <c r="Y281" s="200">
        <f t="shared" si="2"/>
        <v>0</v>
      </c>
      <c r="Z281" s="131">
        <f t="shared" si="1"/>
        <v>0</v>
      </c>
      <c r="AA281" s="198">
        <f t="shared" si="3"/>
        <v>0</v>
      </c>
      <c r="AB281" s="163"/>
      <c r="AC281" s="175"/>
      <c r="AD281" s="22"/>
    </row>
    <row r="282" spans="1:30" s="23" customFormat="1" x14ac:dyDescent="0.3">
      <c r="A282" s="47"/>
      <c r="B282" s="97" t="s">
        <v>102</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0"/>
        <v>0</v>
      </c>
      <c r="Y282" s="200">
        <f t="shared" si="2"/>
        <v>0</v>
      </c>
      <c r="Z282" s="131">
        <f t="shared" si="1"/>
        <v>0</v>
      </c>
      <c r="AA282" s="198">
        <f t="shared" si="3"/>
        <v>0</v>
      </c>
      <c r="AB282" s="163"/>
      <c r="AC282" s="175"/>
      <c r="AD282" s="22"/>
    </row>
    <row r="283" spans="1:30" s="23" customFormat="1" x14ac:dyDescent="0.3">
      <c r="A283" s="47"/>
      <c r="B283" s="97" t="s">
        <v>103</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201">
        <f t="shared" si="0"/>
        <v>0</v>
      </c>
      <c r="Y283" s="202">
        <f t="shared" si="2"/>
        <v>0</v>
      </c>
      <c r="Z283" s="203">
        <f t="shared" si="1"/>
        <v>0</v>
      </c>
      <c r="AA283" s="198">
        <f t="shared" si="3"/>
        <v>0</v>
      </c>
      <c r="AB283" s="163"/>
      <c r="AC283" s="175"/>
      <c r="AD283" s="22"/>
    </row>
    <row r="284" spans="1:30" s="23" customFormat="1" x14ac:dyDescent="0.3">
      <c r="A284" s="47"/>
      <c r="B284" s="97" t="s">
        <v>104</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06">
        <f t="shared" si="0"/>
        <v>0</v>
      </c>
      <c r="Y284" s="198">
        <f t="shared" si="2"/>
        <v>0</v>
      </c>
      <c r="Z284" s="107">
        <f t="shared" si="1"/>
        <v>0</v>
      </c>
      <c r="AA284" s="198">
        <f t="shared" si="3"/>
        <v>0</v>
      </c>
      <c r="AB284" s="163"/>
      <c r="AC284" s="175"/>
      <c r="AD284" s="22"/>
    </row>
    <row r="285" spans="1:30" s="23" customFormat="1" x14ac:dyDescent="0.3">
      <c r="A285" s="47"/>
      <c r="B285" s="97"/>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97"/>
      <c r="Y285" s="198"/>
      <c r="Z285" s="98"/>
      <c r="AA285" s="198"/>
      <c r="AB285" s="163"/>
      <c r="AC285" s="175"/>
      <c r="AD285" s="22"/>
    </row>
    <row r="286" spans="1:30" s="23" customFormat="1" x14ac:dyDescent="0.3">
      <c r="A286" s="47"/>
      <c r="B286" s="40" t="s">
        <v>80</v>
      </c>
      <c r="C286" s="40"/>
      <c r="D286" s="204"/>
      <c r="E286" s="204"/>
      <c r="F286" s="204"/>
      <c r="G286" s="204"/>
      <c r="H286" s="204"/>
      <c r="I286" s="204"/>
      <c r="J286" s="204"/>
      <c r="K286" s="204"/>
      <c r="L286" s="204"/>
      <c r="M286" s="204"/>
      <c r="N286" s="204"/>
      <c r="O286" s="204"/>
      <c r="P286" s="204"/>
      <c r="Q286" s="204"/>
      <c r="R286" s="204"/>
      <c r="S286" s="204"/>
      <c r="T286" s="204"/>
      <c r="U286" s="204"/>
      <c r="V286" s="204"/>
      <c r="W286" s="204"/>
      <c r="X286" s="97">
        <f>SUM(X277:X285)</f>
        <v>3937</v>
      </c>
      <c r="Y286" s="198">
        <f>SUM(Y277:Y285)</f>
        <v>1</v>
      </c>
      <c r="Z286" s="98">
        <f>SUM(Z277:Z285)</f>
        <v>728373</v>
      </c>
      <c r="AA286" s="198">
        <f>SUM(AA277:AA285)</f>
        <v>1</v>
      </c>
      <c r="AB286" s="40"/>
      <c r="AC286" s="43"/>
      <c r="AD286" s="22"/>
    </row>
    <row r="287" spans="1:30" x14ac:dyDescent="0.3">
      <c r="A287" s="7"/>
      <c r="B287" s="151"/>
      <c r="C287" s="186"/>
      <c r="D287" s="99"/>
      <c r="E287" s="99"/>
      <c r="F287" s="99"/>
      <c r="G287" s="99"/>
      <c r="H287" s="99"/>
      <c r="I287" s="99"/>
      <c r="J287" s="99"/>
      <c r="K287" s="99"/>
      <c r="L287" s="99"/>
      <c r="M287" s="99"/>
      <c r="N287" s="99"/>
      <c r="O287" s="99"/>
      <c r="P287" s="99"/>
      <c r="Q287" s="99"/>
      <c r="R287" s="99"/>
      <c r="S287" s="99"/>
      <c r="T287" s="99"/>
      <c r="U287" s="99"/>
      <c r="V287" s="99"/>
      <c r="W287" s="99"/>
      <c r="X287" s="99"/>
      <c r="Y287" s="99"/>
      <c r="Z287" s="188"/>
      <c r="AA287" s="99"/>
      <c r="AB287" s="99"/>
      <c r="AC287" s="10"/>
      <c r="AD287" s="5"/>
    </row>
    <row r="288" spans="1:30" x14ac:dyDescent="0.3">
      <c r="A288" s="33"/>
      <c r="B288" s="102" t="s">
        <v>105</v>
      </c>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54" t="s">
        <v>69</v>
      </c>
      <c r="Y288" s="103" t="s">
        <v>70</v>
      </c>
      <c r="Z288" s="154" t="s">
        <v>75</v>
      </c>
      <c r="AA288" s="103" t="s">
        <v>70</v>
      </c>
      <c r="AB288" s="34"/>
      <c r="AC288" s="190"/>
      <c r="AD288" s="5"/>
    </row>
    <row r="289" spans="1:31" s="23" customFormat="1" x14ac:dyDescent="0.3">
      <c r="A289" s="18"/>
      <c r="B289" s="106" t="s">
        <v>59</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06">
        <v>3936</v>
      </c>
      <c r="Y289" s="192">
        <f>X289/$X$298</f>
        <v>0.99974599949199894</v>
      </c>
      <c r="Z289" s="107">
        <v>728219</v>
      </c>
      <c r="AA289" s="192">
        <f>Z289/$Z$298</f>
        <v>0.99978856986736186</v>
      </c>
      <c r="AB289" s="158"/>
      <c r="AC289" s="193"/>
      <c r="AD289" s="22"/>
    </row>
    <row r="290" spans="1:31" s="23" customFormat="1" x14ac:dyDescent="0.3">
      <c r="A290" s="47"/>
      <c r="B290" s="97" t="s">
        <v>60</v>
      </c>
      <c r="C290" s="194"/>
      <c r="D290" s="194"/>
      <c r="E290" s="194"/>
      <c r="F290" s="194"/>
      <c r="G290" s="194"/>
      <c r="H290" s="194"/>
      <c r="I290" s="194"/>
      <c r="J290" s="194"/>
      <c r="K290" s="194"/>
      <c r="L290" s="194"/>
      <c r="M290" s="194"/>
      <c r="N290" s="194"/>
      <c r="O290" s="194"/>
      <c r="P290" s="194"/>
      <c r="Q290" s="194"/>
      <c r="R290" s="194"/>
      <c r="S290" s="194"/>
      <c r="T290" s="194"/>
      <c r="U290" s="194"/>
      <c r="V290" s="194"/>
      <c r="W290" s="194"/>
      <c r="X290" s="97">
        <v>0</v>
      </c>
      <c r="Y290" s="198">
        <f t="shared" ref="Y290:Y296" si="4">X290/$X$298</f>
        <v>0</v>
      </c>
      <c r="Z290" s="98">
        <v>0</v>
      </c>
      <c r="AA290" s="198">
        <f t="shared" ref="AA290:AA296" si="5">Z290/$Z$298</f>
        <v>0</v>
      </c>
      <c r="AB290" s="163"/>
      <c r="AC290" s="175"/>
      <c r="AD290" s="22"/>
      <c r="AE290" s="115"/>
    </row>
    <row r="291" spans="1:31" s="23" customFormat="1" x14ac:dyDescent="0.3">
      <c r="A291" s="47"/>
      <c r="B291" s="97" t="s">
        <v>61</v>
      </c>
      <c r="C291" s="194"/>
      <c r="D291" s="194"/>
      <c r="E291" s="194"/>
      <c r="F291" s="194"/>
      <c r="G291" s="194"/>
      <c r="H291" s="194"/>
      <c r="I291" s="194"/>
      <c r="J291" s="194"/>
      <c r="K291" s="194"/>
      <c r="L291" s="194"/>
      <c r="M291" s="194"/>
      <c r="N291" s="194"/>
      <c r="O291" s="194"/>
      <c r="P291" s="194"/>
      <c r="Q291" s="194"/>
      <c r="R291" s="194"/>
      <c r="S291" s="194"/>
      <c r="T291" s="194"/>
      <c r="U291" s="194"/>
      <c r="V291" s="194"/>
      <c r="W291" s="194"/>
      <c r="X291" s="97">
        <v>0</v>
      </c>
      <c r="Y291" s="198">
        <f t="shared" si="4"/>
        <v>0</v>
      </c>
      <c r="Z291" s="98">
        <v>0</v>
      </c>
      <c r="AA291" s="198">
        <f t="shared" si="5"/>
        <v>0</v>
      </c>
      <c r="AB291" s="163"/>
      <c r="AC291" s="175"/>
      <c r="AD291" s="22"/>
    </row>
    <row r="292" spans="1:31" s="23" customFormat="1" x14ac:dyDescent="0.3">
      <c r="A292" s="47"/>
      <c r="B292" s="97" t="s">
        <v>100</v>
      </c>
      <c r="C292" s="194"/>
      <c r="D292" s="194"/>
      <c r="E292" s="194"/>
      <c r="F292" s="194"/>
      <c r="G292" s="194"/>
      <c r="H292" s="194"/>
      <c r="I292" s="194"/>
      <c r="J292" s="194"/>
      <c r="K292" s="194"/>
      <c r="L292" s="194"/>
      <c r="M292" s="194"/>
      <c r="N292" s="194"/>
      <c r="O292" s="194"/>
      <c r="P292" s="194"/>
      <c r="Q292" s="194"/>
      <c r="R292" s="194"/>
      <c r="S292" s="194"/>
      <c r="T292" s="194"/>
      <c r="U292" s="194"/>
      <c r="V292" s="194"/>
      <c r="W292" s="194"/>
      <c r="X292" s="97">
        <v>1</v>
      </c>
      <c r="Y292" s="198">
        <f t="shared" si="4"/>
        <v>2.5400050800101598E-4</v>
      </c>
      <c r="Z292" s="98">
        <v>154</v>
      </c>
      <c r="AA292" s="198">
        <f t="shared" si="5"/>
        <v>2.1143013263808517E-4</v>
      </c>
      <c r="AB292" s="163"/>
      <c r="AC292" s="175"/>
      <c r="AD292" s="22"/>
      <c r="AE292" s="115"/>
    </row>
    <row r="293" spans="1:31" s="23" customFormat="1" x14ac:dyDescent="0.3">
      <c r="A293" s="47"/>
      <c r="B293" s="97" t="s">
        <v>101</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0</v>
      </c>
      <c r="Y293" s="198">
        <f t="shared" si="4"/>
        <v>0</v>
      </c>
      <c r="Z293" s="98">
        <v>0</v>
      </c>
      <c r="AA293" s="198">
        <f t="shared" si="5"/>
        <v>0</v>
      </c>
      <c r="AB293" s="163"/>
      <c r="AC293" s="175"/>
      <c r="AD293" s="22"/>
    </row>
    <row r="294" spans="1:31" s="23" customFormat="1" x14ac:dyDescent="0.3">
      <c r="A294" s="47"/>
      <c r="B294" s="97" t="s">
        <v>102</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4"/>
        <v>0</v>
      </c>
      <c r="Z294" s="98">
        <v>0</v>
      </c>
      <c r="AA294" s="198">
        <f t="shared" si="5"/>
        <v>0</v>
      </c>
      <c r="AB294" s="163"/>
      <c r="AC294" s="175"/>
      <c r="AD294" s="22"/>
      <c r="AE294" s="115"/>
    </row>
    <row r="295" spans="1:31" s="23" customFormat="1" x14ac:dyDescent="0.3">
      <c r="A295" s="47"/>
      <c r="B295" s="97" t="s">
        <v>103</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0</v>
      </c>
      <c r="Y295" s="198">
        <f>X295/$X$298</f>
        <v>0</v>
      </c>
      <c r="Z295" s="98">
        <v>0</v>
      </c>
      <c r="AA295" s="198">
        <f t="shared" si="5"/>
        <v>0</v>
      </c>
      <c r="AB295" s="163"/>
      <c r="AC295" s="175"/>
      <c r="AD295" s="22"/>
    </row>
    <row r="296" spans="1:31" s="23" customFormat="1" x14ac:dyDescent="0.3">
      <c r="A296" s="47"/>
      <c r="B296" s="97" t="s">
        <v>104</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4"/>
        <v>0</v>
      </c>
      <c r="Z296" s="98">
        <v>0</v>
      </c>
      <c r="AA296" s="198">
        <f t="shared" si="5"/>
        <v>0</v>
      </c>
      <c r="AB296" s="163"/>
      <c r="AC296" s="175"/>
      <c r="AD296" s="22"/>
      <c r="AE296" s="115"/>
    </row>
    <row r="297" spans="1:31" s="23" customFormat="1" x14ac:dyDescent="0.3">
      <c r="A297" s="47"/>
      <c r="B297" s="97"/>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c r="Y297" s="198"/>
      <c r="Z297" s="98"/>
      <c r="AA297" s="198"/>
      <c r="AB297" s="163"/>
      <c r="AC297" s="175"/>
      <c r="AD297" s="22"/>
    </row>
    <row r="298" spans="1:31" s="23" customFormat="1" x14ac:dyDescent="0.3">
      <c r="A298" s="47"/>
      <c r="B298" s="40" t="s">
        <v>80</v>
      </c>
      <c r="C298" s="40"/>
      <c r="D298" s="204"/>
      <c r="E298" s="204"/>
      <c r="F298" s="204"/>
      <c r="G298" s="204"/>
      <c r="H298" s="204"/>
      <c r="I298" s="204"/>
      <c r="J298" s="204"/>
      <c r="K298" s="204"/>
      <c r="L298" s="204"/>
      <c r="M298" s="204"/>
      <c r="N298" s="204"/>
      <c r="O298" s="204"/>
      <c r="P298" s="204"/>
      <c r="Q298" s="204"/>
      <c r="R298" s="204"/>
      <c r="S298" s="204"/>
      <c r="T298" s="204"/>
      <c r="U298" s="204"/>
      <c r="V298" s="204"/>
      <c r="W298" s="204"/>
      <c r="X298" s="97">
        <f>SUM(X289:X297)</f>
        <v>3937</v>
      </c>
      <c r="Y298" s="198">
        <f>SUM(Y289:Y297)</f>
        <v>1</v>
      </c>
      <c r="Z298" s="98">
        <f>SUM(Z289:Z297)</f>
        <v>728373</v>
      </c>
      <c r="AA298" s="198">
        <f>SUM(AA289:AA297)</f>
        <v>1</v>
      </c>
      <c r="AB298" s="40"/>
      <c r="AC298" s="43"/>
      <c r="AD298" s="22"/>
    </row>
    <row r="299" spans="1:31" x14ac:dyDescent="0.3">
      <c r="A299" s="7"/>
      <c r="B299" s="99"/>
      <c r="C299" s="99"/>
      <c r="D299" s="205"/>
      <c r="E299" s="205"/>
      <c r="F299" s="205"/>
      <c r="G299" s="205"/>
      <c r="H299" s="205"/>
      <c r="I299" s="205"/>
      <c r="J299" s="205"/>
      <c r="K299" s="205"/>
      <c r="L299" s="205"/>
      <c r="M299" s="205"/>
      <c r="N299" s="205"/>
      <c r="O299" s="205"/>
      <c r="P299" s="205"/>
      <c r="Q299" s="205"/>
      <c r="R299" s="205"/>
      <c r="S299" s="205"/>
      <c r="T299" s="205"/>
      <c r="U299" s="205"/>
      <c r="V299" s="205"/>
      <c r="W299" s="205"/>
      <c r="X299" s="100"/>
      <c r="Y299" s="206"/>
      <c r="Z299" s="207"/>
      <c r="AA299" s="206"/>
      <c r="AB299" s="99"/>
      <c r="AC299" s="10"/>
      <c r="AD299" s="5"/>
    </row>
    <row r="300" spans="1:31" x14ac:dyDescent="0.3">
      <c r="A300" s="33"/>
      <c r="B300" s="102" t="s">
        <v>121</v>
      </c>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54" t="s">
        <v>69</v>
      </c>
      <c r="Y300" s="103" t="s">
        <v>70</v>
      </c>
      <c r="Z300" s="154" t="s">
        <v>75</v>
      </c>
      <c r="AA300" s="103" t="s">
        <v>70</v>
      </c>
      <c r="AB300" s="34"/>
      <c r="AC300" s="36"/>
      <c r="AD300" s="5"/>
    </row>
    <row r="301" spans="1:31" s="23" customFormat="1" x14ac:dyDescent="0.3">
      <c r="A301" s="18"/>
      <c r="B301" s="106" t="s">
        <v>59</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06">
        <v>0</v>
      </c>
      <c r="Y301" s="192">
        <v>0</v>
      </c>
      <c r="Z301" s="107">
        <v>0</v>
      </c>
      <c r="AA301" s="192">
        <v>0</v>
      </c>
      <c r="AB301" s="37"/>
      <c r="AC301" s="21"/>
      <c r="AD301" s="22"/>
    </row>
    <row r="302" spans="1:31" s="23" customFormat="1" x14ac:dyDescent="0.3">
      <c r="A302" s="47"/>
      <c r="B302" s="97" t="s">
        <v>60</v>
      </c>
      <c r="C302" s="194"/>
      <c r="D302" s="194"/>
      <c r="E302" s="194"/>
      <c r="F302" s="194"/>
      <c r="G302" s="194"/>
      <c r="H302" s="194"/>
      <c r="I302" s="194"/>
      <c r="J302" s="194"/>
      <c r="K302" s="194"/>
      <c r="L302" s="194"/>
      <c r="M302" s="194"/>
      <c r="N302" s="194"/>
      <c r="O302" s="194"/>
      <c r="P302" s="194"/>
      <c r="Q302" s="194"/>
      <c r="R302" s="194"/>
      <c r="S302" s="194"/>
      <c r="T302" s="194"/>
      <c r="U302" s="194"/>
      <c r="V302" s="194"/>
      <c r="W302" s="194"/>
      <c r="X302" s="97">
        <v>0</v>
      </c>
      <c r="Y302" s="198">
        <v>0</v>
      </c>
      <c r="Z302" s="98">
        <v>0</v>
      </c>
      <c r="AA302" s="198">
        <v>0</v>
      </c>
      <c r="AB302" s="40"/>
      <c r="AC302" s="43"/>
      <c r="AD302" s="22"/>
    </row>
    <row r="303" spans="1:31" s="23" customFormat="1" x14ac:dyDescent="0.3">
      <c r="A303" s="47"/>
      <c r="B303" s="97" t="s">
        <v>61</v>
      </c>
      <c r="C303" s="194"/>
      <c r="D303" s="194"/>
      <c r="E303" s="194"/>
      <c r="F303" s="194"/>
      <c r="G303" s="194"/>
      <c r="H303" s="194"/>
      <c r="I303" s="194"/>
      <c r="J303" s="194"/>
      <c r="K303" s="194"/>
      <c r="L303" s="194"/>
      <c r="M303" s="194"/>
      <c r="N303" s="194"/>
      <c r="O303" s="194"/>
      <c r="P303" s="194"/>
      <c r="Q303" s="194"/>
      <c r="R303" s="194"/>
      <c r="S303" s="194"/>
      <c r="T303" s="194"/>
      <c r="U303" s="194"/>
      <c r="V303" s="194"/>
      <c r="W303" s="194"/>
      <c r="X303" s="97">
        <v>0</v>
      </c>
      <c r="Y303" s="198">
        <v>0</v>
      </c>
      <c r="Z303" s="98">
        <v>0</v>
      </c>
      <c r="AA303" s="198">
        <v>0</v>
      </c>
      <c r="AB303" s="40"/>
      <c r="AC303" s="43"/>
      <c r="AD303" s="22"/>
    </row>
    <row r="304" spans="1:31" s="23" customFormat="1" x14ac:dyDescent="0.3">
      <c r="A304" s="47"/>
      <c r="B304" s="97" t="s">
        <v>100</v>
      </c>
      <c r="C304" s="194"/>
      <c r="D304" s="194"/>
      <c r="E304" s="194"/>
      <c r="F304" s="194"/>
      <c r="G304" s="194"/>
      <c r="H304" s="194"/>
      <c r="I304" s="194"/>
      <c r="J304" s="194"/>
      <c r="K304" s="194"/>
      <c r="L304" s="194"/>
      <c r="M304" s="194"/>
      <c r="N304" s="194"/>
      <c r="O304" s="194"/>
      <c r="P304" s="194"/>
      <c r="Q304" s="194"/>
      <c r="R304" s="194"/>
      <c r="S304" s="194"/>
      <c r="T304" s="194"/>
      <c r="U304" s="194"/>
      <c r="V304" s="194"/>
      <c r="W304" s="194"/>
      <c r="X304" s="97">
        <v>0</v>
      </c>
      <c r="Y304" s="198">
        <v>0</v>
      </c>
      <c r="Z304" s="98">
        <v>0</v>
      </c>
      <c r="AA304" s="198">
        <v>0</v>
      </c>
      <c r="AB304" s="40"/>
      <c r="AC304" s="43"/>
      <c r="AD304" s="22"/>
    </row>
    <row r="305" spans="1:30" s="23" customFormat="1" x14ac:dyDescent="0.3">
      <c r="A305" s="47"/>
      <c r="B305" s="97" t="s">
        <v>101</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102</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103</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104</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c r="Y309" s="198"/>
      <c r="Z309" s="98"/>
      <c r="AA309" s="198"/>
      <c r="AB309" s="40"/>
      <c r="AC309" s="43"/>
      <c r="AD309" s="22"/>
    </row>
    <row r="310" spans="1:30" s="23" customFormat="1" x14ac:dyDescent="0.3">
      <c r="A310" s="47"/>
      <c r="B310" s="40" t="s">
        <v>80</v>
      </c>
      <c r="C310" s="40"/>
      <c r="D310" s="204"/>
      <c r="E310" s="204"/>
      <c r="F310" s="204"/>
      <c r="G310" s="204"/>
      <c r="H310" s="204"/>
      <c r="I310" s="204"/>
      <c r="J310" s="204"/>
      <c r="K310" s="204"/>
      <c r="L310" s="204"/>
      <c r="M310" s="204"/>
      <c r="N310" s="204"/>
      <c r="O310" s="204"/>
      <c r="P310" s="204"/>
      <c r="Q310" s="204"/>
      <c r="R310" s="204"/>
      <c r="S310" s="204"/>
      <c r="T310" s="204"/>
      <c r="U310" s="204"/>
      <c r="V310" s="204"/>
      <c r="W310" s="204"/>
      <c r="X310" s="97">
        <f>SUM(X301:X309)</f>
        <v>0</v>
      </c>
      <c r="Y310" s="198">
        <f>SUM(Y301:Y309)</f>
        <v>0</v>
      </c>
      <c r="Z310" s="98">
        <f>SUM(Z301:Z309)</f>
        <v>0</v>
      </c>
      <c r="AA310" s="198">
        <f>SUM(AA301:AA309)</f>
        <v>0</v>
      </c>
      <c r="AB310" s="40"/>
      <c r="AC310" s="43"/>
      <c r="AD310" s="22"/>
    </row>
    <row r="311" spans="1:30" s="23" customFormat="1" x14ac:dyDescent="0.3">
      <c r="A311" s="47"/>
      <c r="B311" s="40"/>
      <c r="C311" s="40"/>
      <c r="D311" s="204"/>
      <c r="E311" s="204"/>
      <c r="F311" s="204"/>
      <c r="G311" s="204"/>
      <c r="H311" s="204"/>
      <c r="I311" s="204"/>
      <c r="J311" s="204"/>
      <c r="K311" s="204"/>
      <c r="L311" s="204"/>
      <c r="M311" s="204"/>
      <c r="N311" s="204"/>
      <c r="O311" s="204"/>
      <c r="P311" s="204"/>
      <c r="Q311" s="204"/>
      <c r="R311" s="204"/>
      <c r="S311" s="204"/>
      <c r="T311" s="204"/>
      <c r="U311" s="204"/>
      <c r="V311" s="204"/>
      <c r="W311" s="204"/>
      <c r="X311" s="97"/>
      <c r="Y311" s="198"/>
      <c r="Z311" s="98"/>
      <c r="AA311" s="198"/>
      <c r="AB311" s="40"/>
      <c r="AC311" s="43"/>
      <c r="AD311" s="22"/>
    </row>
    <row r="312" spans="1:30" s="23" customFormat="1" x14ac:dyDescent="0.3">
      <c r="A312" s="242"/>
      <c r="B312" s="243" t="s">
        <v>299</v>
      </c>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62" t="s">
        <v>69</v>
      </c>
      <c r="Y312" s="263" t="s">
        <v>70</v>
      </c>
      <c r="Z312" s="262" t="s">
        <v>75</v>
      </c>
      <c r="AA312" s="263" t="s">
        <v>70</v>
      </c>
      <c r="AB312" s="243"/>
      <c r="AC312" s="243"/>
      <c r="AD312" s="22"/>
    </row>
    <row r="313" spans="1:30" s="23" customFormat="1" x14ac:dyDescent="0.3">
      <c r="A313" s="272"/>
      <c r="B313" s="273" t="s">
        <v>295</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275">
        <v>0</v>
      </c>
      <c r="Y313" s="276">
        <v>0</v>
      </c>
      <c r="Z313" s="277">
        <v>0</v>
      </c>
      <c r="AA313" s="276">
        <v>0</v>
      </c>
      <c r="AB313" s="40"/>
      <c r="AC313" s="43"/>
      <c r="AD313" s="22"/>
    </row>
    <row r="314" spans="1:30" s="23" customFormat="1" x14ac:dyDescent="0.3">
      <c r="A314" s="272"/>
      <c r="B314" s="273" t="s">
        <v>296</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275">
        <v>0</v>
      </c>
      <c r="Y314" s="276">
        <v>0</v>
      </c>
      <c r="Z314" s="277">
        <v>0</v>
      </c>
      <c r="AA314" s="276">
        <v>0</v>
      </c>
      <c r="AB314" s="40"/>
      <c r="AC314" s="43"/>
      <c r="AD314" s="22"/>
    </row>
    <row r="315" spans="1:30" s="23" customFormat="1" x14ac:dyDescent="0.3">
      <c r="A315" s="272"/>
      <c r="B315" s="273" t="s">
        <v>297</v>
      </c>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275">
        <v>0</v>
      </c>
      <c r="Y315" s="276">
        <v>0</v>
      </c>
      <c r="Z315" s="277">
        <v>0</v>
      </c>
      <c r="AA315" s="276">
        <v>0</v>
      </c>
      <c r="AB315" s="40"/>
      <c r="AC315" s="43"/>
      <c r="AD315" s="22"/>
    </row>
    <row r="316" spans="1:30" s="23" customFormat="1" x14ac:dyDescent="0.3">
      <c r="A316" s="272"/>
      <c r="B316" s="273" t="s">
        <v>298</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5">
        <v>0</v>
      </c>
      <c r="Y316" s="276">
        <v>0</v>
      </c>
      <c r="Z316" s="277">
        <v>0</v>
      </c>
      <c r="AA316" s="276">
        <v>0</v>
      </c>
      <c r="AB316" s="40"/>
      <c r="AC316" s="43"/>
      <c r="AD316" s="22"/>
    </row>
    <row r="317" spans="1:30" s="23" customFormat="1" x14ac:dyDescent="0.3">
      <c r="A317" s="272"/>
      <c r="B317" s="273" t="s">
        <v>368</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5">
        <v>0</v>
      </c>
      <c r="Y317" s="276">
        <v>0</v>
      </c>
      <c r="Z317" s="277">
        <v>0</v>
      </c>
      <c r="AA317" s="276">
        <v>0</v>
      </c>
      <c r="AB317" s="40"/>
      <c r="AC317" s="43"/>
      <c r="AD317" s="22"/>
    </row>
    <row r="318" spans="1:30" s="23" customFormat="1" x14ac:dyDescent="0.3">
      <c r="A318" s="272"/>
      <c r="B318" s="274" t="s">
        <v>300</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5">
        <v>0</v>
      </c>
      <c r="Y318" s="276">
        <v>0</v>
      </c>
      <c r="Z318" s="277">
        <v>0</v>
      </c>
      <c r="AA318" s="276">
        <v>0</v>
      </c>
      <c r="AB318" s="40"/>
      <c r="AC318" s="43"/>
      <c r="AD318" s="22"/>
    </row>
    <row r="319" spans="1:30" s="23" customFormat="1" x14ac:dyDescent="0.3">
      <c r="A319" s="272"/>
      <c r="B319" s="273"/>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5"/>
      <c r="Y319" s="276"/>
      <c r="Z319" s="277"/>
      <c r="AA319" s="276"/>
      <c r="AB319" s="40"/>
      <c r="AC319" s="43"/>
      <c r="AD319" s="22"/>
    </row>
    <row r="320" spans="1:30" s="23" customFormat="1" x14ac:dyDescent="0.3">
      <c r="A320" s="272"/>
      <c r="B320" s="273" t="s">
        <v>80</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5">
        <f>SUM(X313:X319)</f>
        <v>0</v>
      </c>
      <c r="Y320" s="276">
        <f>SUM(Y313:Y318)</f>
        <v>0</v>
      </c>
      <c r="Z320" s="277">
        <f>SUM(Z313:Z318)</f>
        <v>0</v>
      </c>
      <c r="AA320" s="276">
        <f>SUM(AA313:AA319)</f>
        <v>0</v>
      </c>
      <c r="AB320" s="40"/>
      <c r="AC320" s="43"/>
      <c r="AD320" s="22"/>
    </row>
    <row r="321" spans="1:30" x14ac:dyDescent="0.3">
      <c r="A321" s="7"/>
      <c r="B321" s="99"/>
      <c r="C321" s="99"/>
      <c r="D321" s="205"/>
      <c r="E321" s="205"/>
      <c r="F321" s="205"/>
      <c r="G321" s="205"/>
      <c r="H321" s="205"/>
      <c r="I321" s="205"/>
      <c r="J321" s="205"/>
      <c r="K321" s="205"/>
      <c r="L321" s="205"/>
      <c r="M321" s="205"/>
      <c r="N321" s="205"/>
      <c r="O321" s="205"/>
      <c r="P321" s="205"/>
      <c r="Q321" s="205"/>
      <c r="R321" s="205"/>
      <c r="S321" s="205"/>
      <c r="T321" s="205"/>
      <c r="U321" s="205"/>
      <c r="V321" s="205"/>
      <c r="W321" s="205"/>
      <c r="X321" s="100"/>
      <c r="Y321" s="206"/>
      <c r="Z321" s="207"/>
      <c r="AA321" s="206"/>
      <c r="AB321" s="99"/>
      <c r="AC321" s="10"/>
      <c r="AD321" s="5"/>
    </row>
    <row r="322" spans="1:30" x14ac:dyDescent="0.3">
      <c r="A322" s="33"/>
      <c r="B322" s="102" t="s">
        <v>106</v>
      </c>
      <c r="C322" s="34"/>
      <c r="D322" s="208"/>
      <c r="E322" s="208"/>
      <c r="F322" s="208"/>
      <c r="G322" s="208"/>
      <c r="H322" s="208"/>
      <c r="I322" s="208"/>
      <c r="J322" s="208"/>
      <c r="K322" s="208"/>
      <c r="L322" s="208"/>
      <c r="M322" s="208"/>
      <c r="N322" s="208"/>
      <c r="O322" s="208"/>
      <c r="P322" s="208"/>
      <c r="Q322" s="208"/>
      <c r="R322" s="208"/>
      <c r="S322" s="208"/>
      <c r="T322" s="208"/>
      <c r="U322" s="208"/>
      <c r="V322" s="208"/>
      <c r="W322" s="208"/>
      <c r="X322" s="154" t="s">
        <v>69</v>
      </c>
      <c r="Y322" s="103" t="s">
        <v>70</v>
      </c>
      <c r="Z322" s="154" t="s">
        <v>75</v>
      </c>
      <c r="AA322" s="103" t="s">
        <v>70</v>
      </c>
      <c r="AB322" s="34"/>
      <c r="AC322" s="36"/>
      <c r="AD322" s="5"/>
    </row>
    <row r="323" spans="1:30" s="23" customFormat="1" x14ac:dyDescent="0.3">
      <c r="A323" s="18"/>
      <c r="B323" s="106" t="s">
        <v>59</v>
      </c>
      <c r="C323" s="37"/>
      <c r="D323" s="209"/>
      <c r="E323" s="209"/>
      <c r="F323" s="209"/>
      <c r="G323" s="209"/>
      <c r="H323" s="209"/>
      <c r="I323" s="209"/>
      <c r="J323" s="209"/>
      <c r="K323" s="209"/>
      <c r="L323" s="209"/>
      <c r="M323" s="209"/>
      <c r="N323" s="209"/>
      <c r="O323" s="209"/>
      <c r="P323" s="209"/>
      <c r="Q323" s="209"/>
      <c r="R323" s="209"/>
      <c r="S323" s="209"/>
      <c r="T323" s="209"/>
      <c r="U323" s="209"/>
      <c r="V323" s="209"/>
      <c r="W323" s="209"/>
      <c r="X323" s="106">
        <v>0</v>
      </c>
      <c r="Y323" s="192">
        <v>0</v>
      </c>
      <c r="Z323" s="107">
        <v>0</v>
      </c>
      <c r="AA323" s="192">
        <v>0</v>
      </c>
      <c r="AB323" s="37"/>
      <c r="AC323" s="21"/>
      <c r="AD323" s="22"/>
    </row>
    <row r="324" spans="1:30" s="23" customFormat="1" x14ac:dyDescent="0.3">
      <c r="A324" s="47"/>
      <c r="B324" s="97" t="s">
        <v>60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97">
        <v>0</v>
      </c>
      <c r="Y324" s="198">
        <v>0</v>
      </c>
      <c r="Z324" s="98">
        <v>0</v>
      </c>
      <c r="AA324" s="198">
        <v>0</v>
      </c>
      <c r="AB324" s="40"/>
      <c r="AC324" s="43"/>
      <c r="AD324" s="22"/>
    </row>
    <row r="325" spans="1:30" s="23" customFormat="1" x14ac:dyDescent="0.3">
      <c r="A325" s="47"/>
      <c r="B325" s="97" t="s">
        <v>61</v>
      </c>
      <c r="C325" s="40"/>
      <c r="D325" s="204"/>
      <c r="E325" s="204"/>
      <c r="F325" s="204"/>
      <c r="G325" s="204"/>
      <c r="H325" s="204"/>
      <c r="I325" s="204"/>
      <c r="J325" s="204"/>
      <c r="K325" s="204"/>
      <c r="L325" s="204"/>
      <c r="M325" s="204"/>
      <c r="N325" s="204"/>
      <c r="O325" s="204"/>
      <c r="P325" s="204"/>
      <c r="Q325" s="204"/>
      <c r="R325" s="204"/>
      <c r="S325" s="204"/>
      <c r="T325" s="204"/>
      <c r="U325" s="204"/>
      <c r="V325" s="204"/>
      <c r="W325" s="204"/>
      <c r="X325" s="97">
        <v>0</v>
      </c>
      <c r="Y325" s="198">
        <v>0</v>
      </c>
      <c r="Z325" s="98">
        <v>0</v>
      </c>
      <c r="AA325" s="198">
        <v>0</v>
      </c>
      <c r="AB325" s="40"/>
      <c r="AC325" s="43"/>
      <c r="AD325" s="22"/>
    </row>
    <row r="326" spans="1:30" s="23" customFormat="1" x14ac:dyDescent="0.3">
      <c r="A326" s="47"/>
      <c r="B326" s="97" t="s">
        <v>100</v>
      </c>
      <c r="C326" s="40"/>
      <c r="D326" s="204"/>
      <c r="E326" s="204"/>
      <c r="F326" s="204"/>
      <c r="G326" s="204"/>
      <c r="H326" s="204"/>
      <c r="I326" s="204"/>
      <c r="J326" s="204"/>
      <c r="K326" s="204"/>
      <c r="L326" s="204"/>
      <c r="M326" s="204"/>
      <c r="N326" s="204"/>
      <c r="O326" s="204"/>
      <c r="P326" s="204"/>
      <c r="Q326" s="204"/>
      <c r="R326" s="204"/>
      <c r="S326" s="204"/>
      <c r="T326" s="204"/>
      <c r="U326" s="204"/>
      <c r="V326" s="204"/>
      <c r="W326" s="204"/>
      <c r="X326" s="97">
        <v>0</v>
      </c>
      <c r="Y326" s="198">
        <v>0</v>
      </c>
      <c r="Z326" s="98">
        <v>0</v>
      </c>
      <c r="AA326" s="198">
        <v>0</v>
      </c>
      <c r="AB326" s="40"/>
      <c r="AC326" s="43"/>
      <c r="AD326" s="22"/>
    </row>
    <row r="327" spans="1:30" s="23" customFormat="1" x14ac:dyDescent="0.3">
      <c r="A327" s="47"/>
      <c r="B327" s="97" t="s">
        <v>101</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102</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103</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104</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c r="Y331" s="198"/>
      <c r="Z331" s="98"/>
      <c r="AA331" s="198"/>
      <c r="AB331" s="40"/>
      <c r="AC331" s="43"/>
      <c r="AD331" s="22"/>
    </row>
    <row r="332" spans="1:30" s="23" customFormat="1" x14ac:dyDescent="0.3">
      <c r="A332" s="47"/>
      <c r="B332" s="40" t="s">
        <v>80</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f>SUM(X323:X330)</f>
        <v>0</v>
      </c>
      <c r="Y332" s="198">
        <f>SUM(Y323:Y330)</f>
        <v>0</v>
      </c>
      <c r="Z332" s="98">
        <f>SUM(Z323:Z330)</f>
        <v>0</v>
      </c>
      <c r="AA332" s="198">
        <f>SUM(AA323:AA330)</f>
        <v>0</v>
      </c>
      <c r="AB332" s="40"/>
      <c r="AC332" s="43"/>
      <c r="AD332" s="22"/>
    </row>
    <row r="333" spans="1:30" s="23" customFormat="1" x14ac:dyDescent="0.3">
      <c r="A333" s="47"/>
      <c r="B333" s="40"/>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c r="Y333" s="198"/>
      <c r="Z333" s="98"/>
      <c r="AA333" s="198"/>
      <c r="AB333" s="40"/>
      <c r="AC333" s="43"/>
      <c r="AD333" s="22"/>
    </row>
    <row r="334" spans="1:30" s="23" customFormat="1" x14ac:dyDescent="0.3">
      <c r="A334" s="242" t="s">
        <v>282</v>
      </c>
      <c r="B334" s="243" t="s">
        <v>283</v>
      </c>
      <c r="C334" s="244"/>
      <c r="D334" s="244"/>
      <c r="E334" s="244"/>
      <c r="F334" s="244"/>
      <c r="G334" s="244"/>
      <c r="H334" s="245"/>
      <c r="I334" s="245"/>
      <c r="J334" s="245"/>
      <c r="K334" s="245"/>
      <c r="L334" s="245"/>
      <c r="M334" s="245"/>
      <c r="N334" s="245"/>
      <c r="O334" s="245"/>
      <c r="P334" s="246"/>
      <c r="Q334" s="246"/>
      <c r="R334" s="246"/>
      <c r="S334" s="246"/>
      <c r="T334" s="246"/>
      <c r="U334" s="246"/>
      <c r="V334" s="246"/>
      <c r="W334" s="246"/>
      <c r="X334" s="262" t="s">
        <v>69</v>
      </c>
      <c r="Y334" s="263" t="s">
        <v>70</v>
      </c>
      <c r="Z334" s="262" t="s">
        <v>75</v>
      </c>
      <c r="AA334" s="263" t="s">
        <v>70</v>
      </c>
      <c r="AB334" s="282" t="s">
        <v>335</v>
      </c>
      <c r="AC334" s="284"/>
      <c r="AD334" s="22"/>
    </row>
    <row r="335" spans="1:30" s="23" customFormat="1" x14ac:dyDescent="0.3">
      <c r="A335" s="247"/>
      <c r="B335" s="248" t="s">
        <v>59</v>
      </c>
      <c r="C335" s="249"/>
      <c r="D335" s="249"/>
      <c r="E335" s="249"/>
      <c r="F335" s="249"/>
      <c r="G335" s="249"/>
      <c r="H335" s="250"/>
      <c r="I335" s="250"/>
      <c r="J335" s="250"/>
      <c r="K335" s="250"/>
      <c r="L335" s="250"/>
      <c r="M335" s="250"/>
      <c r="N335" s="250"/>
      <c r="O335" s="250"/>
      <c r="P335" s="251"/>
      <c r="Q335" s="269"/>
      <c r="R335" s="269"/>
      <c r="S335" s="269"/>
      <c r="T335" s="269"/>
      <c r="U335" s="269"/>
      <c r="V335" s="269"/>
      <c r="W335" s="269"/>
      <c r="X335" s="264">
        <v>0</v>
      </c>
      <c r="Y335" s="265">
        <v>0</v>
      </c>
      <c r="Z335" s="215">
        <v>0</v>
      </c>
      <c r="AA335" s="265">
        <v>0</v>
      </c>
      <c r="AB335" s="281"/>
      <c r="AC335" s="283"/>
      <c r="AD335" s="22"/>
    </row>
    <row r="336" spans="1:30" s="23" customFormat="1" x14ac:dyDescent="0.3">
      <c r="A336" s="252"/>
      <c r="B336" s="253" t="s">
        <v>60</v>
      </c>
      <c r="C336" s="254"/>
      <c r="D336" s="254"/>
      <c r="E336" s="254"/>
      <c r="F336" s="254"/>
      <c r="G336" s="254"/>
      <c r="H336" s="255"/>
      <c r="I336" s="255"/>
      <c r="J336" s="255"/>
      <c r="K336" s="255"/>
      <c r="L336" s="255"/>
      <c r="M336" s="255"/>
      <c r="N336" s="255"/>
      <c r="O336" s="255"/>
      <c r="P336" s="256"/>
      <c r="Q336" s="204"/>
      <c r="R336" s="204"/>
      <c r="S336" s="204"/>
      <c r="T336" s="204"/>
      <c r="U336" s="204"/>
      <c r="V336" s="204"/>
      <c r="W336" s="204"/>
      <c r="X336" s="266">
        <v>0</v>
      </c>
      <c r="Y336" s="267">
        <v>0</v>
      </c>
      <c r="Z336" s="98">
        <v>0</v>
      </c>
      <c r="AA336" s="268">
        <v>0</v>
      </c>
      <c r="AB336" s="40"/>
      <c r="AC336" s="43"/>
      <c r="AD336" s="22"/>
    </row>
    <row r="337" spans="1:30" s="23" customFormat="1" x14ac:dyDescent="0.3">
      <c r="A337" s="252"/>
      <c r="B337" s="253" t="s">
        <v>61</v>
      </c>
      <c r="C337" s="254"/>
      <c r="D337" s="254"/>
      <c r="E337" s="254"/>
      <c r="F337" s="254"/>
      <c r="G337" s="254"/>
      <c r="H337" s="255"/>
      <c r="I337" s="255"/>
      <c r="J337" s="255"/>
      <c r="K337" s="255"/>
      <c r="L337" s="255"/>
      <c r="M337" s="255"/>
      <c r="N337" s="255"/>
      <c r="O337" s="255"/>
      <c r="P337" s="256"/>
      <c r="Q337" s="204"/>
      <c r="R337" s="204"/>
      <c r="S337" s="204"/>
      <c r="T337" s="204"/>
      <c r="U337" s="204"/>
      <c r="V337" s="204"/>
      <c r="W337" s="204"/>
      <c r="X337" s="266">
        <v>0</v>
      </c>
      <c r="Y337" s="267">
        <v>0</v>
      </c>
      <c r="Z337" s="98">
        <v>0</v>
      </c>
      <c r="AA337" s="268">
        <v>0</v>
      </c>
      <c r="AB337" s="40"/>
      <c r="AC337" s="43"/>
      <c r="AD337" s="22"/>
    </row>
    <row r="338" spans="1:30" s="23" customFormat="1" x14ac:dyDescent="0.3">
      <c r="A338" s="252"/>
      <c r="B338" s="253" t="s">
        <v>100</v>
      </c>
      <c r="C338" s="254"/>
      <c r="D338" s="254"/>
      <c r="E338" s="254"/>
      <c r="F338" s="254"/>
      <c r="G338" s="254"/>
      <c r="H338" s="255"/>
      <c r="I338" s="255"/>
      <c r="J338" s="255"/>
      <c r="K338" s="255"/>
      <c r="L338" s="255"/>
      <c r="M338" s="255"/>
      <c r="N338" s="255"/>
      <c r="O338" s="255"/>
      <c r="P338" s="256"/>
      <c r="Q338" s="204"/>
      <c r="R338" s="204"/>
      <c r="S338" s="204"/>
      <c r="T338" s="204"/>
      <c r="U338" s="204"/>
      <c r="V338" s="204"/>
      <c r="W338" s="204"/>
      <c r="X338" s="266">
        <v>0</v>
      </c>
      <c r="Y338" s="267">
        <v>0</v>
      </c>
      <c r="Z338" s="98">
        <v>0</v>
      </c>
      <c r="AA338" s="268">
        <v>0</v>
      </c>
      <c r="AB338" s="40"/>
      <c r="AC338" s="43"/>
      <c r="AD338" s="22"/>
    </row>
    <row r="339" spans="1:30" s="23" customFormat="1" x14ac:dyDescent="0.3">
      <c r="A339" s="252"/>
      <c r="B339" s="253" t="s">
        <v>101</v>
      </c>
      <c r="C339" s="254"/>
      <c r="D339" s="254"/>
      <c r="E339" s="254"/>
      <c r="F339" s="254"/>
      <c r="G339" s="254"/>
      <c r="H339" s="255"/>
      <c r="I339" s="255"/>
      <c r="J339" s="255"/>
      <c r="K339" s="255"/>
      <c r="L339" s="255"/>
      <c r="M339" s="255"/>
      <c r="N339" s="255"/>
      <c r="O339" s="255"/>
      <c r="P339" s="256"/>
      <c r="Q339" s="204"/>
      <c r="R339" s="204"/>
      <c r="S339" s="204"/>
      <c r="T339" s="204"/>
      <c r="U339" s="204"/>
      <c r="V339" s="204"/>
      <c r="W339" s="204"/>
      <c r="X339" s="266">
        <v>0</v>
      </c>
      <c r="Y339" s="267">
        <v>0</v>
      </c>
      <c r="Z339" s="98">
        <v>0</v>
      </c>
      <c r="AA339" s="268">
        <v>0</v>
      </c>
      <c r="AB339" s="40"/>
      <c r="AC339" s="43"/>
      <c r="AD339" s="22"/>
    </row>
    <row r="340" spans="1:30" s="23" customFormat="1" x14ac:dyDescent="0.3">
      <c r="A340" s="252"/>
      <c r="B340" s="253" t="s">
        <v>102</v>
      </c>
      <c r="C340" s="254"/>
      <c r="D340" s="254"/>
      <c r="E340" s="254"/>
      <c r="F340" s="254"/>
      <c r="G340" s="254"/>
      <c r="H340" s="255"/>
      <c r="I340" s="255"/>
      <c r="J340" s="255"/>
      <c r="K340" s="255"/>
      <c r="L340" s="255"/>
      <c r="M340" s="255"/>
      <c r="N340" s="255"/>
      <c r="O340" s="255"/>
      <c r="P340" s="256"/>
      <c r="Q340" s="204"/>
      <c r="R340" s="204"/>
      <c r="S340" s="204"/>
      <c r="T340" s="204"/>
      <c r="U340" s="204"/>
      <c r="V340" s="204"/>
      <c r="W340" s="204"/>
      <c r="X340" s="266">
        <v>0</v>
      </c>
      <c r="Y340" s="267">
        <v>0</v>
      </c>
      <c r="Z340" s="98">
        <v>0</v>
      </c>
      <c r="AA340" s="268">
        <v>0</v>
      </c>
      <c r="AB340" s="40"/>
      <c r="AC340" s="43"/>
      <c r="AD340" s="22"/>
    </row>
    <row r="341" spans="1:30" s="23" customFormat="1" x14ac:dyDescent="0.3">
      <c r="A341" s="252"/>
      <c r="B341" s="253" t="s">
        <v>103</v>
      </c>
      <c r="C341" s="254"/>
      <c r="D341" s="254"/>
      <c r="E341" s="254"/>
      <c r="F341" s="254"/>
      <c r="G341" s="254"/>
      <c r="H341" s="255"/>
      <c r="I341" s="255"/>
      <c r="J341" s="255"/>
      <c r="K341" s="255"/>
      <c r="L341" s="255"/>
      <c r="M341" s="255"/>
      <c r="N341" s="255"/>
      <c r="O341" s="255"/>
      <c r="P341" s="256"/>
      <c r="Q341" s="204"/>
      <c r="R341" s="204"/>
      <c r="S341" s="204"/>
      <c r="T341" s="204"/>
      <c r="U341" s="204"/>
      <c r="V341" s="204"/>
      <c r="W341" s="204"/>
      <c r="X341" s="266">
        <v>0</v>
      </c>
      <c r="Y341" s="267">
        <v>0</v>
      </c>
      <c r="Z341" s="98">
        <v>0</v>
      </c>
      <c r="AA341" s="268">
        <v>0</v>
      </c>
      <c r="AB341" s="40"/>
      <c r="AC341" s="43"/>
      <c r="AD341" s="22"/>
    </row>
    <row r="342" spans="1:30" s="23" customFormat="1" x14ac:dyDescent="0.3">
      <c r="A342" s="252"/>
      <c r="B342" s="253" t="s">
        <v>104</v>
      </c>
      <c r="C342" s="254"/>
      <c r="D342" s="254"/>
      <c r="E342" s="254"/>
      <c r="F342" s="254"/>
      <c r="G342" s="254"/>
      <c r="H342" s="255"/>
      <c r="I342" s="255"/>
      <c r="J342" s="255"/>
      <c r="K342" s="255"/>
      <c r="L342" s="255"/>
      <c r="M342" s="255"/>
      <c r="N342" s="255"/>
      <c r="O342" s="255"/>
      <c r="P342" s="256"/>
      <c r="Q342" s="204"/>
      <c r="R342" s="204"/>
      <c r="S342" s="204"/>
      <c r="T342" s="204"/>
      <c r="U342" s="204"/>
      <c r="V342" s="204"/>
      <c r="W342" s="204"/>
      <c r="X342" s="266">
        <v>0</v>
      </c>
      <c r="Y342" s="265">
        <v>0</v>
      </c>
      <c r="Z342" s="98">
        <v>0</v>
      </c>
      <c r="AA342" s="268">
        <v>0</v>
      </c>
      <c r="AB342" s="40"/>
      <c r="AC342" s="43"/>
      <c r="AD342" s="22"/>
    </row>
    <row r="343" spans="1:30" s="23" customFormat="1" x14ac:dyDescent="0.3">
      <c r="A343" s="252"/>
      <c r="B343" s="253"/>
      <c r="C343" s="254"/>
      <c r="D343" s="254"/>
      <c r="E343" s="254"/>
      <c r="F343" s="254"/>
      <c r="G343" s="254"/>
      <c r="H343" s="255"/>
      <c r="I343" s="255"/>
      <c r="J343" s="255"/>
      <c r="K343" s="255"/>
      <c r="L343" s="255"/>
      <c r="M343" s="255"/>
      <c r="N343" s="255"/>
      <c r="O343" s="255"/>
      <c r="P343" s="256"/>
      <c r="Q343" s="204"/>
      <c r="R343" s="204"/>
      <c r="S343" s="204"/>
      <c r="T343" s="204"/>
      <c r="U343" s="204"/>
      <c r="V343" s="204"/>
      <c r="W343" s="204"/>
      <c r="X343" s="266"/>
      <c r="Y343" s="268"/>
      <c r="Z343" s="98"/>
      <c r="AA343" s="268"/>
      <c r="AB343" s="40"/>
      <c r="AC343" s="43"/>
      <c r="AD343" s="22"/>
    </row>
    <row r="344" spans="1:30" s="23" customFormat="1" x14ac:dyDescent="0.3">
      <c r="A344" s="252"/>
      <c r="B344" s="254" t="s">
        <v>80</v>
      </c>
      <c r="C344" s="254"/>
      <c r="D344" s="254"/>
      <c r="E344" s="254"/>
      <c r="F344" s="254"/>
      <c r="G344" s="254"/>
      <c r="H344" s="255"/>
      <c r="I344" s="255"/>
      <c r="J344" s="255"/>
      <c r="K344" s="255"/>
      <c r="L344" s="255"/>
      <c r="M344" s="255"/>
      <c r="N344" s="255"/>
      <c r="O344" s="255"/>
      <c r="P344" s="256"/>
      <c r="Q344" s="204"/>
      <c r="R344" s="204"/>
      <c r="S344" s="204"/>
      <c r="T344" s="204"/>
      <c r="U344" s="204"/>
      <c r="V344" s="204"/>
      <c r="W344" s="204"/>
      <c r="X344" s="266">
        <f>SUM(X335:X342)</f>
        <v>0</v>
      </c>
      <c r="Y344" s="268">
        <f>SUM(Y335:Y343)</f>
        <v>0</v>
      </c>
      <c r="Z344" s="98">
        <f>SUM(Z335:Z342)</f>
        <v>0</v>
      </c>
      <c r="AA344" s="268">
        <f>SUM(AA335:AA342)</f>
        <v>0</v>
      </c>
      <c r="AB344" s="40"/>
      <c r="AC344" s="43"/>
      <c r="AD344" s="22"/>
    </row>
    <row r="345" spans="1:30" s="23" customFormat="1" ht="16.2" thickBot="1" x14ac:dyDescent="0.35">
      <c r="A345" s="252"/>
      <c r="B345" s="254" t="s">
        <v>294</v>
      </c>
      <c r="C345" s="254"/>
      <c r="D345" s="254"/>
      <c r="E345" s="254"/>
      <c r="F345" s="254"/>
      <c r="G345" s="254"/>
      <c r="H345" s="255"/>
      <c r="I345" s="255"/>
      <c r="J345" s="255"/>
      <c r="K345" s="255"/>
      <c r="L345" s="255"/>
      <c r="M345" s="255"/>
      <c r="N345" s="255"/>
      <c r="O345" s="255"/>
      <c r="P345" s="256"/>
      <c r="Q345" s="204"/>
      <c r="R345" s="204"/>
      <c r="S345" s="204"/>
      <c r="T345" s="204"/>
      <c r="U345" s="204"/>
      <c r="V345" s="204"/>
      <c r="W345" s="204"/>
      <c r="X345" s="285"/>
      <c r="Y345" s="285">
        <f>+X344/X349</f>
        <v>0</v>
      </c>
      <c r="Z345" s="286"/>
      <c r="AA345" s="285">
        <f>+Z344/Z349</f>
        <v>0</v>
      </c>
      <c r="AB345" s="287"/>
      <c r="AC345" s="43"/>
      <c r="AD345" s="22"/>
    </row>
    <row r="346" spans="1:30" s="23" customFormat="1" ht="16.2" thickTop="1" x14ac:dyDescent="0.3">
      <c r="A346" s="252"/>
      <c r="B346" s="254" t="s">
        <v>336</v>
      </c>
      <c r="C346" s="254"/>
      <c r="D346" s="254"/>
      <c r="E346" s="254"/>
      <c r="F346" s="254"/>
      <c r="G346" s="254"/>
      <c r="H346" s="255"/>
      <c r="I346" s="255"/>
      <c r="J346" s="255"/>
      <c r="K346" s="255"/>
      <c r="L346" s="255"/>
      <c r="M346" s="255"/>
      <c r="N346" s="255"/>
      <c r="O346" s="255"/>
      <c r="P346" s="256"/>
      <c r="Q346" s="204"/>
      <c r="R346" s="204"/>
      <c r="S346" s="204"/>
      <c r="T346" s="204"/>
      <c r="U346" s="204"/>
      <c r="V346" s="204"/>
      <c r="W346" s="204"/>
      <c r="X346" s="290">
        <v>0</v>
      </c>
      <c r="Y346" s="291">
        <v>0</v>
      </c>
      <c r="Z346" s="292">
        <v>0</v>
      </c>
      <c r="AA346" s="291">
        <v>0</v>
      </c>
      <c r="AB346" s="293">
        <v>0</v>
      </c>
      <c r="AC346" s="43"/>
      <c r="AD346" s="22"/>
    </row>
    <row r="347" spans="1:30" s="23" customFormat="1" ht="16.2" thickBot="1" x14ac:dyDescent="0.35">
      <c r="A347" s="252"/>
      <c r="B347" s="254" t="s">
        <v>337</v>
      </c>
      <c r="C347" s="254"/>
      <c r="D347" s="254"/>
      <c r="E347" s="254"/>
      <c r="F347" s="254"/>
      <c r="G347" s="254"/>
      <c r="H347" s="255"/>
      <c r="I347" s="255"/>
      <c r="J347" s="255"/>
      <c r="K347" s="255"/>
      <c r="L347" s="255"/>
      <c r="M347" s="255"/>
      <c r="N347" s="255"/>
      <c r="O347" s="255"/>
      <c r="P347" s="256"/>
      <c r="Q347" s="204"/>
      <c r="R347" s="204"/>
      <c r="S347" s="204"/>
      <c r="T347" s="204"/>
      <c r="U347" s="204"/>
      <c r="V347" s="204"/>
      <c r="W347" s="204"/>
      <c r="X347" s="294">
        <v>0</v>
      </c>
      <c r="Y347" s="295">
        <v>0</v>
      </c>
      <c r="Z347" s="296">
        <v>0</v>
      </c>
      <c r="AA347" s="295">
        <v>0</v>
      </c>
      <c r="AB347" s="297">
        <v>0</v>
      </c>
      <c r="AC347" s="43"/>
      <c r="AD347" s="22"/>
    </row>
    <row r="348" spans="1:30" s="23" customFormat="1" ht="16.2" thickTop="1" x14ac:dyDescent="0.3">
      <c r="A348" s="252"/>
      <c r="B348" s="254"/>
      <c r="C348" s="254"/>
      <c r="D348" s="254"/>
      <c r="E348" s="254"/>
      <c r="F348" s="254"/>
      <c r="G348" s="254"/>
      <c r="H348" s="255"/>
      <c r="I348" s="255"/>
      <c r="J348" s="255"/>
      <c r="K348" s="255"/>
      <c r="L348" s="255"/>
      <c r="M348" s="255"/>
      <c r="N348" s="255"/>
      <c r="O348" s="255"/>
      <c r="P348" s="256"/>
      <c r="Q348" s="204"/>
      <c r="R348" s="204"/>
      <c r="S348" s="204"/>
      <c r="T348" s="204"/>
      <c r="U348" s="204"/>
      <c r="V348" s="204"/>
      <c r="W348" s="204"/>
      <c r="X348" s="288"/>
      <c r="Y348" s="202"/>
      <c r="Z348" s="289"/>
      <c r="AA348" s="202"/>
      <c r="AB348" s="281"/>
      <c r="AC348" s="43"/>
      <c r="AD348" s="22"/>
    </row>
    <row r="349" spans="1:30" s="23" customFormat="1" x14ac:dyDescent="0.3">
      <c r="A349" s="47"/>
      <c r="B349" s="44" t="s">
        <v>139</v>
      </c>
      <c r="C349" s="40"/>
      <c r="D349" s="204"/>
      <c r="E349" s="204"/>
      <c r="F349" s="204"/>
      <c r="G349" s="204"/>
      <c r="H349" s="204"/>
      <c r="I349" s="204"/>
      <c r="J349" s="204"/>
      <c r="K349" s="204"/>
      <c r="L349" s="204"/>
      <c r="M349" s="204"/>
      <c r="N349" s="204"/>
      <c r="O349" s="204"/>
      <c r="P349" s="204"/>
      <c r="Q349" s="204"/>
      <c r="R349" s="204"/>
      <c r="S349" s="204"/>
      <c r="T349" s="204"/>
      <c r="U349" s="204"/>
      <c r="V349" s="204"/>
      <c r="W349" s="204"/>
      <c r="X349" s="210">
        <f>X332+X310+X298</f>
        <v>3937</v>
      </c>
      <c r="Y349" s="198"/>
      <c r="Z349" s="211">
        <f>+Z332+Z310+Z298</f>
        <v>728373</v>
      </c>
      <c r="AA349" s="198"/>
      <c r="AB349" s="40"/>
      <c r="AC349" s="43"/>
      <c r="AD349" s="22"/>
    </row>
    <row r="350" spans="1:30" s="23" customFormat="1" x14ac:dyDescent="0.3">
      <c r="A350" s="47"/>
      <c r="B350" s="44" t="s">
        <v>280</v>
      </c>
      <c r="C350" s="44"/>
      <c r="D350" s="212"/>
      <c r="E350" s="212"/>
      <c r="F350" s="212"/>
      <c r="G350" s="212"/>
      <c r="H350" s="212"/>
      <c r="I350" s="212"/>
      <c r="J350" s="212"/>
      <c r="K350" s="212"/>
      <c r="L350" s="212"/>
      <c r="M350" s="212"/>
      <c r="N350" s="212"/>
      <c r="O350" s="212"/>
      <c r="P350" s="212"/>
      <c r="Q350" s="212"/>
      <c r="R350" s="212"/>
      <c r="S350" s="212"/>
      <c r="T350" s="212"/>
      <c r="U350" s="212"/>
      <c r="V350" s="212"/>
      <c r="W350" s="212"/>
      <c r="X350" s="210"/>
      <c r="Y350" s="213"/>
      <c r="Z350" s="211">
        <f>+AB64+AB63</f>
        <v>215</v>
      </c>
      <c r="AA350" s="198"/>
      <c r="AB350" s="40"/>
      <c r="AC350" s="43"/>
      <c r="AD350" s="22"/>
    </row>
    <row r="351" spans="1:30" s="23" customFormat="1" x14ac:dyDescent="0.3">
      <c r="A351" s="47"/>
      <c r="B351" s="44" t="s">
        <v>107</v>
      </c>
      <c r="C351" s="44"/>
      <c r="D351" s="212"/>
      <c r="E351" s="212"/>
      <c r="F351" s="212"/>
      <c r="G351" s="212"/>
      <c r="H351" s="212"/>
      <c r="I351" s="212"/>
      <c r="J351" s="212"/>
      <c r="K351" s="212"/>
      <c r="L351" s="212"/>
      <c r="M351" s="212"/>
      <c r="N351" s="212"/>
      <c r="O351" s="212"/>
      <c r="P351" s="212"/>
      <c r="Q351" s="212"/>
      <c r="R351" s="212"/>
      <c r="S351" s="212"/>
      <c r="T351" s="212"/>
      <c r="U351" s="212"/>
      <c r="V351" s="212"/>
      <c r="W351" s="212"/>
      <c r="X351" s="210"/>
      <c r="Y351" s="213"/>
      <c r="Z351" s="211">
        <f>+Z349+Z350</f>
        <v>728588</v>
      </c>
      <c r="AA351" s="198"/>
      <c r="AB351" s="40"/>
      <c r="AC351" s="43"/>
      <c r="AD351" s="22"/>
    </row>
    <row r="352" spans="1:30" s="23" customFormat="1" x14ac:dyDescent="0.3">
      <c r="A352" s="47"/>
      <c r="B352" s="44" t="s">
        <v>245</v>
      </c>
      <c r="C352" s="40"/>
      <c r="D352" s="204"/>
      <c r="E352" s="204"/>
      <c r="F352" s="204"/>
      <c r="G352" s="204"/>
      <c r="H352" s="204"/>
      <c r="I352" s="204"/>
      <c r="J352" s="204"/>
      <c r="K352" s="204"/>
      <c r="L352" s="204"/>
      <c r="M352" s="204"/>
      <c r="N352" s="204"/>
      <c r="O352" s="204"/>
      <c r="P352" s="204"/>
      <c r="Q352" s="204"/>
      <c r="R352" s="204"/>
      <c r="S352" s="204"/>
      <c r="T352" s="204"/>
      <c r="U352" s="204"/>
      <c r="V352" s="204"/>
      <c r="W352" s="204"/>
      <c r="X352" s="210"/>
      <c r="Y352" s="198"/>
      <c r="Z352" s="211">
        <f>+AB66</f>
        <v>728588</v>
      </c>
      <c r="AA352" s="198"/>
      <c r="AB352" s="40"/>
      <c r="AC352" s="43"/>
      <c r="AD352" s="22"/>
    </row>
    <row r="353" spans="1:30" s="23" customFormat="1" x14ac:dyDescent="0.3">
      <c r="A353" s="47"/>
      <c r="B353" s="44"/>
      <c r="C353" s="40"/>
      <c r="D353" s="204"/>
      <c r="E353" s="204"/>
      <c r="F353" s="204"/>
      <c r="G353" s="204"/>
      <c r="H353" s="204"/>
      <c r="I353" s="204"/>
      <c r="J353" s="204"/>
      <c r="K353" s="204"/>
      <c r="L353" s="204"/>
      <c r="M353" s="204"/>
      <c r="N353" s="204"/>
      <c r="O353" s="204"/>
      <c r="P353" s="204"/>
      <c r="Q353" s="204"/>
      <c r="R353" s="204"/>
      <c r="S353" s="204"/>
      <c r="T353" s="204"/>
      <c r="U353" s="204"/>
      <c r="V353" s="204"/>
      <c r="W353" s="204"/>
      <c r="X353" s="210"/>
      <c r="Y353" s="198"/>
      <c r="Z353" s="211"/>
      <c r="AA353" s="198"/>
      <c r="AB353" s="40"/>
      <c r="AC353" s="43"/>
      <c r="AD353" s="22"/>
    </row>
    <row r="354" spans="1:30" s="23" customFormat="1" x14ac:dyDescent="0.3">
      <c r="A354" s="47"/>
      <c r="B354" s="44" t="s">
        <v>327</v>
      </c>
      <c r="C354" s="40"/>
      <c r="D354" s="204"/>
      <c r="E354" s="204"/>
      <c r="F354" s="204"/>
      <c r="G354" s="204"/>
      <c r="H354" s="204"/>
      <c r="I354" s="204"/>
      <c r="J354" s="204"/>
      <c r="K354" s="204"/>
      <c r="L354" s="204"/>
      <c r="M354" s="204"/>
      <c r="N354" s="204"/>
      <c r="O354" s="204"/>
      <c r="P354" s="204"/>
      <c r="Q354" s="204"/>
      <c r="R354" s="204"/>
      <c r="S354" s="204"/>
      <c r="T354" s="204"/>
      <c r="U354" s="204"/>
      <c r="V354" s="204"/>
      <c r="W354" s="204"/>
      <c r="X354" s="210"/>
      <c r="Y354" s="198"/>
      <c r="Z354" s="236">
        <f>(F31+H31+J31+L31+N31)/AB31</f>
        <v>1</v>
      </c>
      <c r="AA354" s="198"/>
      <c r="AB354" s="40"/>
      <c r="AC354" s="43"/>
      <c r="AD354" s="22"/>
    </row>
    <row r="355" spans="1:30" s="23" customFormat="1" x14ac:dyDescent="0.3">
      <c r="A355" s="18"/>
      <c r="B355" s="20"/>
      <c r="C355" s="20"/>
      <c r="D355" s="214"/>
      <c r="E355" s="214"/>
      <c r="F355" s="214"/>
      <c r="G355" s="214"/>
      <c r="H355" s="214"/>
      <c r="I355" s="214"/>
      <c r="J355" s="214"/>
      <c r="K355" s="214"/>
      <c r="L355" s="214"/>
      <c r="M355" s="214"/>
      <c r="N355" s="214"/>
      <c r="O355" s="214"/>
      <c r="P355" s="214"/>
      <c r="Q355" s="214"/>
      <c r="R355" s="214"/>
      <c r="S355" s="214"/>
      <c r="T355" s="214"/>
      <c r="U355" s="214"/>
      <c r="V355" s="214"/>
      <c r="W355" s="214"/>
      <c r="X355" s="214"/>
      <c r="Y355" s="214"/>
      <c r="Z355" s="215"/>
      <c r="AA355" s="214"/>
      <c r="AB355" s="20"/>
      <c r="AC355" s="21"/>
      <c r="AD355" s="22"/>
    </row>
    <row r="356" spans="1:30" s="23" customFormat="1" x14ac:dyDescent="0.3">
      <c r="A356" s="18"/>
      <c r="B356" s="19" t="s">
        <v>62</v>
      </c>
      <c r="C356" s="20"/>
      <c r="D356" s="216" t="s">
        <v>66</v>
      </c>
      <c r="E356" s="19"/>
      <c r="F356" s="19" t="s">
        <v>67</v>
      </c>
      <c r="G356" s="20"/>
      <c r="H356" s="19"/>
      <c r="I356" s="20"/>
      <c r="J356" s="20"/>
      <c r="K356" s="20"/>
      <c r="L356" s="20"/>
      <c r="M356" s="20"/>
      <c r="N356" s="20"/>
      <c r="O356" s="20"/>
      <c r="P356" s="20"/>
      <c r="Q356" s="20"/>
      <c r="R356" s="20"/>
      <c r="S356" s="20"/>
      <c r="T356" s="20"/>
      <c r="U356" s="20"/>
      <c r="V356" s="20"/>
      <c r="W356" s="20"/>
      <c r="X356" s="20"/>
      <c r="Y356" s="20"/>
      <c r="Z356" s="20"/>
      <c r="AA356" s="20"/>
      <c r="AB356" s="20"/>
      <c r="AC356" s="21"/>
      <c r="AD356" s="22"/>
    </row>
    <row r="357" spans="1:30" s="23" customFormat="1" x14ac:dyDescent="0.3">
      <c r="A357" s="18"/>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1"/>
      <c r="AD357" s="22"/>
    </row>
    <row r="358" spans="1:30" s="23" customFormat="1" x14ac:dyDescent="0.3">
      <c r="A358" s="18"/>
      <c r="B358" s="19" t="s">
        <v>152</v>
      </c>
      <c r="C358" s="19"/>
      <c r="D358" s="217" t="s">
        <v>122</v>
      </c>
      <c r="E358" s="19"/>
      <c r="F358" s="19" t="s">
        <v>169</v>
      </c>
      <c r="G358" s="19"/>
      <c r="H358" s="19"/>
      <c r="I358" s="20"/>
      <c r="J358" s="20"/>
      <c r="K358" s="20"/>
      <c r="L358" s="20"/>
      <c r="M358" s="20"/>
      <c r="N358" s="20"/>
      <c r="O358" s="20"/>
      <c r="P358" s="20"/>
      <c r="Q358" s="20"/>
      <c r="R358" s="20"/>
      <c r="S358" s="20"/>
      <c r="T358" s="20"/>
      <c r="U358" s="20"/>
      <c r="V358" s="20"/>
      <c r="W358" s="20"/>
      <c r="X358" s="20"/>
      <c r="Y358" s="20"/>
      <c r="Z358" s="20"/>
      <c r="AA358" s="20"/>
      <c r="AB358" s="20"/>
      <c r="AC358" s="21"/>
      <c r="AD358" s="22"/>
    </row>
    <row r="359" spans="1:30" s="23" customFormat="1" x14ac:dyDescent="0.3">
      <c r="A359" s="18"/>
      <c r="B359" s="19" t="s">
        <v>153</v>
      </c>
      <c r="C359" s="19"/>
      <c r="D359" s="217" t="s">
        <v>98</v>
      </c>
      <c r="E359" s="19"/>
      <c r="F359" s="19" t="s">
        <v>170</v>
      </c>
      <c r="G359" s="19"/>
      <c r="H359" s="19"/>
      <c r="I359" s="20"/>
      <c r="J359" s="20"/>
      <c r="K359" s="20"/>
      <c r="L359" s="20"/>
      <c r="M359" s="20"/>
      <c r="N359" s="20"/>
      <c r="O359" s="20"/>
      <c r="P359" s="20"/>
      <c r="Q359" s="20"/>
      <c r="R359" s="20"/>
      <c r="S359" s="20"/>
      <c r="T359" s="20"/>
      <c r="U359" s="20"/>
      <c r="V359" s="20"/>
      <c r="W359" s="20"/>
      <c r="X359" s="20"/>
      <c r="Y359" s="20"/>
      <c r="Z359" s="20"/>
      <c r="AA359" s="20"/>
      <c r="AB359" s="20"/>
      <c r="AC359" s="21"/>
      <c r="AD359" s="22"/>
    </row>
    <row r="360" spans="1:30" s="23" customFormat="1" x14ac:dyDescent="0.3">
      <c r="A360" s="18"/>
      <c r="B360" s="19"/>
      <c r="C360" s="19"/>
      <c r="D360" s="217"/>
      <c r="E360" s="19"/>
      <c r="F360" s="19"/>
      <c r="G360" s="19"/>
      <c r="H360" s="19"/>
      <c r="I360" s="20"/>
      <c r="J360" s="20"/>
      <c r="K360" s="20"/>
      <c r="L360" s="20"/>
      <c r="M360" s="20"/>
      <c r="N360" s="20"/>
      <c r="O360" s="20"/>
      <c r="P360" s="20"/>
      <c r="Q360" s="20"/>
      <c r="R360" s="20"/>
      <c r="S360" s="20"/>
      <c r="T360" s="20"/>
      <c r="U360" s="20"/>
      <c r="V360" s="20"/>
      <c r="W360" s="20"/>
      <c r="X360" s="20"/>
      <c r="Y360" s="20"/>
      <c r="Z360" s="20"/>
      <c r="AA360" s="20"/>
      <c r="AB360" s="20"/>
      <c r="AC360" s="21"/>
      <c r="AD360" s="22"/>
    </row>
    <row r="361" spans="1:30" s="23" customFormat="1" x14ac:dyDescent="0.3">
      <c r="A361" s="18"/>
      <c r="B361" s="257" t="s">
        <v>326</v>
      </c>
      <c r="C361" s="19"/>
      <c r="D361" s="217"/>
      <c r="E361" s="19"/>
      <c r="F361" s="19"/>
      <c r="G361" s="19"/>
      <c r="H361" s="19"/>
      <c r="I361" s="20"/>
      <c r="J361" s="20"/>
      <c r="K361" s="20"/>
      <c r="L361" s="20"/>
      <c r="M361" s="20"/>
      <c r="N361" s="20"/>
      <c r="O361" s="20"/>
      <c r="P361" s="20"/>
      <c r="Q361" s="20"/>
      <c r="R361" s="20"/>
      <c r="S361" s="20"/>
      <c r="T361" s="20"/>
      <c r="U361" s="20"/>
      <c r="V361" s="20"/>
      <c r="W361" s="20"/>
      <c r="X361" s="20"/>
      <c r="Y361" s="20"/>
      <c r="Z361" s="20"/>
      <c r="AA361" s="20"/>
      <c r="AB361" s="20"/>
      <c r="AC361" s="21"/>
      <c r="AD361" s="22"/>
    </row>
    <row r="362" spans="1:30" x14ac:dyDescent="0.3">
      <c r="A362" s="218"/>
      <c r="B362" s="258"/>
      <c r="C362" s="219"/>
      <c r="D362" s="220"/>
      <c r="E362" s="220"/>
      <c r="F362" s="220"/>
      <c r="G362" s="220"/>
      <c r="H362" s="220"/>
      <c r="I362" s="220"/>
      <c r="J362" s="220"/>
      <c r="K362" s="220"/>
      <c r="L362" s="220"/>
      <c r="M362" s="220"/>
      <c r="N362" s="220"/>
      <c r="O362" s="220"/>
      <c r="P362" s="220"/>
      <c r="Q362" s="220"/>
      <c r="R362" s="220"/>
      <c r="S362" s="220"/>
      <c r="T362" s="220"/>
      <c r="U362" s="220"/>
      <c r="V362" s="220"/>
      <c r="W362" s="220"/>
      <c r="X362" s="220"/>
      <c r="Y362" s="220"/>
      <c r="Z362" s="220"/>
      <c r="AA362" s="220"/>
      <c r="AB362" s="220"/>
      <c r="AC362" s="221"/>
      <c r="AD362" s="5"/>
    </row>
    <row r="363" spans="1:30" ht="18" x14ac:dyDescent="0.35">
      <c r="A363" s="218"/>
      <c r="B363" s="259" t="s">
        <v>109</v>
      </c>
      <c r="C363" s="219"/>
      <c r="D363" s="220"/>
      <c r="E363" s="220"/>
      <c r="F363" s="220"/>
      <c r="G363" s="220"/>
      <c r="H363" s="220"/>
      <c r="I363" s="220"/>
      <c r="J363" s="220"/>
      <c r="K363" s="220"/>
      <c r="L363" s="220"/>
      <c r="M363" s="220"/>
      <c r="N363" s="220"/>
      <c r="O363" s="220"/>
      <c r="P363" s="260" t="s">
        <v>168</v>
      </c>
      <c r="Q363" s="220"/>
      <c r="R363" s="220"/>
      <c r="S363" s="220"/>
      <c r="T363" s="220"/>
      <c r="U363" s="220"/>
      <c r="V363" s="220"/>
      <c r="W363" s="220"/>
      <c r="X363" s="220"/>
      <c r="Y363" s="220"/>
      <c r="Z363" s="220"/>
      <c r="AA363" s="220"/>
      <c r="AB363" s="220"/>
      <c r="AC363" s="221"/>
      <c r="AD363" s="5"/>
    </row>
    <row r="364" spans="1:30" ht="18" x14ac:dyDescent="0.35">
      <c r="A364" s="218"/>
      <c r="B364" s="259"/>
      <c r="C364" s="219"/>
      <c r="D364" s="220"/>
      <c r="E364" s="220"/>
      <c r="F364" s="220"/>
      <c r="G364" s="220"/>
      <c r="H364" s="220"/>
      <c r="I364" s="220"/>
      <c r="J364" s="220"/>
      <c r="K364" s="220"/>
      <c r="L364" s="220"/>
      <c r="M364" s="220"/>
      <c r="N364" s="220"/>
      <c r="O364" s="220"/>
      <c r="P364" s="260"/>
      <c r="Q364" s="220"/>
      <c r="R364" s="220"/>
      <c r="S364" s="220"/>
      <c r="T364" s="220"/>
      <c r="U364" s="220"/>
      <c r="V364" s="220"/>
      <c r="W364" s="220"/>
      <c r="X364" s="220"/>
      <c r="Y364" s="220"/>
      <c r="Z364" s="220"/>
      <c r="AA364" s="220"/>
      <c r="AB364" s="220"/>
      <c r="AC364" s="221"/>
      <c r="AD364" s="5"/>
    </row>
    <row r="365" spans="1:30" ht="18.600000000000001" thickBot="1" x14ac:dyDescent="0.4">
      <c r="A365" s="218"/>
      <c r="B365" s="222" t="str">
        <f>B234</f>
        <v>PM27 INVESTOR REPORT QUARTER ENDING SEPTEMBER 2021</v>
      </c>
      <c r="C365" s="219"/>
      <c r="D365" s="220"/>
      <c r="E365" s="220"/>
      <c r="F365" s="220"/>
      <c r="G365" s="220"/>
      <c r="H365" s="220"/>
      <c r="I365" s="220"/>
      <c r="J365" s="220"/>
      <c r="K365" s="220"/>
      <c r="L365" s="220"/>
      <c r="M365" s="220"/>
      <c r="N365" s="220"/>
      <c r="O365" s="220"/>
      <c r="P365" s="220"/>
      <c r="Q365" s="220"/>
      <c r="R365" s="220"/>
      <c r="S365" s="220"/>
      <c r="T365" s="220"/>
      <c r="U365" s="220"/>
      <c r="V365" s="220"/>
      <c r="W365" s="220"/>
      <c r="X365" s="220"/>
      <c r="Y365" s="220"/>
      <c r="Z365" s="220"/>
      <c r="AA365" s="220"/>
      <c r="AB365" s="220"/>
      <c r="AC365" s="223"/>
      <c r="AD365" s="5"/>
    </row>
    <row r="366" spans="1:30" x14ac:dyDescent="0.3">
      <c r="A366" s="224"/>
      <c r="B366" s="224"/>
      <c r="C366" s="224"/>
      <c r="D366" s="224"/>
      <c r="E366" s="224"/>
      <c r="F366" s="224"/>
      <c r="G366" s="224"/>
      <c r="H366" s="224"/>
      <c r="I366" s="224"/>
      <c r="J366" s="224"/>
      <c r="K366" s="224"/>
      <c r="L366" s="224"/>
      <c r="M366" s="224"/>
      <c r="N366" s="224"/>
      <c r="O366" s="224"/>
      <c r="P366" s="224"/>
      <c r="Q366" s="224"/>
      <c r="R366" s="224"/>
      <c r="S366" s="224"/>
      <c r="T366" s="224"/>
      <c r="U366" s="224"/>
      <c r="V366" s="224"/>
      <c r="W366" s="224"/>
      <c r="X366" s="224"/>
      <c r="Y366" s="224"/>
      <c r="Z366" s="224"/>
      <c r="AA366" s="224"/>
      <c r="AB366" s="224"/>
      <c r="AC366" s="224"/>
    </row>
    <row r="368" spans="1:30" x14ac:dyDescent="0.3">
      <c r="B368" s="278" t="s">
        <v>284</v>
      </c>
    </row>
    <row r="369" spans="2:2" x14ac:dyDescent="0.3">
      <c r="B369" s="270" t="s">
        <v>285</v>
      </c>
    </row>
    <row r="370" spans="2:2" x14ac:dyDescent="0.3">
      <c r="B370" s="270" t="s">
        <v>286</v>
      </c>
    </row>
    <row r="371" spans="2:2" x14ac:dyDescent="0.3">
      <c r="B371" s="270" t="s">
        <v>287</v>
      </c>
    </row>
    <row r="372" spans="2:2" x14ac:dyDescent="0.3">
      <c r="B372" s="270" t="s">
        <v>288</v>
      </c>
    </row>
    <row r="373" spans="2:2" x14ac:dyDescent="0.3">
      <c r="B373" s="270" t="s">
        <v>289</v>
      </c>
    </row>
    <row r="374" spans="2:2" x14ac:dyDescent="0.3">
      <c r="B374" s="270" t="s">
        <v>290</v>
      </c>
    </row>
    <row r="375" spans="2:2" x14ac:dyDescent="0.3">
      <c r="B375" s="270" t="s">
        <v>291</v>
      </c>
    </row>
    <row r="376" spans="2:2" x14ac:dyDescent="0.3">
      <c r="B376" s="270"/>
    </row>
    <row r="377" spans="2:2" x14ac:dyDescent="0.3">
      <c r="B377" s="278" t="s">
        <v>328</v>
      </c>
    </row>
    <row r="378" spans="2:2" x14ac:dyDescent="0.3">
      <c r="B378" s="270" t="s">
        <v>342</v>
      </c>
    </row>
    <row r="379" spans="2:2" x14ac:dyDescent="0.3">
      <c r="B379" s="270" t="s">
        <v>350</v>
      </c>
    </row>
    <row r="380" spans="2:2" x14ac:dyDescent="0.3">
      <c r="B380" s="270"/>
    </row>
    <row r="381" spans="2:2" x14ac:dyDescent="0.3">
      <c r="B381" s="270" t="s">
        <v>349</v>
      </c>
    </row>
    <row r="382" spans="2:2" x14ac:dyDescent="0.3">
      <c r="B382" s="270"/>
    </row>
    <row r="383" spans="2:2" x14ac:dyDescent="0.3">
      <c r="B383" s="278" t="s">
        <v>292</v>
      </c>
    </row>
    <row r="384" spans="2:2" x14ac:dyDescent="0.3">
      <c r="B384" s="270" t="s">
        <v>293</v>
      </c>
    </row>
    <row r="385" spans="2:19" x14ac:dyDescent="0.3">
      <c r="B385" s="270" t="s">
        <v>339</v>
      </c>
      <c r="C385" s="271"/>
      <c r="D385" s="271"/>
      <c r="E385" s="271"/>
      <c r="F385" s="271"/>
      <c r="G385" s="271"/>
      <c r="H385" s="271"/>
      <c r="I385" s="271"/>
      <c r="J385" s="271"/>
      <c r="K385" s="271"/>
      <c r="L385" s="271"/>
      <c r="M385" s="271"/>
      <c r="N385" s="271"/>
      <c r="O385" s="271"/>
      <c r="P385" s="271"/>
      <c r="Q385" s="271"/>
      <c r="R385" s="271"/>
      <c r="S385" s="271"/>
    </row>
    <row r="386" spans="2:19" x14ac:dyDescent="0.3">
      <c r="B386" s="6" t="s">
        <v>338</v>
      </c>
      <c r="C386" s="271"/>
      <c r="D386" s="271"/>
      <c r="E386" s="271"/>
      <c r="F386" s="271"/>
      <c r="G386" s="271"/>
      <c r="H386" s="271"/>
      <c r="I386" s="271"/>
      <c r="J386" s="271"/>
      <c r="K386" s="271"/>
      <c r="L386" s="271"/>
      <c r="M386" s="271"/>
      <c r="N386" s="271"/>
      <c r="O386" s="271"/>
      <c r="P386" s="271"/>
      <c r="Q386" s="271"/>
      <c r="R386" s="271"/>
      <c r="S386" s="271"/>
    </row>
    <row r="388" spans="2:19" x14ac:dyDescent="0.3">
      <c r="B388" s="278" t="s">
        <v>351</v>
      </c>
    </row>
    <row r="389" spans="2:19" x14ac:dyDescent="0.3">
      <c r="B389" s="270" t="s">
        <v>352</v>
      </c>
    </row>
    <row r="390" spans="2:19" x14ac:dyDescent="0.3">
      <c r="B390" s="298" t="s">
        <v>353</v>
      </c>
    </row>
  </sheetData>
  <hyperlinks>
    <hyperlink ref="K9" r:id="rId1" display="http://www.paragon-group.co.uk" xr:uid="{C13FB754-8D80-464C-871B-7223C9ACC997}"/>
    <hyperlink ref="P363" r:id="rId2" xr:uid="{A15C909F-234C-4749-8C06-3D8E36C75715}"/>
    <hyperlink ref="P274" r:id="rId3" xr:uid="{2A7B1AB6-A1A1-4E49-953A-5F4737009A2E}"/>
    <hyperlink ref="B390" r:id="rId4" display="https://investorreporting.paragonbankinggroup.co.uk/bondinvestor_viewer/resources/bondinvestor/pdf/investornews/2021/libor-mortgages-transition-july-19" xr:uid="{52D11B38-599A-4833-AB99-6246E0C92E69}"/>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1" max="18" man="1"/>
    <brk id="234" max="18" man="1"/>
  </rowBreaks>
  <colBreaks count="1" manualBreakCount="1">
    <brk id="29" max="299" man="1"/>
  </colBreaks>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74079-E084-4A3D-9992-A590C718E799}">
  <sheetPr>
    <tabColor rgb="FF89CB31"/>
  </sheetPr>
  <dimension ref="A1:JB357"/>
  <sheetViews>
    <sheetView showGridLines="0" showOutlineSymbols="0" zoomScale="70" zoomScaleNormal="70" workbookViewId="0"/>
  </sheetViews>
  <sheetFormatPr defaultColWidth="9.81640625" defaultRowHeight="15.6" x14ac:dyDescent="0.3"/>
  <cols>
    <col min="1" max="1" width="4" style="6" customWidth="1"/>
    <col min="2" max="2" width="71.08984375" style="6" customWidth="1"/>
    <col min="3" max="3" width="2.08984375" style="6" customWidth="1"/>
    <col min="4" max="4" width="16.08984375" style="6" customWidth="1"/>
    <col min="5" max="5" width="2.81640625" style="6" customWidth="1"/>
    <col min="6" max="6" width="16.08984375" style="6" customWidth="1"/>
    <col min="7" max="7" width="2.08984375" style="6" customWidth="1"/>
    <col min="8" max="8" width="17.81640625" style="6" customWidth="1"/>
    <col min="9" max="9" width="2.08984375" style="6" customWidth="1"/>
    <col min="10" max="10" width="14.8164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302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168</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301</v>
      </c>
      <c r="AC14" s="21"/>
      <c r="AD14" s="22"/>
    </row>
    <row r="15" spans="1:30" s="23" customFormat="1" x14ac:dyDescent="0.3">
      <c r="A15" s="18"/>
      <c r="B15" s="19" t="s">
        <v>278</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323</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3.6400000000000002E-2</v>
      </c>
      <c r="Z16" s="29" t="s">
        <v>264</v>
      </c>
      <c r="AA16" s="29">
        <v>0.96360000000000001</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3.1155199371125469E-2</v>
      </c>
      <c r="Z17" s="29" t="s">
        <v>264</v>
      </c>
      <c r="AA17" s="29">
        <v>0.96884480062887457</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6">
        <v>43951</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44582</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304</v>
      </c>
      <c r="G23" s="35"/>
      <c r="H23" s="35" t="s">
        <v>140</v>
      </c>
      <c r="I23" s="35"/>
      <c r="J23" s="35" t="s">
        <v>141</v>
      </c>
      <c r="K23" s="35"/>
      <c r="L23" s="35" t="s">
        <v>171</v>
      </c>
      <c r="M23" s="35"/>
      <c r="N23" s="35" t="s">
        <v>161</v>
      </c>
      <c r="O23" s="35"/>
      <c r="P23" s="35" t="s">
        <v>181</v>
      </c>
      <c r="Q23" s="35"/>
      <c r="R23" s="35" t="s">
        <v>182</v>
      </c>
      <c r="S23" s="35"/>
      <c r="T23" s="35" t="s">
        <v>183</v>
      </c>
      <c r="U23" s="35"/>
      <c r="V23" s="35" t="s">
        <v>184</v>
      </c>
      <c r="W23" s="35"/>
      <c r="X23" s="35" t="s">
        <v>185</v>
      </c>
      <c r="Y23" s="35" t="s">
        <v>186</v>
      </c>
      <c r="Z23" s="35"/>
      <c r="AA23" s="34"/>
      <c r="AB23" s="34"/>
      <c r="AC23" s="36"/>
      <c r="AD23" s="5"/>
    </row>
    <row r="24" spans="1:33" s="23" customFormat="1" x14ac:dyDescent="0.3">
      <c r="A24" s="18"/>
      <c r="B24" s="37" t="s">
        <v>158</v>
      </c>
      <c r="C24" s="38"/>
      <c r="D24" s="228"/>
      <c r="E24" s="228"/>
      <c r="F24" s="228" t="s">
        <v>220</v>
      </c>
      <c r="G24" s="228"/>
      <c r="H24" s="228" t="s">
        <v>221</v>
      </c>
      <c r="I24" s="228"/>
      <c r="J24" s="228" t="s">
        <v>269</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c r="E25" s="227"/>
      <c r="F25" s="227" t="s">
        <v>222</v>
      </c>
      <c r="G25" s="227"/>
      <c r="H25" s="227" t="s">
        <v>223</v>
      </c>
      <c r="I25" s="227"/>
      <c r="J25" s="227" t="s">
        <v>270</v>
      </c>
      <c r="K25" s="227"/>
      <c r="L25" s="227" t="s">
        <v>324</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159</v>
      </c>
      <c r="C26" s="41"/>
      <c r="D26" s="229"/>
      <c r="E26" s="229"/>
      <c r="F26" s="229" t="s">
        <v>220</v>
      </c>
      <c r="G26" s="229"/>
      <c r="H26" s="229" t="s">
        <v>354</v>
      </c>
      <c r="I26" s="229"/>
      <c r="J26" s="229" t="s">
        <v>355</v>
      </c>
      <c r="K26" s="229"/>
      <c r="L26" s="229" t="s">
        <v>356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c r="E27" s="229"/>
      <c r="F27" s="229" t="s">
        <v>222</v>
      </c>
      <c r="G27" s="229"/>
      <c r="H27" s="229" t="s">
        <v>223</v>
      </c>
      <c r="I27" s="229"/>
      <c r="J27" s="229" t="s">
        <v>270</v>
      </c>
      <c r="K27" s="229"/>
      <c r="L27" s="229" t="s">
        <v>324</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c r="E28" s="227"/>
      <c r="F28" s="227" t="s">
        <v>313</v>
      </c>
      <c r="G28" s="227"/>
      <c r="H28" s="227" t="s">
        <v>314</v>
      </c>
      <c r="I28" s="227"/>
      <c r="J28" s="227" t="s">
        <v>315</v>
      </c>
      <c r="K28" s="227"/>
      <c r="L28" s="227" t="s">
        <v>316</v>
      </c>
      <c r="M28" s="227"/>
      <c r="N28" s="227" t="s">
        <v>317</v>
      </c>
      <c r="O28" s="227"/>
      <c r="P28" s="227" t="s">
        <v>318</v>
      </c>
      <c r="Q28" s="227"/>
      <c r="R28" s="227" t="s">
        <v>83</v>
      </c>
      <c r="S28" s="227"/>
      <c r="T28" s="227" t="s">
        <v>319</v>
      </c>
      <c r="U28" s="227"/>
      <c r="V28" s="227" t="s">
        <v>320</v>
      </c>
      <c r="W28" s="227"/>
      <c r="X28" s="227" t="s">
        <v>321</v>
      </c>
      <c r="Y28" s="227" t="s">
        <v>322</v>
      </c>
      <c r="Z28" s="227"/>
      <c r="AA28" s="49"/>
      <c r="AB28" s="50"/>
      <c r="AC28" s="51"/>
      <c r="AD28" s="22"/>
      <c r="AE28" s="45"/>
      <c r="AG28" s="46"/>
    </row>
    <row r="29" spans="1:33" s="23" customFormat="1" x14ac:dyDescent="0.3">
      <c r="A29" s="39"/>
      <c r="B29" s="40" t="s">
        <v>91</v>
      </c>
      <c r="C29" s="52"/>
      <c r="D29" s="54"/>
      <c r="E29" s="53"/>
      <c r="F29" s="54">
        <v>648307</v>
      </c>
      <c r="G29" s="55"/>
      <c r="H29" s="54">
        <v>41826</v>
      </c>
      <c r="I29" s="55"/>
      <c r="J29" s="54">
        <v>22814</v>
      </c>
      <c r="K29" s="55"/>
      <c r="L29" s="54">
        <v>22814</v>
      </c>
      <c r="M29" s="50"/>
      <c r="N29" s="54">
        <v>24717</v>
      </c>
      <c r="O29" s="54"/>
      <c r="P29" s="231">
        <v>11637</v>
      </c>
      <c r="Q29" s="231"/>
      <c r="R29" s="231">
        <v>4175</v>
      </c>
      <c r="S29" s="54"/>
      <c r="T29" s="54" t="s">
        <v>83</v>
      </c>
      <c r="U29" s="54"/>
      <c r="V29" s="54" t="s">
        <v>83</v>
      </c>
      <c r="W29" s="54"/>
      <c r="X29" s="54" t="s">
        <v>83</v>
      </c>
      <c r="Y29" s="54" t="s">
        <v>83</v>
      </c>
      <c r="Z29" s="54"/>
      <c r="AA29" s="52"/>
      <c r="AB29" s="50">
        <f>SUM(F29:N29)</f>
        <v>760478</v>
      </c>
      <c r="AC29" s="51"/>
      <c r="AD29" s="22"/>
    </row>
    <row r="30" spans="1:33" s="23" customFormat="1" x14ac:dyDescent="0.3">
      <c r="A30" s="47"/>
      <c r="B30" s="40" t="s">
        <v>90</v>
      </c>
      <c r="C30" s="49"/>
      <c r="D30" s="54"/>
      <c r="E30" s="54"/>
      <c r="F30" s="54">
        <f>F29*F33</f>
        <v>616416.77867000003</v>
      </c>
      <c r="G30" s="54"/>
      <c r="H30" s="54">
        <f>H29</f>
        <v>41826</v>
      </c>
      <c r="I30" s="54"/>
      <c r="J30" s="54">
        <f>J29</f>
        <v>22814</v>
      </c>
      <c r="K30" s="54"/>
      <c r="L30" s="54">
        <f>L29</f>
        <v>22814</v>
      </c>
      <c r="M30" s="54"/>
      <c r="N30" s="54">
        <f>N29</f>
        <v>24717</v>
      </c>
      <c r="O30" s="54"/>
      <c r="P30" s="54">
        <f>P29*P33</f>
        <v>10674.03825</v>
      </c>
      <c r="Q30" s="54"/>
      <c r="R30" s="54">
        <f>'December 2020'!R31</f>
        <v>0</v>
      </c>
      <c r="S30" s="54"/>
      <c r="T30" s="54" t="s">
        <v>83</v>
      </c>
      <c r="U30" s="54"/>
      <c r="V30" s="54" t="s">
        <v>83</v>
      </c>
      <c r="W30" s="54"/>
      <c r="X30" s="54" t="s">
        <v>83</v>
      </c>
      <c r="Y30" s="54" t="s">
        <v>83</v>
      </c>
      <c r="Z30" s="54"/>
      <c r="AA30" s="49"/>
      <c r="AB30" s="50">
        <f>SUM(F30:N30)</f>
        <v>728587.77867000003</v>
      </c>
      <c r="AC30" s="51"/>
      <c r="AD30" s="22"/>
    </row>
    <row r="31" spans="1:33" s="23" customFormat="1" x14ac:dyDescent="0.3">
      <c r="A31" s="47"/>
      <c r="B31" s="44" t="s">
        <v>92</v>
      </c>
      <c r="C31" s="49"/>
      <c r="D31" s="57"/>
      <c r="E31" s="57"/>
      <c r="F31" s="57">
        <f>F29*F32</f>
        <v>598575.37002999999</v>
      </c>
      <c r="G31" s="57"/>
      <c r="H31" s="57">
        <f>H29</f>
        <v>41826</v>
      </c>
      <c r="I31" s="57"/>
      <c r="J31" s="57">
        <f>J29</f>
        <v>22814</v>
      </c>
      <c r="K31" s="57"/>
      <c r="L31" s="57">
        <f>L29</f>
        <v>22814</v>
      </c>
      <c r="M31" s="57"/>
      <c r="N31" s="57">
        <f>N29</f>
        <v>24717</v>
      </c>
      <c r="O31" s="57"/>
      <c r="P31" s="57">
        <f>P29*P32</f>
        <v>10557.551880000001</v>
      </c>
      <c r="Q31" s="57"/>
      <c r="R31" s="57">
        <v>0</v>
      </c>
      <c r="S31" s="57"/>
      <c r="T31" s="57" t="s">
        <v>83</v>
      </c>
      <c r="U31" s="57"/>
      <c r="V31" s="57" t="s">
        <v>83</v>
      </c>
      <c r="W31" s="57"/>
      <c r="X31" s="57" t="s">
        <v>83</v>
      </c>
      <c r="Y31" s="57" t="s">
        <v>83</v>
      </c>
      <c r="Z31" s="57"/>
      <c r="AA31" s="49"/>
      <c r="AB31" s="56">
        <f>SUM(F31:N31)</f>
        <v>710746.37002999999</v>
      </c>
      <c r="AC31" s="51"/>
      <c r="AD31" s="22"/>
      <c r="AE31" s="235"/>
    </row>
    <row r="32" spans="1:33" s="65" customFormat="1" x14ac:dyDescent="0.3">
      <c r="A32" s="58"/>
      <c r="B32" s="166" t="s">
        <v>88</v>
      </c>
      <c r="C32" s="61"/>
      <c r="D32" s="60"/>
      <c r="E32" s="60"/>
      <c r="F32" s="60">
        <v>0.92329000000000006</v>
      </c>
      <c r="G32" s="60"/>
      <c r="H32" s="60">
        <v>1</v>
      </c>
      <c r="I32" s="60"/>
      <c r="J32" s="60">
        <v>1</v>
      </c>
      <c r="K32" s="60"/>
      <c r="L32" s="60">
        <v>1</v>
      </c>
      <c r="M32" s="60"/>
      <c r="N32" s="60">
        <v>1</v>
      </c>
      <c r="O32" s="60"/>
      <c r="P32" s="60">
        <v>0.90724000000000005</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c r="E33" s="225"/>
      <c r="F33" s="60">
        <v>0.95081000000000004</v>
      </c>
      <c r="G33" s="60"/>
      <c r="H33" s="60">
        <v>1</v>
      </c>
      <c r="I33" s="60"/>
      <c r="J33" s="60">
        <v>1</v>
      </c>
      <c r="K33" s="60"/>
      <c r="L33" s="60">
        <v>1</v>
      </c>
      <c r="M33" s="60"/>
      <c r="N33" s="60">
        <v>1</v>
      </c>
      <c r="O33" s="60"/>
      <c r="P33" s="60">
        <v>0.91725000000000001</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c r="E34" s="48"/>
      <c r="F34" s="48" t="s">
        <v>305</v>
      </c>
      <c r="G34" s="48"/>
      <c r="H34" s="48" t="s">
        <v>306</v>
      </c>
      <c r="I34" s="48"/>
      <c r="J34" s="48" t="s">
        <v>273</v>
      </c>
      <c r="K34" s="48"/>
      <c r="L34" s="48" t="s">
        <v>307</v>
      </c>
      <c r="M34" s="48"/>
      <c r="N34" s="48" t="s">
        <v>308</v>
      </c>
      <c r="O34" s="48"/>
      <c r="P34" s="48" t="s">
        <v>254</v>
      </c>
      <c r="Q34" s="48"/>
      <c r="R34" s="48" t="s">
        <v>254</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c r="E35" s="241"/>
      <c r="F35" s="241">
        <v>1.1860799999999999E-2</v>
      </c>
      <c r="G35" s="241"/>
      <c r="H35" s="241">
        <v>1.5860800000000001E-2</v>
      </c>
      <c r="I35" s="241"/>
      <c r="J35" s="241">
        <v>1.88608E-2</v>
      </c>
      <c r="K35" s="241"/>
      <c r="L35" s="241">
        <v>2.18608E-2</v>
      </c>
      <c r="M35" s="241"/>
      <c r="N35" s="241">
        <v>3.1860800000000002E-2</v>
      </c>
      <c r="O35" s="241"/>
      <c r="P35" s="241">
        <v>4.0860800000000003E-2</v>
      </c>
      <c r="Q35" s="241"/>
      <c r="R35" s="241">
        <v>4.0860800000000003E-2</v>
      </c>
      <c r="S35" s="68"/>
      <c r="T35" s="68" t="s">
        <v>83</v>
      </c>
      <c r="U35" s="68"/>
      <c r="V35" s="68" t="s">
        <v>83</v>
      </c>
      <c r="W35" s="68"/>
      <c r="X35" s="68" t="s">
        <v>83</v>
      </c>
      <c r="Y35" s="68" t="s">
        <v>83</v>
      </c>
      <c r="Z35" s="68"/>
      <c r="AA35" s="40"/>
      <c r="AB35" s="67">
        <f>SUMPRODUCT(D35:N35,D30:N30)/AB30</f>
        <v>1.3301233164986347E-2</v>
      </c>
      <c r="AC35" s="43"/>
      <c r="AD35" s="22"/>
    </row>
    <row r="36" spans="1:30" s="23" customFormat="1" x14ac:dyDescent="0.3">
      <c r="A36" s="47"/>
      <c r="B36" s="40" t="s">
        <v>10</v>
      </c>
      <c r="C36" s="69"/>
      <c r="D36" s="241"/>
      <c r="E36" s="241"/>
      <c r="F36" s="241">
        <v>1.1503599999999999E-2</v>
      </c>
      <c r="G36" s="241"/>
      <c r="H36" s="241">
        <v>1.5503599999999999E-2</v>
      </c>
      <c r="I36" s="241"/>
      <c r="J36" s="241">
        <v>1.8503599999999999E-2</v>
      </c>
      <c r="K36" s="241"/>
      <c r="L36" s="241">
        <v>2.1503600000000001E-2</v>
      </c>
      <c r="M36" s="241"/>
      <c r="N36" s="241">
        <v>3.15036E-2</v>
      </c>
      <c r="O36" s="241"/>
      <c r="P36" s="241">
        <v>4.0503600000000001E-2</v>
      </c>
      <c r="Q36" s="241"/>
      <c r="R36" s="241">
        <v>4.0503600000000001E-2</v>
      </c>
      <c r="S36" s="68"/>
      <c r="T36" s="68" t="s">
        <v>83</v>
      </c>
      <c r="U36" s="68"/>
      <c r="V36" s="68" t="s">
        <v>83</v>
      </c>
      <c r="W36" s="68"/>
      <c r="X36" s="68" t="s">
        <v>83</v>
      </c>
      <c r="Y36" s="68" t="s">
        <v>83</v>
      </c>
      <c r="Z36" s="68"/>
      <c r="AA36" s="40"/>
      <c r="AB36" s="40"/>
      <c r="AC36" s="43"/>
      <c r="AD36" s="22"/>
    </row>
    <row r="37" spans="1:30" s="23" customFormat="1" x14ac:dyDescent="0.3">
      <c r="A37" s="47"/>
      <c r="B37" s="40" t="s">
        <v>160</v>
      </c>
      <c r="C37" s="40"/>
      <c r="D37" s="69"/>
      <c r="E37" s="69"/>
      <c r="F37" s="69">
        <v>45945</v>
      </c>
      <c r="G37" s="69"/>
      <c r="H37" s="69">
        <v>45945</v>
      </c>
      <c r="I37" s="69"/>
      <c r="J37" s="69">
        <v>45945</v>
      </c>
      <c r="K37" s="69"/>
      <c r="L37" s="69">
        <v>45945</v>
      </c>
      <c r="M37" s="69"/>
      <c r="N37" s="69">
        <v>45945</v>
      </c>
      <c r="O37" s="69"/>
      <c r="P37" s="69">
        <v>45945</v>
      </c>
      <c r="Q37" s="69"/>
      <c r="R37" s="69">
        <v>45945</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c r="E38" s="69"/>
      <c r="F38" s="69">
        <v>45945</v>
      </c>
      <c r="G38" s="48"/>
      <c r="H38" s="69">
        <v>45945</v>
      </c>
      <c r="I38" s="48"/>
      <c r="J38" s="69">
        <v>45945</v>
      </c>
      <c r="K38" s="48"/>
      <c r="L38" s="69">
        <v>45945</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c r="E39" s="48"/>
      <c r="F39" s="48" t="s">
        <v>309</v>
      </c>
      <c r="G39" s="48"/>
      <c r="H39" s="48" t="s">
        <v>272</v>
      </c>
      <c r="I39" s="48"/>
      <c r="J39" s="48" t="s">
        <v>310</v>
      </c>
      <c r="K39" s="48"/>
      <c r="L39" s="48" t="s">
        <v>308</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7" t="s">
        <v>110</v>
      </c>
      <c r="AC40" s="43"/>
      <c r="AD40" s="22"/>
    </row>
    <row r="41" spans="1:30" s="23" customFormat="1" x14ac:dyDescent="0.3">
      <c r="A41" s="47"/>
      <c r="B41" s="40" t="s">
        <v>253</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32">
        <f>SUM(G29:N29)/F29</f>
        <v>0.17302142349226524</v>
      </c>
      <c r="AC41" s="43"/>
      <c r="AD41" s="22"/>
    </row>
    <row r="42" spans="1:30" s="23" customFormat="1" x14ac:dyDescent="0.3">
      <c r="A42" s="47"/>
      <c r="B42" s="40" t="s">
        <v>252</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32">
        <f>SUM(G31:N31)/F31</f>
        <v>0.18739661806395091</v>
      </c>
      <c r="AC42" s="43"/>
      <c r="AD42" s="22"/>
    </row>
    <row r="43" spans="1:30" s="23" customFormat="1" x14ac:dyDescent="0.3">
      <c r="A43" s="47"/>
      <c r="B43" s="40" t="s">
        <v>197</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1"/>
      <c r="AC44" s="43"/>
      <c r="AD44" s="22"/>
    </row>
    <row r="45" spans="1:30" s="23" customFormat="1" x14ac:dyDescent="0.3">
      <c r="A45" s="47"/>
      <c r="B45" s="40" t="s">
        <v>196</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2"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3"/>
      <c r="AA46" s="73"/>
      <c r="AB46" s="74">
        <v>44578</v>
      </c>
      <c r="AC46" s="43"/>
      <c r="AD46" s="22"/>
    </row>
    <row r="47" spans="1:30" s="23" customFormat="1" x14ac:dyDescent="0.3">
      <c r="A47" s="47"/>
      <c r="B47" s="40" t="s">
        <v>85</v>
      </c>
      <c r="C47" s="40"/>
      <c r="D47" s="75"/>
      <c r="E47" s="75"/>
      <c r="F47" s="75"/>
      <c r="G47" s="75"/>
      <c r="H47" s="75"/>
      <c r="I47" s="75"/>
      <c r="J47" s="75"/>
      <c r="K47" s="75"/>
      <c r="L47" s="75"/>
      <c r="M47" s="75"/>
      <c r="N47" s="75"/>
      <c r="O47" s="75"/>
      <c r="P47" s="75"/>
      <c r="Q47" s="75"/>
      <c r="R47" s="75"/>
      <c r="S47" s="75"/>
      <c r="T47" s="75"/>
      <c r="U47" s="75"/>
      <c r="V47" s="75"/>
      <c r="W47" s="75"/>
      <c r="X47" s="280">
        <f>+AB47-Z47+1</f>
        <v>92</v>
      </c>
      <c r="Y47" s="40"/>
      <c r="Z47" s="76">
        <v>44392</v>
      </c>
      <c r="AA47" s="77"/>
      <c r="AB47" s="76">
        <v>44483</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80">
        <f>+AB48-Z48+1</f>
        <v>94</v>
      </c>
      <c r="Y48" s="40"/>
      <c r="Z48" s="76">
        <v>44484</v>
      </c>
      <c r="AA48" s="77"/>
      <c r="AB48" s="76">
        <v>44577</v>
      </c>
      <c r="AC48" s="43"/>
      <c r="AD48" s="22"/>
    </row>
    <row r="49" spans="1:31" s="23" customFormat="1" x14ac:dyDescent="0.3">
      <c r="A49" s="47"/>
      <c r="B49" s="40" t="s">
        <v>187</v>
      </c>
      <c r="C49" s="40"/>
      <c r="D49" s="40"/>
      <c r="E49" s="40"/>
      <c r="F49" s="40"/>
      <c r="G49" s="40"/>
      <c r="H49" s="40"/>
      <c r="I49" s="40"/>
      <c r="J49" s="40"/>
      <c r="K49" s="40"/>
      <c r="L49" s="40"/>
      <c r="M49" s="40"/>
      <c r="N49" s="40"/>
      <c r="O49" s="40"/>
      <c r="P49" s="40"/>
      <c r="Q49" s="40"/>
      <c r="R49" s="40"/>
      <c r="S49" s="40"/>
      <c r="T49" s="40"/>
      <c r="U49" s="40"/>
      <c r="V49" s="40"/>
      <c r="W49" s="40"/>
      <c r="X49" s="40"/>
      <c r="Y49" s="40"/>
      <c r="Z49" s="76"/>
      <c r="AA49" s="77"/>
      <c r="AB49" s="76" t="s">
        <v>99</v>
      </c>
      <c r="AC49" s="43"/>
      <c r="AD49" s="22"/>
      <c r="AE49" s="78"/>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v>44577</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9"/>
      <c r="AA51" s="80"/>
      <c r="AB51" s="79"/>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1"/>
      <c r="AA52" s="82"/>
      <c r="AB52" s="81"/>
      <c r="AC52" s="21"/>
      <c r="AD52" s="22"/>
    </row>
    <row r="53" spans="1:31" s="23" customFormat="1" ht="18.600000000000001" thickBot="1" x14ac:dyDescent="0.4">
      <c r="A53" s="83"/>
      <c r="B53" s="84" t="s">
        <v>357</v>
      </c>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6"/>
      <c r="AC53" s="87"/>
      <c r="AD53" s="22"/>
    </row>
    <row r="54" spans="1:31" x14ac:dyDescent="0.3">
      <c r="A54" s="33"/>
      <c r="B54" s="88" t="s">
        <v>13</v>
      </c>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90"/>
      <c r="AC54" s="89"/>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1"/>
      <c r="AC55" s="10"/>
      <c r="AD55" s="5"/>
    </row>
    <row r="56" spans="1:31" s="65" customFormat="1" ht="46.8" x14ac:dyDescent="0.3">
      <c r="A56" s="92"/>
      <c r="B56" s="93" t="s">
        <v>14</v>
      </c>
      <c r="C56" s="94"/>
      <c r="D56" s="94"/>
      <c r="E56" s="94"/>
      <c r="F56" s="94"/>
      <c r="G56" s="94"/>
      <c r="H56" s="94"/>
      <c r="I56" s="94"/>
      <c r="J56" s="94"/>
      <c r="K56" s="94"/>
      <c r="L56" s="94"/>
      <c r="M56" s="94"/>
      <c r="N56" s="94"/>
      <c r="O56" s="94"/>
      <c r="P56" s="94" t="s">
        <v>63</v>
      </c>
      <c r="Q56" s="94"/>
      <c r="R56" s="94" t="s">
        <v>65</v>
      </c>
      <c r="S56" s="94"/>
      <c r="T56" s="94" t="s">
        <v>135</v>
      </c>
      <c r="U56" s="94"/>
      <c r="V56" s="94" t="s">
        <v>136</v>
      </c>
      <c r="W56" s="94"/>
      <c r="X56" s="94" t="s">
        <v>68</v>
      </c>
      <c r="Y56" s="94"/>
      <c r="Z56" s="94" t="s">
        <v>72</v>
      </c>
      <c r="AA56" s="94"/>
      <c r="AB56" s="95" t="s">
        <v>78</v>
      </c>
      <c r="AC56" s="96"/>
      <c r="AD56" s="64"/>
    </row>
    <row r="57" spans="1:31" s="23" customFormat="1" x14ac:dyDescent="0.3">
      <c r="A57" s="47"/>
      <c r="B57" s="40" t="s">
        <v>15</v>
      </c>
      <c r="C57" s="97"/>
      <c r="D57" s="97"/>
      <c r="E57" s="97"/>
      <c r="F57" s="97"/>
      <c r="G57" s="97"/>
      <c r="H57" s="98"/>
      <c r="I57" s="97"/>
      <c r="J57" s="98"/>
      <c r="K57" s="97"/>
      <c r="L57" s="97"/>
      <c r="M57" s="97"/>
      <c r="N57" s="97"/>
      <c r="O57" s="97"/>
      <c r="P57" s="238">
        <v>759666</v>
      </c>
      <c r="Q57" s="238"/>
      <c r="R57" s="237">
        <v>728373</v>
      </c>
      <c r="S57" s="238"/>
      <c r="T57" s="237">
        <f>339+18</f>
        <v>357</v>
      </c>
      <c r="U57" s="238"/>
      <c r="V57" s="238">
        <v>17273</v>
      </c>
      <c r="W57" s="238"/>
      <c r="X57" s="238"/>
      <c r="Y57" s="238"/>
      <c r="Z57" s="238">
        <v>0</v>
      </c>
      <c r="AA57" s="238"/>
      <c r="AB57" s="237">
        <f>R57-T57-V57+X57-Z57</f>
        <v>710743</v>
      </c>
      <c r="AC57" s="43"/>
      <c r="AD57" s="22"/>
      <c r="AE57" s="271"/>
    </row>
    <row r="58" spans="1:31" s="23" customFormat="1" x14ac:dyDescent="0.3">
      <c r="A58" s="47"/>
      <c r="B58" s="40" t="s">
        <v>16</v>
      </c>
      <c r="C58" s="97"/>
      <c r="D58" s="97"/>
      <c r="E58" s="97"/>
      <c r="F58" s="97"/>
      <c r="G58" s="97"/>
      <c r="H58" s="98"/>
      <c r="I58" s="97"/>
      <c r="J58" s="98"/>
      <c r="K58" s="97"/>
      <c r="L58" s="97"/>
      <c r="M58" s="97"/>
      <c r="N58" s="97"/>
      <c r="O58" s="97"/>
      <c r="P58" s="238">
        <v>0</v>
      </c>
      <c r="Q58" s="238"/>
      <c r="R58" s="237">
        <v>0</v>
      </c>
      <c r="S58" s="238"/>
      <c r="T58" s="237">
        <v>0</v>
      </c>
      <c r="U58" s="238"/>
      <c r="V58" s="238">
        <v>0</v>
      </c>
      <c r="W58" s="238"/>
      <c r="X58" s="238">
        <v>0</v>
      </c>
      <c r="Y58" s="238"/>
      <c r="Z58" s="238">
        <v>0</v>
      </c>
      <c r="AA58" s="238"/>
      <c r="AB58" s="237">
        <f>F58-J58-L58</f>
        <v>0</v>
      </c>
      <c r="AC58" s="43"/>
      <c r="AD58" s="22"/>
    </row>
    <row r="59" spans="1:31" s="23" customFormat="1" x14ac:dyDescent="0.3">
      <c r="A59" s="47"/>
      <c r="B59" s="40"/>
      <c r="C59" s="97"/>
      <c r="D59" s="97"/>
      <c r="E59" s="97"/>
      <c r="F59" s="97"/>
      <c r="G59" s="97"/>
      <c r="H59" s="98"/>
      <c r="I59" s="97"/>
      <c r="J59" s="98"/>
      <c r="K59" s="97"/>
      <c r="L59" s="97"/>
      <c r="M59" s="97"/>
      <c r="N59" s="97"/>
      <c r="O59" s="97"/>
      <c r="P59" s="238"/>
      <c r="Q59" s="238"/>
      <c r="R59" s="237"/>
      <c r="S59" s="238"/>
      <c r="T59" s="237"/>
      <c r="U59" s="238"/>
      <c r="V59" s="238"/>
      <c r="W59" s="238"/>
      <c r="X59" s="238"/>
      <c r="Y59" s="238"/>
      <c r="Z59" s="238"/>
      <c r="AA59" s="238"/>
      <c r="AB59" s="237"/>
      <c r="AC59" s="43"/>
      <c r="AD59" s="22"/>
    </row>
    <row r="60" spans="1:31" s="23" customFormat="1" x14ac:dyDescent="0.3">
      <c r="A60" s="47"/>
      <c r="B60" s="40" t="s">
        <v>17</v>
      </c>
      <c r="C60" s="97"/>
      <c r="D60" s="97"/>
      <c r="E60" s="97"/>
      <c r="F60" s="97"/>
      <c r="G60" s="97"/>
      <c r="H60" s="97"/>
      <c r="I60" s="97"/>
      <c r="J60" s="97"/>
      <c r="K60" s="97"/>
      <c r="L60" s="97"/>
      <c r="M60" s="97"/>
      <c r="N60" s="97"/>
      <c r="O60" s="97"/>
      <c r="P60" s="238">
        <f>SUM(P57:P59)</f>
        <v>759666</v>
      </c>
      <c r="Q60" s="238"/>
      <c r="R60" s="238">
        <f>R57+R58</f>
        <v>728373</v>
      </c>
      <c r="S60" s="238"/>
      <c r="T60" s="238">
        <f>T57+T58</f>
        <v>357</v>
      </c>
      <c r="U60" s="238"/>
      <c r="V60" s="238">
        <f>SUM(V57:V59)</f>
        <v>17273</v>
      </c>
      <c r="W60" s="238"/>
      <c r="X60" s="238">
        <f>SUM(X57:X59)</f>
        <v>0</v>
      </c>
      <c r="Y60" s="238"/>
      <c r="Z60" s="238">
        <f>SUM(Z57:Z59)</f>
        <v>0</v>
      </c>
      <c r="AA60" s="238"/>
      <c r="AB60" s="238">
        <f>SUM(AB57:AB59)</f>
        <v>710743</v>
      </c>
      <c r="AC60" s="43"/>
      <c r="AD60" s="22"/>
    </row>
    <row r="61" spans="1:31" s="23" customFormat="1" ht="32.1" customHeight="1" x14ac:dyDescent="0.3">
      <c r="A61" s="47"/>
      <c r="B61" s="40"/>
      <c r="C61" s="97"/>
      <c r="D61" s="97"/>
      <c r="E61" s="97"/>
      <c r="F61" s="97"/>
      <c r="G61" s="97"/>
      <c r="H61" s="97"/>
      <c r="I61" s="97"/>
      <c r="J61" s="97"/>
      <c r="K61" s="97"/>
      <c r="L61" s="97"/>
      <c r="M61" s="97"/>
      <c r="N61" s="97"/>
      <c r="O61" s="97"/>
      <c r="P61" s="238"/>
      <c r="Q61" s="238"/>
      <c r="R61" s="238"/>
      <c r="S61" s="238"/>
      <c r="T61" s="238"/>
      <c r="U61" s="238"/>
      <c r="V61" s="238"/>
      <c r="W61" s="238"/>
      <c r="X61" s="238"/>
      <c r="Y61" s="238"/>
      <c r="Z61" s="238"/>
      <c r="AA61" s="238"/>
      <c r="AB61" s="238"/>
      <c r="AC61" s="43"/>
      <c r="AD61" s="22"/>
    </row>
    <row r="62" spans="1:31" s="23" customFormat="1" x14ac:dyDescent="0.3">
      <c r="A62" s="47"/>
      <c r="B62" s="40" t="s">
        <v>18</v>
      </c>
      <c r="C62" s="97"/>
      <c r="D62" s="97"/>
      <c r="E62" s="97"/>
      <c r="F62" s="97"/>
      <c r="G62" s="97"/>
      <c r="H62" s="97"/>
      <c r="I62" s="97"/>
      <c r="J62" s="97"/>
      <c r="K62" s="97"/>
      <c r="L62" s="97"/>
      <c r="M62" s="97"/>
      <c r="N62" s="97"/>
      <c r="O62" s="97"/>
      <c r="P62" s="238">
        <v>0</v>
      </c>
      <c r="Q62" s="238"/>
      <c r="R62" s="238">
        <v>0</v>
      </c>
      <c r="S62" s="238"/>
      <c r="T62" s="238"/>
      <c r="U62" s="238"/>
      <c r="V62" s="238"/>
      <c r="W62" s="238"/>
      <c r="X62" s="238"/>
      <c r="Y62" s="238"/>
      <c r="Z62" s="238"/>
      <c r="AA62" s="238"/>
      <c r="AB62" s="237">
        <v>0</v>
      </c>
      <c r="AC62" s="43"/>
      <c r="AD62" s="22"/>
    </row>
    <row r="63" spans="1:31" s="23" customFormat="1" x14ac:dyDescent="0.3">
      <c r="A63" s="47"/>
      <c r="B63" s="40" t="s">
        <v>274</v>
      </c>
      <c r="C63" s="97"/>
      <c r="D63" s="97"/>
      <c r="E63" s="97"/>
      <c r="F63" s="97"/>
      <c r="G63" s="97"/>
      <c r="H63" s="97"/>
      <c r="I63" s="97"/>
      <c r="J63" s="97"/>
      <c r="K63" s="97"/>
      <c r="L63" s="97"/>
      <c r="M63" s="97"/>
      <c r="N63" s="97"/>
      <c r="O63" s="97"/>
      <c r="P63" s="238">
        <v>0</v>
      </c>
      <c r="Q63" s="238"/>
      <c r="R63" s="238">
        <v>0</v>
      </c>
      <c r="S63" s="238"/>
      <c r="T63" s="238">
        <v>0</v>
      </c>
      <c r="U63" s="238"/>
      <c r="V63" s="238">
        <v>3</v>
      </c>
      <c r="W63" s="238"/>
      <c r="X63" s="238"/>
      <c r="Y63" s="238"/>
      <c r="Z63" s="238"/>
      <c r="AA63" s="238"/>
      <c r="AB63" s="238">
        <f>R63+V63</f>
        <v>3</v>
      </c>
      <c r="AC63" s="43"/>
      <c r="AD63" s="22"/>
    </row>
    <row r="64" spans="1:31" s="23" customFormat="1" x14ac:dyDescent="0.3">
      <c r="A64" s="47"/>
      <c r="B64" s="40" t="s">
        <v>172</v>
      </c>
      <c r="C64" s="97"/>
      <c r="D64" s="97"/>
      <c r="E64" s="97"/>
      <c r="F64" s="97"/>
      <c r="G64" s="97"/>
      <c r="H64" s="97"/>
      <c r="I64" s="97"/>
      <c r="J64" s="97"/>
      <c r="K64" s="97"/>
      <c r="L64" s="97"/>
      <c r="M64" s="97"/>
      <c r="N64" s="97"/>
      <c r="O64" s="97"/>
      <c r="P64" s="238">
        <v>812</v>
      </c>
      <c r="Q64" s="238"/>
      <c r="R64" s="238">
        <v>215</v>
      </c>
      <c r="S64" s="238"/>
      <c r="T64" s="238"/>
      <c r="U64" s="238"/>
      <c r="V64" s="238"/>
      <c r="W64" s="238"/>
      <c r="X64" s="238">
        <f>-X57-215</f>
        <v>-215</v>
      </c>
      <c r="Y64" s="238"/>
      <c r="Z64" s="238"/>
      <c r="AA64" s="238"/>
      <c r="AB64" s="238">
        <f>+R64+X64</f>
        <v>0</v>
      </c>
      <c r="AC64" s="43"/>
      <c r="AD64" s="22"/>
    </row>
    <row r="65" spans="1:30" s="23" customFormat="1" x14ac:dyDescent="0.3">
      <c r="A65" s="47"/>
      <c r="B65" s="40" t="s">
        <v>19</v>
      </c>
      <c r="C65" s="97"/>
      <c r="D65" s="97"/>
      <c r="E65" s="97"/>
      <c r="F65" s="97"/>
      <c r="G65" s="97"/>
      <c r="H65" s="97"/>
      <c r="I65" s="97"/>
      <c r="J65" s="97"/>
      <c r="K65" s="97"/>
      <c r="L65" s="97"/>
      <c r="M65" s="97"/>
      <c r="N65" s="97"/>
      <c r="O65" s="97"/>
      <c r="P65" s="238">
        <v>0</v>
      </c>
      <c r="Q65" s="238"/>
      <c r="R65" s="238">
        <v>0</v>
      </c>
      <c r="S65" s="238"/>
      <c r="T65" s="238"/>
      <c r="U65" s="238"/>
      <c r="V65" s="238"/>
      <c r="W65" s="238"/>
      <c r="X65" s="238"/>
      <c r="Y65" s="238"/>
      <c r="Z65" s="238"/>
      <c r="AA65" s="238"/>
      <c r="AB65" s="238">
        <v>0</v>
      </c>
      <c r="AC65" s="43"/>
      <c r="AD65" s="22"/>
    </row>
    <row r="66" spans="1:30" s="23" customFormat="1" x14ac:dyDescent="0.3">
      <c r="A66" s="47"/>
      <c r="B66" s="40" t="s">
        <v>20</v>
      </c>
      <c r="C66" s="97"/>
      <c r="D66" s="97"/>
      <c r="E66" s="97"/>
      <c r="F66" s="97"/>
      <c r="G66" s="97"/>
      <c r="H66" s="97"/>
      <c r="I66" s="97"/>
      <c r="J66" s="97"/>
      <c r="K66" s="97"/>
      <c r="L66" s="97"/>
      <c r="M66" s="97"/>
      <c r="N66" s="97"/>
      <c r="O66" s="97"/>
      <c r="P66" s="238">
        <f>SUM(P60:P65)</f>
        <v>760478</v>
      </c>
      <c r="Q66" s="238"/>
      <c r="R66" s="238">
        <f>SUM(R60:R65)</f>
        <v>728588</v>
      </c>
      <c r="S66" s="238"/>
      <c r="T66" s="238"/>
      <c r="U66" s="238"/>
      <c r="V66" s="238"/>
      <c r="W66" s="238"/>
      <c r="X66" s="238"/>
      <c r="Y66" s="238"/>
      <c r="Z66" s="238"/>
      <c r="AA66" s="238"/>
      <c r="AB66" s="238">
        <f>SUM(AB60:AB65)</f>
        <v>710746</v>
      </c>
      <c r="AC66" s="43"/>
      <c r="AD66" s="22"/>
    </row>
    <row r="67" spans="1:30" x14ac:dyDescent="0.3">
      <c r="A67" s="7"/>
      <c r="B67" s="99"/>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1"/>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2" t="s">
        <v>21</v>
      </c>
      <c r="C69" s="102"/>
      <c r="D69" s="103"/>
      <c r="E69" s="103"/>
      <c r="F69" s="103"/>
      <c r="G69" s="103"/>
      <c r="H69" s="104"/>
      <c r="I69" s="103"/>
      <c r="J69" s="105"/>
      <c r="K69" s="103"/>
      <c r="L69" s="103"/>
      <c r="M69" s="103"/>
      <c r="N69" s="103"/>
      <c r="O69" s="103"/>
      <c r="P69" s="103"/>
      <c r="Q69" s="103"/>
      <c r="R69" s="104" t="s">
        <v>64</v>
      </c>
      <c r="S69" s="103"/>
      <c r="T69" s="105">
        <f>+Z235</f>
        <v>44561</v>
      </c>
      <c r="U69" s="103"/>
      <c r="V69" s="103"/>
      <c r="W69" s="103"/>
      <c r="X69" s="103"/>
      <c r="Y69" s="103"/>
      <c r="Z69" s="103" t="s">
        <v>73</v>
      </c>
      <c r="AA69" s="103"/>
      <c r="AB69" s="103"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100">
        <f>+R63</f>
        <v>0</v>
      </c>
      <c r="AA70" s="37"/>
      <c r="AB70" s="107">
        <v>0</v>
      </c>
      <c r="AC70" s="21"/>
      <c r="AD70" s="22"/>
    </row>
    <row r="71" spans="1:30" s="23" customFormat="1" x14ac:dyDescent="0.3">
      <c r="A71" s="47"/>
      <c r="B71" s="40" t="s">
        <v>218</v>
      </c>
      <c r="C71" s="40"/>
      <c r="D71" s="70"/>
      <c r="E71" s="70"/>
      <c r="F71" s="70"/>
      <c r="G71" s="108"/>
      <c r="H71" s="70"/>
      <c r="I71" s="40"/>
      <c r="J71" s="109"/>
      <c r="K71" s="40"/>
      <c r="L71" s="40"/>
      <c r="M71" s="40"/>
      <c r="N71" s="40"/>
      <c r="O71" s="40"/>
      <c r="P71" s="40"/>
      <c r="Q71" s="40"/>
      <c r="R71" s="40"/>
      <c r="S71" s="40"/>
      <c r="T71" s="40"/>
      <c r="U71" s="40"/>
      <c r="V71" s="40"/>
      <c r="W71" s="40"/>
      <c r="X71" s="40"/>
      <c r="Y71" s="40"/>
      <c r="Z71" s="238">
        <f>-X64</f>
        <v>215</v>
      </c>
      <c r="AA71" s="40"/>
      <c r="AB71" s="98"/>
      <c r="AC71" s="43"/>
      <c r="AD71" s="22"/>
    </row>
    <row r="72" spans="1:30" s="23" customFormat="1" x14ac:dyDescent="0.3">
      <c r="A72" s="47"/>
      <c r="B72" s="40" t="s">
        <v>217</v>
      </c>
      <c r="C72" s="40"/>
      <c r="D72" s="70"/>
      <c r="E72" s="70"/>
      <c r="F72" s="70"/>
      <c r="G72" s="108"/>
      <c r="H72" s="70"/>
      <c r="I72" s="40"/>
      <c r="J72" s="109"/>
      <c r="K72" s="40"/>
      <c r="L72" s="40"/>
      <c r="M72" s="40"/>
      <c r="N72" s="40"/>
      <c r="O72" s="40"/>
      <c r="P72" s="40"/>
      <c r="Q72" s="40"/>
      <c r="R72" s="40"/>
      <c r="S72" s="40"/>
      <c r="T72" s="40"/>
      <c r="U72" s="40"/>
      <c r="V72" s="40"/>
      <c r="W72" s="40"/>
      <c r="X72" s="40"/>
      <c r="Y72" s="40"/>
      <c r="Z72" s="238">
        <f>-Z209</f>
        <v>0</v>
      </c>
      <c r="AA72" s="40"/>
      <c r="AB72" s="98"/>
      <c r="AC72" s="43"/>
      <c r="AD72" s="22"/>
    </row>
    <row r="73" spans="1:30" s="23" customFormat="1" x14ac:dyDescent="0.3">
      <c r="A73" s="47"/>
      <c r="B73" s="40" t="s">
        <v>23</v>
      </c>
      <c r="C73" s="40"/>
      <c r="D73" s="70"/>
      <c r="E73" s="70"/>
      <c r="F73" s="70"/>
      <c r="G73" s="108"/>
      <c r="H73" s="70"/>
      <c r="I73" s="40"/>
      <c r="J73" s="109"/>
      <c r="K73" s="40"/>
      <c r="L73" s="40"/>
      <c r="M73" s="40"/>
      <c r="N73" s="40"/>
      <c r="O73" s="40"/>
      <c r="P73" s="40"/>
      <c r="Q73" s="40"/>
      <c r="R73" s="40"/>
      <c r="S73" s="40"/>
      <c r="T73" s="40"/>
      <c r="U73" s="40"/>
      <c r="V73" s="40"/>
      <c r="W73" s="40"/>
      <c r="X73" s="40"/>
      <c r="Y73" s="40"/>
      <c r="Z73" s="238">
        <f>+T57+V57+Z57-3</f>
        <v>17627</v>
      </c>
      <c r="AA73" s="40"/>
      <c r="AB73" s="98"/>
      <c r="AC73" s="43"/>
      <c r="AD73" s="22"/>
    </row>
    <row r="74" spans="1:30" s="23" customFormat="1" x14ac:dyDescent="0.3">
      <c r="A74" s="47"/>
      <c r="B74" s="40" t="s">
        <v>115</v>
      </c>
      <c r="C74" s="40"/>
      <c r="D74" s="70"/>
      <c r="E74" s="70"/>
      <c r="F74" s="70"/>
      <c r="G74" s="108"/>
      <c r="H74" s="70"/>
      <c r="I74" s="40"/>
      <c r="J74" s="109"/>
      <c r="K74" s="40"/>
      <c r="L74" s="40"/>
      <c r="M74" s="40"/>
      <c r="N74" s="40"/>
      <c r="O74" s="40"/>
      <c r="P74" s="40"/>
      <c r="Q74" s="40"/>
      <c r="R74" s="40"/>
      <c r="S74" s="40"/>
      <c r="T74" s="40"/>
      <c r="U74" s="40"/>
      <c r="V74" s="40"/>
      <c r="W74" s="40"/>
      <c r="X74" s="40"/>
      <c r="Y74" s="40"/>
      <c r="Z74" s="238"/>
      <c r="AA74" s="40"/>
      <c r="AB74" s="98">
        <f>7352+235-927-17</f>
        <v>6643</v>
      </c>
      <c r="AC74" s="43"/>
      <c r="AD74" s="22"/>
    </row>
    <row r="75" spans="1:30" s="23" customFormat="1" x14ac:dyDescent="0.3">
      <c r="A75" s="47"/>
      <c r="B75" s="40" t="s">
        <v>113</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171+7</f>
        <v>178</v>
      </c>
      <c r="AC75" s="43"/>
      <c r="AD75" s="22"/>
    </row>
    <row r="76" spans="1:30" s="23" customFormat="1" x14ac:dyDescent="0.3">
      <c r="A76" s="47"/>
      <c r="B76" s="40" t="s">
        <v>114</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v>2</v>
      </c>
      <c r="AC76" s="43"/>
      <c r="AD76" s="22"/>
    </row>
    <row r="77" spans="1:30" s="23" customFormat="1" x14ac:dyDescent="0.3">
      <c r="A77" s="47"/>
      <c r="B77" s="40" t="s">
        <v>120</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59" t="s">
        <v>224</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116</v>
      </c>
      <c r="AC78" s="43"/>
      <c r="AD78" s="22"/>
    </row>
    <row r="79" spans="1:30" s="23" customFormat="1" x14ac:dyDescent="0.3">
      <c r="A79" s="47"/>
      <c r="B79" s="59" t="s">
        <v>225</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0</v>
      </c>
      <c r="AC79" s="43"/>
      <c r="AD79" s="22"/>
    </row>
    <row r="80" spans="1:30" s="23" customFormat="1" x14ac:dyDescent="0.3">
      <c r="A80" s="47"/>
      <c r="B80" s="40" t="s">
        <v>232</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f>+AB167</f>
        <v>0</v>
      </c>
      <c r="AC80" s="43"/>
      <c r="AD80" s="22"/>
    </row>
    <row r="81" spans="1:30" s="23" customFormat="1" x14ac:dyDescent="0.3">
      <c r="A81" s="47"/>
      <c r="B81" s="40" t="s">
        <v>246</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v>0</v>
      </c>
      <c r="AC81" s="43"/>
      <c r="AD81" s="22"/>
    </row>
    <row r="82" spans="1:30" s="23" customFormat="1" x14ac:dyDescent="0.3">
      <c r="A82" s="47"/>
      <c r="B82" s="59" t="s">
        <v>233</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185</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8">
        <f>SUM(Z70:Z82)</f>
        <v>17842</v>
      </c>
      <c r="AA83" s="40"/>
      <c r="AB83" s="97">
        <f>SUM(AB70:AB82)</f>
        <v>7124</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8">
        <f>-AB84</f>
        <v>0</v>
      </c>
      <c r="AA84" s="40"/>
      <c r="AB84" s="98">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8"/>
      <c r="AA85" s="40"/>
      <c r="AB85" s="98">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8">
        <f>Z83+Z84</f>
        <v>17842</v>
      </c>
      <c r="AA86" s="40"/>
      <c r="AB86" s="97">
        <f>AB83+AB84+AB85</f>
        <v>7124</v>
      </c>
      <c r="AC86" s="43"/>
      <c r="AD86" s="22"/>
    </row>
    <row r="87" spans="1:30" x14ac:dyDescent="0.3">
      <c r="A87" s="110"/>
      <c r="B87" s="111" t="s">
        <v>27</v>
      </c>
      <c r="C87" s="59"/>
      <c r="D87" s="59"/>
      <c r="E87" s="59"/>
      <c r="F87" s="59"/>
      <c r="G87" s="59"/>
      <c r="H87" s="59"/>
      <c r="I87" s="59"/>
      <c r="J87" s="59"/>
      <c r="K87" s="59"/>
      <c r="L87" s="59"/>
      <c r="M87" s="59"/>
      <c r="N87" s="59"/>
      <c r="O87" s="59"/>
      <c r="P87" s="59"/>
      <c r="Q87" s="59"/>
      <c r="R87" s="59"/>
      <c r="S87" s="59"/>
      <c r="T87" s="59"/>
      <c r="U87" s="59"/>
      <c r="V87" s="59"/>
      <c r="W87" s="59"/>
      <c r="X87" s="59"/>
      <c r="Y87" s="59"/>
      <c r="Z87" s="238"/>
      <c r="AA87" s="112"/>
      <c r="AB87" s="113"/>
      <c r="AC87" s="114"/>
      <c r="AD87" s="5"/>
    </row>
    <row r="88" spans="1:30" x14ac:dyDescent="0.3">
      <c r="A88" s="110">
        <v>1</v>
      </c>
      <c r="B88" s="59" t="s">
        <v>138</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98">
        <v>0</v>
      </c>
      <c r="AC88" s="114"/>
      <c r="AD88" s="5"/>
    </row>
    <row r="89" spans="1:30" x14ac:dyDescent="0.3">
      <c r="A89" s="110">
        <v>2</v>
      </c>
      <c r="B89" s="59" t="s">
        <v>275</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-2</v>
      </c>
      <c r="AC89" s="114"/>
      <c r="AD89" s="5"/>
    </row>
    <row r="90" spans="1:30" x14ac:dyDescent="0.3">
      <c r="A90" s="110">
        <v>3</v>
      </c>
      <c r="B90" s="59" t="s">
        <v>247</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f>-368-10-10</f>
        <v>-388</v>
      </c>
      <c r="AC90" s="114"/>
      <c r="AD90" s="5"/>
    </row>
    <row r="91" spans="1:30" x14ac:dyDescent="0.3">
      <c r="A91" s="110">
        <v>4</v>
      </c>
      <c r="B91" s="59" t="s">
        <v>82</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v>-705</v>
      </c>
      <c r="AC91" s="114"/>
      <c r="AD91" s="5"/>
    </row>
    <row r="92" spans="1:30" x14ac:dyDescent="0.3">
      <c r="A92" s="110">
        <v>5</v>
      </c>
      <c r="B92" s="59" t="s">
        <v>129</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-1883</v>
      </c>
      <c r="AC92" s="114"/>
      <c r="AD92" s="5"/>
    </row>
    <row r="93" spans="1:30" x14ac:dyDescent="0.3">
      <c r="A93" s="110">
        <v>6</v>
      </c>
      <c r="B93" s="59" t="s">
        <v>150</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-171</v>
      </c>
      <c r="AC93" s="114"/>
      <c r="AD93" s="5"/>
    </row>
    <row r="94" spans="1:30" x14ac:dyDescent="0.3">
      <c r="A94" s="110">
        <v>7</v>
      </c>
      <c r="B94" s="59" t="s">
        <v>201</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0</v>
      </c>
      <c r="AC94" s="114"/>
      <c r="AD94" s="5"/>
    </row>
    <row r="95" spans="1:30" x14ac:dyDescent="0.3">
      <c r="A95" s="110">
        <v>8</v>
      </c>
      <c r="B95" s="59" t="s">
        <v>151</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-111</v>
      </c>
      <c r="AC95" s="114"/>
      <c r="AD95" s="5"/>
    </row>
    <row r="96" spans="1:30" x14ac:dyDescent="0.3">
      <c r="A96" s="110">
        <v>9</v>
      </c>
      <c r="B96" s="59" t="s">
        <v>180</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-128</v>
      </c>
      <c r="AC96" s="114"/>
      <c r="AD96" s="5"/>
    </row>
    <row r="97" spans="1:30" x14ac:dyDescent="0.3">
      <c r="A97" s="110">
        <v>10</v>
      </c>
      <c r="B97" s="59" t="s">
        <v>130</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0</v>
      </c>
      <c r="AC97" s="114"/>
      <c r="AD97" s="5"/>
    </row>
    <row r="98" spans="1:30" x14ac:dyDescent="0.3">
      <c r="A98" s="110">
        <v>11</v>
      </c>
      <c r="B98" s="59" t="s">
        <v>200</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0</v>
      </c>
      <c r="AC98" s="114"/>
      <c r="AD98" s="5"/>
    </row>
    <row r="99" spans="1:30" x14ac:dyDescent="0.3">
      <c r="A99" s="110">
        <v>12</v>
      </c>
      <c r="B99" s="59" t="s">
        <v>33</v>
      </c>
      <c r="C99" s="59"/>
      <c r="D99" s="59"/>
      <c r="E99" s="59"/>
      <c r="F99" s="59"/>
      <c r="G99" s="59"/>
      <c r="H99" s="59"/>
      <c r="I99" s="59"/>
      <c r="J99" s="59"/>
      <c r="K99" s="59"/>
      <c r="L99" s="59"/>
      <c r="M99" s="59"/>
      <c r="N99" s="59"/>
      <c r="O99" s="59"/>
      <c r="P99" s="59"/>
      <c r="Q99" s="59"/>
      <c r="R99" s="59"/>
      <c r="S99" s="59"/>
      <c r="T99" s="59"/>
      <c r="U99" s="59"/>
      <c r="V99" s="59"/>
      <c r="W99" s="59"/>
      <c r="X99" s="59"/>
      <c r="Y99" s="59"/>
      <c r="Z99" s="238">
        <f>-AB99</f>
        <v>3</v>
      </c>
      <c r="AA99" s="112"/>
      <c r="AB99" s="98">
        <v>-3</v>
      </c>
      <c r="AC99" s="114"/>
      <c r="AD99" s="5"/>
    </row>
    <row r="100" spans="1:30" x14ac:dyDescent="0.3">
      <c r="A100" s="110">
        <v>13</v>
      </c>
      <c r="B100" s="59" t="s">
        <v>276</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14</v>
      </c>
      <c r="B101" s="59" t="s">
        <v>277</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c r="AA101" s="112"/>
      <c r="AB101" s="98">
        <v>-1250</v>
      </c>
      <c r="AC101" s="114"/>
      <c r="AD101" s="5"/>
    </row>
    <row r="102" spans="1:30" x14ac:dyDescent="0.3">
      <c r="A102" s="110">
        <v>15</v>
      </c>
      <c r="B102" s="59" t="s">
        <v>28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-26</v>
      </c>
      <c r="AC102" s="114"/>
      <c r="AD102" s="5"/>
    </row>
    <row r="103" spans="1:30" x14ac:dyDescent="0.3">
      <c r="A103" s="110">
        <v>16</v>
      </c>
      <c r="B103" s="59" t="s">
        <v>118</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0</v>
      </c>
      <c r="AC103" s="114"/>
      <c r="AD103" s="5"/>
    </row>
    <row r="104" spans="1:30" x14ac:dyDescent="0.3">
      <c r="A104" s="110">
        <v>17</v>
      </c>
      <c r="B104" s="59" t="s">
        <v>188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0</v>
      </c>
      <c r="AC104" s="114"/>
      <c r="AD104" s="5"/>
    </row>
    <row r="105" spans="1:30" x14ac:dyDescent="0.3">
      <c r="A105" s="110">
        <v>18</v>
      </c>
      <c r="B105" s="59" t="s">
        <v>162</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-203</v>
      </c>
      <c r="AC105" s="114"/>
      <c r="AD105" s="5"/>
    </row>
    <row r="106" spans="1:30" x14ac:dyDescent="0.3">
      <c r="A106" s="110">
        <v>19</v>
      </c>
      <c r="B106" s="59" t="s">
        <v>257</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-112</v>
      </c>
      <c r="AC106" s="114"/>
      <c r="AD106" s="5"/>
    </row>
    <row r="107" spans="1:30" x14ac:dyDescent="0.3">
      <c r="A107" s="110">
        <v>20</v>
      </c>
      <c r="B107" s="59" t="s">
        <v>258</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-116</v>
      </c>
      <c r="AC107" s="114"/>
      <c r="AD107" s="5"/>
    </row>
    <row r="108" spans="1:30" x14ac:dyDescent="0.3">
      <c r="A108" s="110">
        <v>21</v>
      </c>
      <c r="B108" s="59" t="s">
        <v>259</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0</v>
      </c>
      <c r="AC108" s="114"/>
      <c r="AD108" s="5"/>
    </row>
    <row r="109" spans="1:30" x14ac:dyDescent="0.3">
      <c r="A109" s="110">
        <v>22</v>
      </c>
      <c r="B109" s="59" t="s">
        <v>260</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0</v>
      </c>
      <c r="AC109" s="114"/>
      <c r="AD109" s="5"/>
    </row>
    <row r="110" spans="1:30" x14ac:dyDescent="0.3">
      <c r="A110" s="110">
        <v>23</v>
      </c>
      <c r="B110" s="59" t="s">
        <v>131</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24</v>
      </c>
      <c r="B111" s="59" t="s">
        <v>137</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f>-12-69</f>
        <v>-81</v>
      </c>
      <c r="AC111" s="114"/>
      <c r="AD111" s="5"/>
    </row>
    <row r="112" spans="1:30" x14ac:dyDescent="0.3">
      <c r="A112" s="110">
        <v>25</v>
      </c>
      <c r="B112" s="59" t="s">
        <v>255</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-5</v>
      </c>
      <c r="AC112" s="114"/>
      <c r="AD112" s="5"/>
    </row>
    <row r="113" spans="1:30" x14ac:dyDescent="0.3">
      <c r="A113" s="110">
        <v>26</v>
      </c>
      <c r="B113" s="59" t="s">
        <v>226</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-1940</v>
      </c>
      <c r="AC113" s="114"/>
      <c r="AD113" s="5"/>
    </row>
    <row r="114" spans="1:30" x14ac:dyDescent="0.3">
      <c r="A114" s="110"/>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113"/>
      <c r="AC114" s="114"/>
      <c r="AD114" s="5"/>
    </row>
    <row r="115" spans="1:30" x14ac:dyDescent="0.3">
      <c r="A115" s="110"/>
      <c r="B115" s="111" t="s">
        <v>29</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112"/>
      <c r="AB115" s="116"/>
      <c r="AC115" s="114"/>
      <c r="AD115" s="5"/>
    </row>
    <row r="116" spans="1:30" x14ac:dyDescent="0.3">
      <c r="A116" s="110"/>
      <c r="B116" s="40" t="s">
        <v>227</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v>0</v>
      </c>
      <c r="AA116" s="112"/>
      <c r="AB116" s="116"/>
      <c r="AC116" s="114"/>
      <c r="AD116" s="5"/>
    </row>
    <row r="117" spans="1:30" s="23" customFormat="1" x14ac:dyDescent="0.3">
      <c r="A117" s="47"/>
      <c r="B117" s="40" t="s">
        <v>156</v>
      </c>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238">
        <v>0</v>
      </c>
      <c r="AA117" s="97"/>
      <c r="AB117" s="98"/>
      <c r="AC117" s="43"/>
      <c r="AD117" s="22"/>
    </row>
    <row r="118" spans="1:30" s="23" customFormat="1" x14ac:dyDescent="0.3">
      <c r="A118" s="47"/>
      <c r="B118" s="40" t="s">
        <v>157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8">
        <v>0</v>
      </c>
      <c r="AA118" s="97"/>
      <c r="AB118" s="98"/>
      <c r="AC118" s="43"/>
      <c r="AD118" s="22"/>
    </row>
    <row r="119" spans="1:30" s="23" customFormat="1" x14ac:dyDescent="0.3">
      <c r="A119" s="47"/>
      <c r="B119" s="40" t="s">
        <v>262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263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312</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-17842</v>
      </c>
      <c r="AA121" s="97"/>
      <c r="AB121" s="98"/>
      <c r="AC121" s="43"/>
      <c r="AD121" s="22"/>
    </row>
    <row r="122" spans="1:30" s="23" customFormat="1" x14ac:dyDescent="0.3">
      <c r="A122" s="47"/>
      <c r="B122" s="40" t="s">
        <v>142</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143</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0</v>
      </c>
      <c r="AA123" s="97"/>
      <c r="AB123" s="98"/>
      <c r="AC123" s="43"/>
      <c r="AD123" s="22"/>
    </row>
    <row r="124" spans="1:30" s="23" customFormat="1" x14ac:dyDescent="0.3">
      <c r="A124" s="47"/>
      <c r="B124" s="40" t="s">
        <v>173</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163</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189</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30</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f>SUM(Z116:Z126)</f>
        <v>-17842</v>
      </c>
      <c r="AA127" s="97"/>
      <c r="AB127" s="97">
        <f>SUM(AB87:AB125)</f>
        <v>-7124</v>
      </c>
      <c r="AC127" s="43"/>
      <c r="AD127" s="22"/>
    </row>
    <row r="128" spans="1:30" s="23" customFormat="1" x14ac:dyDescent="0.3">
      <c r="A128" s="47"/>
      <c r="B128" s="40" t="s">
        <v>31</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f>Z86+Z127+Z99</f>
        <v>3</v>
      </c>
      <c r="AA128" s="97"/>
      <c r="AB128" s="97">
        <f>AB86+AB127</f>
        <v>0</v>
      </c>
      <c r="AC128" s="43"/>
      <c r="AD128" s="22"/>
    </row>
    <row r="129" spans="1:30" s="23" customFormat="1" x14ac:dyDescent="0.3">
      <c r="A129" s="18"/>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106"/>
      <c r="AA129" s="106"/>
      <c r="AB129" s="106"/>
      <c r="AC129" s="21"/>
      <c r="AD129" s="22"/>
    </row>
    <row r="130" spans="1:30" s="23" customFormat="1" x14ac:dyDescent="0.3">
      <c r="A130" s="18"/>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117"/>
      <c r="AC130" s="21"/>
      <c r="AD130" s="22"/>
    </row>
    <row r="131" spans="1:30" s="23" customFormat="1" ht="18.600000000000001" thickBot="1" x14ac:dyDescent="0.4">
      <c r="A131" s="83"/>
      <c r="B131" s="84" t="str">
        <f>B53</f>
        <v>PM27 INVESTOR REPORT QUARTER ENDING DECEMBER 2021</v>
      </c>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118"/>
      <c r="AC131" s="87"/>
      <c r="AD131" s="22"/>
    </row>
    <row r="132" spans="1:30" x14ac:dyDescent="0.3">
      <c r="A132" s="119"/>
      <c r="B132" s="120" t="s">
        <v>32</v>
      </c>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2"/>
      <c r="AC132" s="123"/>
      <c r="AD132" s="5"/>
    </row>
    <row r="133" spans="1:30" x14ac:dyDescent="0.3">
      <c r="A133" s="7"/>
      <c r="B133" s="124"/>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1"/>
      <c r="AC133" s="10"/>
      <c r="AD133" s="5"/>
    </row>
    <row r="134" spans="1:30" x14ac:dyDescent="0.3">
      <c r="A134" s="7"/>
      <c r="B134" s="125" t="s">
        <v>192</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1"/>
      <c r="AC134" s="10"/>
      <c r="AD134" s="5"/>
    </row>
    <row r="135" spans="1:30" s="23" customFormat="1" x14ac:dyDescent="0.3">
      <c r="A135" s="47"/>
      <c r="B135" s="40" t="s">
        <v>199</v>
      </c>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98">
        <f>SUM(F29:H29)*1.5%</f>
        <v>10351.994999999999</v>
      </c>
      <c r="AC135" s="43"/>
      <c r="AD135" s="22"/>
    </row>
    <row r="136" spans="1:30" s="23" customFormat="1" x14ac:dyDescent="0.3">
      <c r="A136" s="47"/>
      <c r="B136" s="40" t="s">
        <v>204</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8">
        <f>+'September 2021'!AB143</f>
        <v>9990.994999999999</v>
      </c>
      <c r="AC136" s="43"/>
      <c r="AD136" s="22"/>
    </row>
    <row r="137" spans="1:30" s="23" customFormat="1" x14ac:dyDescent="0.3">
      <c r="A137" s="47"/>
      <c r="B137" s="40" t="s">
        <v>248</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8"/>
      <c r="AC137" s="43"/>
      <c r="AD137" s="22"/>
    </row>
    <row r="138" spans="1:30" s="23" customFormat="1" x14ac:dyDescent="0.3">
      <c r="A138" s="47"/>
      <c r="B138" s="40" t="s">
        <v>250</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v>0</v>
      </c>
      <c r="AC138" s="43"/>
      <c r="AD138" s="22"/>
    </row>
    <row r="139" spans="1:30" s="23" customFormat="1" x14ac:dyDescent="0.3">
      <c r="A139" s="47"/>
      <c r="B139" s="40" t="s">
        <v>198</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v>0</v>
      </c>
      <c r="AC139" s="43"/>
      <c r="AD139" s="22"/>
    </row>
    <row r="140" spans="1:30" s="23" customFormat="1" x14ac:dyDescent="0.3">
      <c r="A140" s="47"/>
      <c r="B140" s="40" t="s">
        <v>150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v>0</v>
      </c>
      <c r="AC140" s="43"/>
      <c r="AD140" s="22"/>
    </row>
    <row r="141" spans="1:30" s="23" customFormat="1" x14ac:dyDescent="0.3">
      <c r="A141" s="47"/>
      <c r="B141" s="40" t="s">
        <v>87</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251</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-116</v>
      </c>
      <c r="AC142" s="43"/>
      <c r="AD142" s="22"/>
    </row>
    <row r="143" spans="1:30" s="23" customFormat="1" x14ac:dyDescent="0.3">
      <c r="A143" s="47"/>
      <c r="B143" s="40" t="s">
        <v>203</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f>SUM(AB136:AB142)</f>
        <v>9874.994999999999</v>
      </c>
      <c r="AC143" s="43"/>
      <c r="AD143" s="22"/>
    </row>
    <row r="144" spans="1:30" x14ac:dyDescent="0.3">
      <c r="A144" s="7"/>
      <c r="B144" s="124"/>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1"/>
      <c r="AC144" s="10"/>
      <c r="AD144" s="5"/>
    </row>
    <row r="145" spans="1:30" x14ac:dyDescent="0.3">
      <c r="A145" s="7"/>
      <c r="B145" s="125" t="s">
        <v>190</v>
      </c>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1"/>
      <c r="AC145" s="10"/>
      <c r="AD145" s="5"/>
    </row>
    <row r="146" spans="1:30" s="23" customFormat="1" x14ac:dyDescent="0.3">
      <c r="A146" s="47"/>
      <c r="B146" s="59" t="s">
        <v>191</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SUM(J29:L29)*1.5%</f>
        <v>684.42</v>
      </c>
      <c r="AC146" s="43"/>
      <c r="AD146" s="22"/>
    </row>
    <row r="147" spans="1:30" s="23" customFormat="1" x14ac:dyDescent="0.3">
      <c r="A147" s="47"/>
      <c r="B147" s="59" t="s">
        <v>205</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8">
        <f>SUM(J29:L29)*0.015</f>
        <v>684.42</v>
      </c>
      <c r="AC147" s="43"/>
      <c r="AD147" s="22"/>
    </row>
    <row r="148" spans="1:30" s="23" customFormat="1" x14ac:dyDescent="0.3">
      <c r="A148" s="47"/>
      <c r="B148" s="59" t="s">
        <v>93</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8"/>
      <c r="AC148" s="43"/>
      <c r="AD148" s="22"/>
    </row>
    <row r="149" spans="1:30" s="23" customFormat="1" x14ac:dyDescent="0.3">
      <c r="A149" s="47"/>
      <c r="B149" s="40" t="s">
        <v>250</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v>0</v>
      </c>
      <c r="AC149" s="43"/>
      <c r="AD149" s="22"/>
    </row>
    <row r="150" spans="1:30" s="23" customFormat="1" x14ac:dyDescent="0.3">
      <c r="A150" s="47"/>
      <c r="B150" s="59" t="s">
        <v>129</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v>0</v>
      </c>
      <c r="AC150" s="43"/>
      <c r="AD150" s="22"/>
    </row>
    <row r="151" spans="1:30" s="23" customFormat="1" x14ac:dyDescent="0.3">
      <c r="A151" s="47"/>
      <c r="B151" s="59" t="s">
        <v>150</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v>0</v>
      </c>
      <c r="AC151" s="43"/>
      <c r="AD151" s="22"/>
    </row>
    <row r="152" spans="1:30" s="23" customFormat="1" x14ac:dyDescent="0.3">
      <c r="A152" s="47"/>
      <c r="B152" s="59" t="s">
        <v>151</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0" s="23" customFormat="1" x14ac:dyDescent="0.3">
      <c r="A153" s="47"/>
      <c r="B153" s="59" t="s">
        <v>180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0" s="23" customFormat="1" x14ac:dyDescent="0.3">
      <c r="A154" s="47"/>
      <c r="B154" s="59" t="s">
        <v>87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0" s="23" customFormat="1" x14ac:dyDescent="0.3">
      <c r="A155" s="47"/>
      <c r="B155" s="40" t="s">
        <v>251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0" s="23" customFormat="1" x14ac:dyDescent="0.3">
      <c r="A156" s="47"/>
      <c r="B156" s="59" t="s">
        <v>202</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f>SUM(AB147:AB155)</f>
        <v>684.42</v>
      </c>
      <c r="AC156" s="43"/>
      <c r="AD156" s="22"/>
    </row>
    <row r="157" spans="1:30" x14ac:dyDescent="0.3">
      <c r="A157" s="7"/>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126"/>
      <c r="AC157" s="10"/>
      <c r="AD157" s="5"/>
    </row>
    <row r="158" spans="1:30" x14ac:dyDescent="0.3">
      <c r="A158" s="7"/>
      <c r="B158" s="125" t="s">
        <v>174</v>
      </c>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8"/>
      <c r="AC158" s="10"/>
      <c r="AD158" s="5"/>
    </row>
    <row r="159" spans="1:30" s="23" customFormat="1" x14ac:dyDescent="0.3">
      <c r="A159" s="129"/>
      <c r="B159" s="230" t="s">
        <v>281</v>
      </c>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1">
        <f>+'September 2021'!AB162</f>
        <v>215</v>
      </c>
      <c r="AC159" s="132"/>
      <c r="AD159" s="22"/>
    </row>
    <row r="160" spans="1:30" s="23" customFormat="1" x14ac:dyDescent="0.3">
      <c r="A160" s="129"/>
      <c r="B160" s="230" t="s">
        <v>175</v>
      </c>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1">
        <f>X64+215</f>
        <v>0</v>
      </c>
      <c r="AC160" s="132"/>
      <c r="AD160" s="22"/>
    </row>
    <row r="161" spans="1:262" s="23" customFormat="1" x14ac:dyDescent="0.3">
      <c r="A161" s="129"/>
      <c r="B161" s="230" t="s">
        <v>249</v>
      </c>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1">
        <v>-215</v>
      </c>
      <c r="AC161" s="132"/>
      <c r="AD161" s="22"/>
    </row>
    <row r="162" spans="1:262" s="23" customFormat="1" x14ac:dyDescent="0.3">
      <c r="A162" s="129"/>
      <c r="B162" s="230" t="s">
        <v>176</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AB159+AB160+AB161</f>
        <v>0</v>
      </c>
      <c r="AC162" s="132"/>
      <c r="AD162" s="22"/>
    </row>
    <row r="163" spans="1:262" x14ac:dyDescent="0.3">
      <c r="A163" s="7"/>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126"/>
      <c r="AC163" s="10"/>
      <c r="AD163" s="5"/>
    </row>
    <row r="164" spans="1:262" x14ac:dyDescent="0.3">
      <c r="A164" s="7"/>
      <c r="B164" s="125" t="s">
        <v>34</v>
      </c>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133"/>
      <c r="AC164" s="10"/>
      <c r="AD164" s="5"/>
    </row>
    <row r="165" spans="1:262" s="23" customFormat="1" x14ac:dyDescent="0.3">
      <c r="A165" s="47"/>
      <c r="B165" s="40" t="s">
        <v>35</v>
      </c>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98">
        <v>0</v>
      </c>
      <c r="AC165" s="43"/>
      <c r="AD165" s="22"/>
    </row>
    <row r="166" spans="1:262" s="23" customFormat="1" x14ac:dyDescent="0.3">
      <c r="A166" s="47"/>
      <c r="B166" s="40" t="s">
        <v>36</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8">
        <v>3</v>
      </c>
      <c r="AC166" s="43"/>
      <c r="AD166" s="22"/>
    </row>
    <row r="167" spans="1:262" s="23" customFormat="1" x14ac:dyDescent="0.3">
      <c r="A167" s="47"/>
      <c r="B167" s="40" t="s">
        <v>219</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8">
        <v>0</v>
      </c>
      <c r="AC167" s="43"/>
      <c r="AD167" s="22"/>
    </row>
    <row r="168" spans="1:262" s="23" customFormat="1" x14ac:dyDescent="0.3">
      <c r="A168" s="47"/>
      <c r="B168" s="40" t="s">
        <v>37</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+AB165+AB166+AB167</f>
        <v>3</v>
      </c>
      <c r="AC168" s="43"/>
      <c r="AD168" s="22"/>
    </row>
    <row r="169" spans="1:262" s="23" customFormat="1" x14ac:dyDescent="0.3">
      <c r="A169" s="47"/>
      <c r="B169" s="40" t="s">
        <v>268</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f>+AB99</f>
        <v>-3</v>
      </c>
      <c r="AC169" s="43"/>
      <c r="AD169" s="22"/>
    </row>
    <row r="170" spans="1:262" s="23" customFormat="1" x14ac:dyDescent="0.3">
      <c r="A170" s="47"/>
      <c r="B170" s="40" t="s">
        <v>38</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f>AB168+AB169</f>
        <v>0</v>
      </c>
      <c r="AC170" s="43"/>
      <c r="AD170" s="22"/>
    </row>
    <row r="171" spans="1:262" s="23" customFormat="1" x14ac:dyDescent="0.3">
      <c r="A171" s="47"/>
      <c r="B171" s="40" t="s">
        <v>124</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-AB85</f>
        <v>0</v>
      </c>
      <c r="AC171" s="43"/>
      <c r="AD171" s="22"/>
    </row>
    <row r="172" spans="1:262" ht="16.2" thickBot="1" x14ac:dyDescent="0.35">
      <c r="A172" s="7"/>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126"/>
      <c r="AC172" s="10"/>
      <c r="AD172" s="5"/>
    </row>
    <row r="173" spans="1:262" x14ac:dyDescent="0.3">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134"/>
      <c r="AC173" s="4"/>
      <c r="AD173" s="5"/>
    </row>
    <row r="174" spans="1:262" s="136" customFormat="1" x14ac:dyDescent="0.3">
      <c r="A174" s="7"/>
      <c r="B174" s="125" t="s">
        <v>193</v>
      </c>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135"/>
      <c r="AC174" s="10"/>
      <c r="AD174" s="5"/>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row>
    <row r="175" spans="1:262" s="137" customFormat="1" x14ac:dyDescent="0.3">
      <c r="A175" s="47"/>
      <c r="B175" s="40" t="s">
        <v>332</v>
      </c>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98">
        <v>0</v>
      </c>
      <c r="AC175" s="43"/>
      <c r="AD175" s="22"/>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row>
    <row r="176" spans="1:262" s="137" customFormat="1" x14ac:dyDescent="0.3">
      <c r="A176" s="47"/>
      <c r="B176" s="40" t="s">
        <v>210</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8">
        <f>+'September 2021'!AB179</f>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7" customFormat="1" x14ac:dyDescent="0.3">
      <c r="A177" s="47"/>
      <c r="B177" s="40" t="s">
        <v>234</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8">
        <f>-AB185</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7" customFormat="1" x14ac:dyDescent="0.3">
      <c r="A178" s="47"/>
      <c r="B178" s="40" t="s">
        <v>236</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f>+AB81</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207</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+AB176+AB177-AB178</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9" customFormat="1" ht="16.2" thickBot="1" x14ac:dyDescent="0.35">
      <c r="A180" s="138"/>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126"/>
      <c r="AC180" s="10"/>
      <c r="AD180" s="5"/>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row>
    <row r="181" spans="1:262" x14ac:dyDescent="0.3">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134"/>
      <c r="AC181" s="4"/>
      <c r="AD181" s="5"/>
    </row>
    <row r="182" spans="1:262" s="136" customFormat="1" x14ac:dyDescent="0.3">
      <c r="A182" s="7"/>
      <c r="B182" s="125" t="s">
        <v>206</v>
      </c>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135"/>
      <c r="AC182" s="10"/>
      <c r="AD182" s="5"/>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row>
    <row r="183" spans="1:262" s="137" customFormat="1" x14ac:dyDescent="0.3">
      <c r="A183" s="47"/>
      <c r="B183" s="40" t="s">
        <v>208</v>
      </c>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98">
        <v>300</v>
      </c>
      <c r="AC183" s="43"/>
      <c r="AD183" s="22"/>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row>
    <row r="184" spans="1:262" s="137" customFormat="1" x14ac:dyDescent="0.3">
      <c r="A184" s="47"/>
      <c r="B184" s="40" t="s">
        <v>211</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98">
        <f>+'September 2021'!AB187</f>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7" customFormat="1" x14ac:dyDescent="0.3">
      <c r="A185" s="47"/>
      <c r="B185" s="59" t="s">
        <v>228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8">
        <v>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7" customFormat="1" x14ac:dyDescent="0.3">
      <c r="A186" s="47"/>
      <c r="B186" s="59" t="s">
        <v>229</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f>-AB100</f>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209</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AB183-AB185+AB186</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9" customFormat="1" ht="16.2" thickBot="1" x14ac:dyDescent="0.35">
      <c r="A188" s="138"/>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126"/>
      <c r="AC188" s="10"/>
      <c r="AD188" s="5"/>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row>
    <row r="189" spans="1:262" x14ac:dyDescent="0.3">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134"/>
      <c r="AC189" s="4"/>
      <c r="AD189" s="5"/>
    </row>
    <row r="190" spans="1:262" s="136" customFormat="1" x14ac:dyDescent="0.3">
      <c r="A190" s="7"/>
      <c r="B190" s="125" t="s">
        <v>212</v>
      </c>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135"/>
      <c r="AC190" s="10"/>
      <c r="AD190" s="5"/>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row>
    <row r="191" spans="1:262" s="137" customFormat="1" x14ac:dyDescent="0.3">
      <c r="A191" s="47"/>
      <c r="B191" s="40" t="s">
        <v>334</v>
      </c>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98">
        <v>0</v>
      </c>
      <c r="AC191" s="43"/>
      <c r="AD191" s="22"/>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row>
    <row r="192" spans="1:262" s="137" customFormat="1" x14ac:dyDescent="0.3">
      <c r="A192" s="47"/>
      <c r="B192" s="40" t="s">
        <v>213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98">
        <f>+'September 2021'!AB195</f>
        <v>593</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7" customFormat="1" x14ac:dyDescent="0.3">
      <c r="A193" s="47"/>
      <c r="B193" s="40" t="s">
        <v>235</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8">
        <f>AB201</f>
        <v>1238</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7"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f>AB82</f>
        <v>185</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346</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AB192+AB193-AB194</f>
        <v>1646</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9" customFormat="1" ht="16.2" thickBot="1" x14ac:dyDescent="0.35">
      <c r="A196" s="138"/>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126"/>
      <c r="AC196" s="10"/>
      <c r="AD196" s="5"/>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row>
    <row r="197" spans="1:262" x14ac:dyDescent="0.3">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134"/>
      <c r="AC197" s="4"/>
      <c r="AD197" s="5"/>
    </row>
    <row r="198" spans="1:262" s="136" customFormat="1" x14ac:dyDescent="0.3">
      <c r="A198" s="7"/>
      <c r="B198" s="125" t="s">
        <v>333</v>
      </c>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135"/>
      <c r="AC198" s="10"/>
      <c r="AD198" s="5"/>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row>
    <row r="199" spans="1:262" s="137" customFormat="1" x14ac:dyDescent="0.3">
      <c r="A199" s="47"/>
      <c r="B199" s="40" t="s">
        <v>214</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v>301</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7" customFormat="1" x14ac:dyDescent="0.3">
      <c r="A200" s="47"/>
      <c r="B200" s="40" t="s">
        <v>215</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98">
        <f>+'September 2021'!AB203</f>
        <v>1277</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7" customFormat="1" x14ac:dyDescent="0.3">
      <c r="A201" s="47"/>
      <c r="B201" s="59" t="s">
        <v>256</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8">
        <v>1238</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7" customFormat="1" x14ac:dyDescent="0.3">
      <c r="A202" s="47"/>
      <c r="B202" s="59" t="s">
        <v>231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f>-AB101</f>
        <v>1250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AB200-AB201+AB202</f>
        <v>1289</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9" customFormat="1" ht="16.2" thickBot="1" x14ac:dyDescent="0.35">
      <c r="A204" s="138"/>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126"/>
      <c r="AC204" s="10"/>
      <c r="AD204" s="5"/>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row>
    <row r="205" spans="1:262" x14ac:dyDescent="0.3">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134"/>
      <c r="AC205" s="4"/>
      <c r="AD205" s="5"/>
    </row>
    <row r="206" spans="1:262" s="136" customFormat="1" x14ac:dyDescent="0.3">
      <c r="A206" s="7"/>
      <c r="B206" s="125" t="s">
        <v>237</v>
      </c>
      <c r="C206" s="99"/>
      <c r="D206" s="99"/>
      <c r="E206" s="99"/>
      <c r="F206" s="99"/>
      <c r="G206" s="99"/>
      <c r="H206" s="99"/>
      <c r="I206" s="99"/>
      <c r="J206" s="99"/>
      <c r="K206" s="99"/>
      <c r="L206" s="99"/>
      <c r="M206" s="99"/>
      <c r="N206" s="99"/>
      <c r="O206" s="99"/>
      <c r="P206" s="99"/>
      <c r="Q206" s="99"/>
      <c r="R206" s="99"/>
      <c r="S206" s="99"/>
      <c r="T206" s="99"/>
      <c r="U206" s="99"/>
      <c r="V206" s="99"/>
      <c r="W206" s="99"/>
      <c r="X206" s="99"/>
      <c r="Y206" s="233" t="s">
        <v>243</v>
      </c>
      <c r="Z206" s="233" t="s">
        <v>244</v>
      </c>
      <c r="AA206" s="12"/>
      <c r="AB206" s="234" t="s">
        <v>80</v>
      </c>
      <c r="AC206" s="10"/>
      <c r="AD206" s="5"/>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row>
    <row r="207" spans="1:262" s="137" customFormat="1" x14ac:dyDescent="0.3">
      <c r="A207" s="47"/>
      <c r="B207" s="40" t="s">
        <v>238</v>
      </c>
      <c r="C207" s="40"/>
      <c r="D207" s="40"/>
      <c r="E207" s="40"/>
      <c r="F207" s="40"/>
      <c r="G207" s="40"/>
      <c r="H207" s="40"/>
      <c r="I207" s="40"/>
      <c r="J207" s="40"/>
      <c r="K207" s="40"/>
      <c r="L207" s="40"/>
      <c r="M207" s="40"/>
      <c r="N207" s="40"/>
      <c r="O207" s="40"/>
      <c r="P207" s="40"/>
      <c r="Q207" s="40"/>
      <c r="R207" s="40"/>
      <c r="S207" s="40"/>
      <c r="T207" s="40"/>
      <c r="U207" s="40"/>
      <c r="V207" s="40"/>
      <c r="W207" s="40"/>
      <c r="X207" s="40"/>
      <c r="Y207" s="98">
        <f>SUM(F29:R29)*0.16</f>
        <v>124206.40000000001</v>
      </c>
      <c r="Z207" s="70"/>
      <c r="AA207" s="40"/>
      <c r="AB207" s="98"/>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7" customFormat="1" x14ac:dyDescent="0.3">
      <c r="A208" s="47"/>
      <c r="B208" s="40" t="s">
        <v>239</v>
      </c>
      <c r="C208" s="40"/>
      <c r="D208" s="40"/>
      <c r="E208" s="40"/>
      <c r="F208" s="40"/>
      <c r="G208" s="40"/>
      <c r="H208" s="40"/>
      <c r="I208" s="40"/>
      <c r="J208" s="40"/>
      <c r="K208" s="40"/>
      <c r="L208" s="40"/>
      <c r="M208" s="40"/>
      <c r="N208" s="40"/>
      <c r="O208" s="40"/>
      <c r="P208" s="40"/>
      <c r="Q208" s="40"/>
      <c r="R208" s="40"/>
      <c r="S208" s="40"/>
      <c r="T208" s="40"/>
      <c r="U208" s="40"/>
      <c r="V208" s="40"/>
      <c r="W208" s="40"/>
      <c r="X208" s="40"/>
      <c r="Y208" s="98">
        <f>+'September 2021'!Y210</f>
        <v>0</v>
      </c>
      <c r="Z208" s="98">
        <f>+'September 2021'!Z210</f>
        <v>382</v>
      </c>
      <c r="AA208" s="40"/>
      <c r="AB208" s="98">
        <f>Y208+Z208</f>
        <v>382</v>
      </c>
      <c r="AC208" s="43"/>
      <c r="AD208" s="22"/>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row>
    <row r="209" spans="1:262" s="137" customFormat="1" x14ac:dyDescent="0.3">
      <c r="A209" s="47"/>
      <c r="B209" s="40" t="s">
        <v>240</v>
      </c>
      <c r="C209" s="40"/>
      <c r="D209" s="40"/>
      <c r="E209" s="40"/>
      <c r="F209" s="40"/>
      <c r="G209" s="40"/>
      <c r="H209" s="40"/>
      <c r="I209" s="40"/>
      <c r="J209" s="40"/>
      <c r="K209" s="40"/>
      <c r="L209" s="40"/>
      <c r="M209" s="40"/>
      <c r="N209" s="40"/>
      <c r="O209" s="40"/>
      <c r="P209" s="40"/>
      <c r="Q209" s="40"/>
      <c r="R209" s="40"/>
      <c r="S209" s="40"/>
      <c r="T209" s="40"/>
      <c r="U209" s="40"/>
      <c r="V209" s="40"/>
      <c r="W209" s="40"/>
      <c r="X209" s="40"/>
      <c r="Y209" s="97">
        <v>0</v>
      </c>
      <c r="Z209" s="97">
        <v>0</v>
      </c>
      <c r="AA209" s="40"/>
      <c r="AB209" s="98">
        <f>Y209+Z209</f>
        <v>0</v>
      </c>
      <c r="AC209" s="43"/>
      <c r="AD209" s="22"/>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row>
    <row r="210" spans="1:262" s="137" customFormat="1" x14ac:dyDescent="0.3">
      <c r="A210" s="47"/>
      <c r="B210" s="40" t="s">
        <v>241</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Y208+Y209</f>
        <v>0</v>
      </c>
      <c r="Z210" s="98">
        <f>Z209+Z208</f>
        <v>382</v>
      </c>
      <c r="AA210" s="40"/>
      <c r="AB210" s="98">
        <f>Y210+Z210</f>
        <v>382</v>
      </c>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242</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Y207-Y210-Z210</f>
        <v>123824.40000000001</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9" customFormat="1" ht="16.2" thickBot="1" x14ac:dyDescent="0.35">
      <c r="A212" s="138"/>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126"/>
      <c r="AC212" s="10"/>
      <c r="AD212" s="5"/>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row>
    <row r="213" spans="1:262" x14ac:dyDescent="0.3">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134"/>
      <c r="AC213" s="4"/>
      <c r="AD213" s="5"/>
    </row>
    <row r="214" spans="1:262" s="136" customFormat="1" x14ac:dyDescent="0.3">
      <c r="A214" s="7"/>
      <c r="B214" s="125" t="s">
        <v>267</v>
      </c>
      <c r="C214" s="99"/>
      <c r="D214" s="99"/>
      <c r="E214" s="99"/>
      <c r="F214" s="99"/>
      <c r="G214" s="99"/>
      <c r="H214" s="99"/>
      <c r="I214" s="99"/>
      <c r="J214" s="99"/>
      <c r="K214" s="99"/>
      <c r="L214" s="99"/>
      <c r="M214" s="99"/>
      <c r="N214" s="99"/>
      <c r="O214" s="99"/>
      <c r="P214" s="99"/>
      <c r="Q214" s="99"/>
      <c r="R214" s="99"/>
      <c r="S214" s="99"/>
      <c r="T214" s="99"/>
      <c r="U214" s="99"/>
      <c r="V214" s="99"/>
      <c r="W214" s="99"/>
      <c r="X214" s="99"/>
      <c r="Y214" s="233"/>
      <c r="Z214" s="233"/>
      <c r="AA214" s="12"/>
      <c r="AB214" s="234" t="s">
        <v>80</v>
      </c>
      <c r="AC214" s="10"/>
      <c r="AD214" s="5"/>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row>
    <row r="215" spans="1:262" s="137" customFormat="1" x14ac:dyDescent="0.3">
      <c r="A215" s="47"/>
      <c r="B215" s="40" t="s">
        <v>265</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c r="Z215" s="70"/>
      <c r="AA215" s="40"/>
      <c r="AB215" s="237">
        <v>674500</v>
      </c>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7" customFormat="1" x14ac:dyDescent="0.3">
      <c r="A216" s="47"/>
      <c r="B216" s="40" t="s">
        <v>325</v>
      </c>
      <c r="C216" s="40"/>
      <c r="D216" s="40"/>
      <c r="E216" s="40"/>
      <c r="F216" s="40"/>
      <c r="G216" s="40"/>
      <c r="H216" s="40"/>
      <c r="I216" s="40"/>
      <c r="J216" s="40"/>
      <c r="K216" s="40"/>
      <c r="L216" s="40"/>
      <c r="M216" s="40"/>
      <c r="N216" s="40"/>
      <c r="O216" s="40"/>
      <c r="P216" s="40"/>
      <c r="Q216" s="40"/>
      <c r="R216" s="40"/>
      <c r="S216" s="40"/>
      <c r="T216" s="40"/>
      <c r="U216" s="40"/>
      <c r="V216" s="40"/>
      <c r="W216" s="40"/>
      <c r="X216" s="40"/>
      <c r="Y216" s="98"/>
      <c r="Z216" s="98"/>
      <c r="AA216" s="40"/>
      <c r="AB216" s="237">
        <v>679481</v>
      </c>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7" customFormat="1" x14ac:dyDescent="0.3">
      <c r="A217" s="47"/>
      <c r="B217" s="40" t="s">
        <v>266</v>
      </c>
      <c r="C217" s="40"/>
      <c r="D217" s="40"/>
      <c r="E217" s="40"/>
      <c r="F217" s="40"/>
      <c r="G217" s="40"/>
      <c r="H217" s="40"/>
      <c r="I217" s="40"/>
      <c r="J217" s="40"/>
      <c r="K217" s="40"/>
      <c r="L217" s="40"/>
      <c r="M217" s="40"/>
      <c r="N217" s="40"/>
      <c r="O217" s="40"/>
      <c r="P217" s="40"/>
      <c r="Q217" s="40"/>
      <c r="R217" s="40"/>
      <c r="S217" s="40"/>
      <c r="T217" s="40"/>
      <c r="U217" s="40"/>
      <c r="V217" s="40"/>
      <c r="W217" s="40"/>
      <c r="X217" s="40"/>
      <c r="Y217" s="98"/>
      <c r="Z217" s="98"/>
      <c r="AA217" s="40"/>
      <c r="AB217" s="98">
        <f>AB215-AB216</f>
        <v>-4981</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7" customFormat="1" x14ac:dyDescent="0.3">
      <c r="A218" s="47"/>
      <c r="B218" s="40" t="s">
        <v>279</v>
      </c>
      <c r="C218" s="40"/>
      <c r="D218" s="40"/>
      <c r="E218" s="40"/>
      <c r="F218" s="40"/>
      <c r="G218" s="40"/>
      <c r="H218" s="40"/>
      <c r="I218" s="40"/>
      <c r="J218" s="40"/>
      <c r="K218" s="40"/>
      <c r="L218" s="40"/>
      <c r="M218" s="40"/>
      <c r="N218" s="40"/>
      <c r="O218" s="40"/>
      <c r="P218" s="40"/>
      <c r="Q218" s="40"/>
      <c r="R218" s="40"/>
      <c r="S218" s="40"/>
      <c r="T218" s="40"/>
      <c r="U218" s="40"/>
      <c r="V218" s="40"/>
      <c r="W218" s="40"/>
      <c r="X218" s="40"/>
      <c r="Y218" s="97"/>
      <c r="Z218" s="97"/>
      <c r="AA218" s="40"/>
      <c r="AB218" s="240">
        <v>5.1000000000000004E-3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9" customFormat="1" ht="16.2" thickBot="1" x14ac:dyDescent="0.35">
      <c r="A219" s="138"/>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126"/>
      <c r="AC219" s="10"/>
      <c r="AD219" s="5"/>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row>
    <row r="220" spans="1:262" x14ac:dyDescent="0.3">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134"/>
      <c r="AC220" s="4"/>
      <c r="AD220" s="5"/>
    </row>
    <row r="221" spans="1:262" x14ac:dyDescent="0.3">
      <c r="A221" s="7"/>
      <c r="B221" s="125" t="s">
        <v>39</v>
      </c>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140"/>
      <c r="AC221" s="10"/>
      <c r="AD221" s="5"/>
    </row>
    <row r="222" spans="1:262" s="23" customFormat="1" x14ac:dyDescent="0.3">
      <c r="A222" s="47"/>
      <c r="B222" s="40" t="s">
        <v>40</v>
      </c>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142">
        <f>(AB86+AB88+AB89+AB90+AB91)/-AB92</f>
        <v>3.2018056293149231</v>
      </c>
      <c r="AC222" s="43" t="s">
        <v>81</v>
      </c>
      <c r="AD222" s="22"/>
    </row>
    <row r="223" spans="1:262" s="23" customFormat="1" x14ac:dyDescent="0.3">
      <c r="A223" s="47"/>
      <c r="B223" s="40" t="s">
        <v>41</v>
      </c>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142">
        <v>2.95</v>
      </c>
      <c r="AC223" s="43" t="s">
        <v>81</v>
      </c>
      <c r="AD223" s="22"/>
    </row>
    <row r="224" spans="1:262" s="23" customFormat="1" x14ac:dyDescent="0.3">
      <c r="A224" s="47"/>
      <c r="B224" s="40" t="s">
        <v>144</v>
      </c>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141">
        <f>(AB86+AB88+AB89+AB90+AB91+AB92)/-(AB93)</f>
        <v>24.245614035087719</v>
      </c>
      <c r="AC224" s="43" t="s">
        <v>81</v>
      </c>
      <c r="AD224" s="22"/>
    </row>
    <row r="225" spans="1:30" s="23" customFormat="1" x14ac:dyDescent="0.3">
      <c r="A225" s="47"/>
      <c r="B225" s="40" t="s">
        <v>145</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v>22.07</v>
      </c>
      <c r="AC225" s="43" t="s">
        <v>81</v>
      </c>
      <c r="AD225" s="22"/>
    </row>
    <row r="226" spans="1:30" s="23" customFormat="1" x14ac:dyDescent="0.3">
      <c r="A226" s="47"/>
      <c r="B226" s="40" t="s">
        <v>146</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1">
        <f>(AB86+AB88+AB89+AB90+AB91+AB92+AB93)/-(AB95)</f>
        <v>35.810810810810814</v>
      </c>
      <c r="AC226" s="43" t="s">
        <v>81</v>
      </c>
      <c r="AD226" s="22"/>
    </row>
    <row r="227" spans="1:30" s="23" customFormat="1" x14ac:dyDescent="0.3">
      <c r="A227" s="47"/>
      <c r="B227" s="40" t="s">
        <v>147</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32.39</v>
      </c>
      <c r="AC227" s="43" t="s">
        <v>81</v>
      </c>
      <c r="AD227" s="22"/>
    </row>
    <row r="228" spans="1:30" s="23" customFormat="1" x14ac:dyDescent="0.3">
      <c r="A228" s="47"/>
      <c r="B228" s="40" t="s">
        <v>177</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(AB86+AB88+AB89+AB90+AB91+AB92+AB93+AB95)/-(AB96)</f>
        <v>30.1875</v>
      </c>
      <c r="AC228" s="43" t="s">
        <v>81</v>
      </c>
      <c r="AD228" s="22"/>
    </row>
    <row r="229" spans="1:30" s="23" customFormat="1" x14ac:dyDescent="0.3">
      <c r="A229" s="47"/>
      <c r="B229" s="40" t="s">
        <v>178</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27.01</v>
      </c>
      <c r="AC229" s="43" t="s">
        <v>81</v>
      </c>
      <c r="AD229" s="22"/>
    </row>
    <row r="230" spans="1:30" s="23" customFormat="1" x14ac:dyDescent="0.3">
      <c r="A230" s="47"/>
      <c r="B230" s="40" t="s">
        <v>164</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(AB86+AB88+AB89+AB90+AB91+AB92+AB93+AB95+AB96)/-(AB105)</f>
        <v>18.403940886699509</v>
      </c>
      <c r="AC230" s="43" t="s">
        <v>81</v>
      </c>
      <c r="AD230" s="22"/>
    </row>
    <row r="231" spans="1:30" s="23" customFormat="1" x14ac:dyDescent="0.3">
      <c r="A231" s="47"/>
      <c r="B231" s="40" t="s">
        <v>165</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16.41</v>
      </c>
      <c r="AC231" s="43" t="s">
        <v>81</v>
      </c>
      <c r="AD231" s="22"/>
    </row>
    <row r="232" spans="1:30" s="23" customFormat="1" x14ac:dyDescent="0.3">
      <c r="A232" s="18"/>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21"/>
      <c r="AD232" s="22"/>
    </row>
    <row r="233" spans="1:30" s="23" customFormat="1" x14ac:dyDescent="0.3">
      <c r="A233" s="18"/>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1"/>
      <c r="AD233" s="22"/>
    </row>
    <row r="234" spans="1:30" s="23" customFormat="1" ht="18.600000000000001" thickBot="1" x14ac:dyDescent="0.4">
      <c r="A234" s="83"/>
      <c r="B234" s="84" t="str">
        <f>B131</f>
        <v>PM27 INVESTOR REPORT QUARTER ENDING DECEMBER 2021</v>
      </c>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7"/>
      <c r="AD234" s="22"/>
    </row>
    <row r="235" spans="1:30" x14ac:dyDescent="0.3">
      <c r="A235" s="119"/>
      <c r="B235" s="120" t="s">
        <v>42</v>
      </c>
      <c r="C235" s="143"/>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v>44561</v>
      </c>
      <c r="AA235" s="121"/>
      <c r="AB235" s="121"/>
      <c r="AC235" s="123"/>
      <c r="AD235" s="5"/>
    </row>
    <row r="236" spans="1:30" x14ac:dyDescent="0.3">
      <c r="A236" s="145"/>
      <c r="B236" s="146"/>
      <c r="C236" s="147"/>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9"/>
      <c r="AB236" s="9"/>
      <c r="AC236" s="10"/>
      <c r="AD236" s="5"/>
    </row>
    <row r="237" spans="1:30" s="23" customFormat="1" x14ac:dyDescent="0.3">
      <c r="A237" s="47"/>
      <c r="B237" s="40" t="s">
        <v>43</v>
      </c>
      <c r="C237" s="149"/>
      <c r="D237" s="73"/>
      <c r="E237" s="73"/>
      <c r="F237" s="73"/>
      <c r="G237" s="73"/>
      <c r="H237" s="73"/>
      <c r="I237" s="73"/>
      <c r="J237" s="73"/>
      <c r="K237" s="73"/>
      <c r="L237" s="73"/>
      <c r="M237" s="73"/>
      <c r="N237" s="73"/>
      <c r="O237" s="73"/>
      <c r="P237" s="73"/>
      <c r="Q237" s="73"/>
      <c r="R237" s="73"/>
      <c r="S237" s="73"/>
      <c r="T237" s="73"/>
      <c r="U237" s="73"/>
      <c r="V237" s="73"/>
      <c r="W237" s="73"/>
      <c r="X237" s="73"/>
      <c r="Y237" s="73"/>
      <c r="Z237" s="67">
        <v>3.5749999999999997E-2</v>
      </c>
      <c r="AA237" s="40"/>
      <c r="AB237" s="40"/>
      <c r="AC237" s="43"/>
      <c r="AD237" s="22"/>
    </row>
    <row r="238" spans="1:30" s="23" customFormat="1" x14ac:dyDescent="0.3">
      <c r="A238" s="47"/>
      <c r="B238" s="40" t="s">
        <v>132</v>
      </c>
      <c r="C238" s="149"/>
      <c r="D238" s="73"/>
      <c r="E238" s="73"/>
      <c r="F238" s="73"/>
      <c r="G238" s="73"/>
      <c r="H238" s="73"/>
      <c r="I238" s="73"/>
      <c r="J238" s="73"/>
      <c r="K238" s="73"/>
      <c r="L238" s="73"/>
      <c r="M238" s="73"/>
      <c r="N238" s="73"/>
      <c r="O238" s="73"/>
      <c r="P238" s="73"/>
      <c r="Q238" s="73"/>
      <c r="R238" s="73"/>
      <c r="S238" s="73"/>
      <c r="T238" s="73"/>
      <c r="U238" s="73"/>
      <c r="V238" s="73"/>
      <c r="W238" s="73"/>
      <c r="X238" s="73"/>
      <c r="Y238" s="73"/>
      <c r="Z238" s="67">
        <v>1.3036129402559968E-2</v>
      </c>
      <c r="AA238" s="40"/>
      <c r="AB238" s="40"/>
      <c r="AC238" s="43"/>
      <c r="AD238" s="22"/>
    </row>
    <row r="239" spans="1:30" s="23" customFormat="1" x14ac:dyDescent="0.3">
      <c r="A239" s="47"/>
      <c r="B239" s="40" t="s">
        <v>44</v>
      </c>
      <c r="C239" s="149"/>
      <c r="D239" s="73"/>
      <c r="E239" s="73"/>
      <c r="F239" s="73"/>
      <c r="G239" s="73"/>
      <c r="H239" s="73"/>
      <c r="I239" s="73"/>
      <c r="J239" s="73"/>
      <c r="K239" s="73"/>
      <c r="L239" s="73"/>
      <c r="M239" s="73"/>
      <c r="N239" s="73"/>
      <c r="O239" s="73"/>
      <c r="P239" s="73"/>
      <c r="Q239" s="73"/>
      <c r="R239" s="73"/>
      <c r="S239" s="73"/>
      <c r="T239" s="73"/>
      <c r="U239" s="73"/>
      <c r="V239" s="73"/>
      <c r="W239" s="73"/>
      <c r="X239" s="73"/>
      <c r="Y239" s="73"/>
      <c r="Z239" s="67">
        <f>Z237-Z238</f>
        <v>2.2713870597440029E-2</v>
      </c>
      <c r="AA239" s="40"/>
      <c r="AB239" s="40"/>
      <c r="AC239" s="43"/>
      <c r="AD239" s="22"/>
    </row>
    <row r="240" spans="1:30" s="23" customFormat="1" x14ac:dyDescent="0.3">
      <c r="A240" s="47"/>
      <c r="B240" s="40" t="s">
        <v>45</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3.6720000000000003E-2</v>
      </c>
      <c r="AA240" s="40"/>
      <c r="AB240" s="40"/>
      <c r="AC240" s="43"/>
      <c r="AD240" s="22"/>
    </row>
    <row r="241" spans="1:30" s="23" customFormat="1" x14ac:dyDescent="0.3">
      <c r="A241" s="47"/>
      <c r="B241" s="40" t="s">
        <v>133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f>+AB35</f>
        <v>1.3301233164986347E-2</v>
      </c>
      <c r="AA241" s="40"/>
      <c r="AB241" s="40"/>
      <c r="AC241" s="43"/>
      <c r="AD241" s="22"/>
    </row>
    <row r="242" spans="1:30" s="23" customFormat="1" x14ac:dyDescent="0.3">
      <c r="A242" s="47"/>
      <c r="B242" s="40" t="s">
        <v>46</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2.3418766835013656E-2</v>
      </c>
      <c r="AA242" s="40"/>
      <c r="AB242" s="40"/>
      <c r="AC242" s="43"/>
      <c r="AD242" s="22"/>
    </row>
    <row r="243" spans="1:30" s="23" customFormat="1" x14ac:dyDescent="0.3">
      <c r="A243" s="47"/>
      <c r="B243" s="40" t="s">
        <v>119</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(+AB86+AB88)/R66</f>
        <v>9.7778168182841331E-3</v>
      </c>
      <c r="AA243" s="40"/>
      <c r="AB243" s="40"/>
      <c r="AC243" s="43"/>
      <c r="AD243" s="22"/>
    </row>
    <row r="244" spans="1:30" s="23" customFormat="1" x14ac:dyDescent="0.3">
      <c r="A244" s="47"/>
      <c r="B244" s="40" t="s">
        <v>112</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150">
        <v>53797</v>
      </c>
      <c r="AA244" s="40"/>
      <c r="AB244" s="40"/>
      <c r="AC244" s="43"/>
      <c r="AD244" s="22"/>
    </row>
    <row r="245" spans="1:30" s="23" customFormat="1" x14ac:dyDescent="0.3">
      <c r="A245" s="47"/>
      <c r="B245" s="40" t="s">
        <v>148</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150">
        <v>53797</v>
      </c>
      <c r="AA245" s="40"/>
      <c r="AB245" s="40"/>
      <c r="AC245" s="43"/>
      <c r="AD245" s="22"/>
    </row>
    <row r="246" spans="1:30" s="23" customFormat="1" x14ac:dyDescent="0.3">
      <c r="A246" s="47"/>
      <c r="B246" s="40" t="s">
        <v>149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150">
        <v>53797</v>
      </c>
      <c r="AA246" s="40"/>
      <c r="AB246" s="40"/>
      <c r="AC246" s="43"/>
      <c r="AD246" s="22"/>
    </row>
    <row r="247" spans="1:30" s="23" customFormat="1" x14ac:dyDescent="0.3">
      <c r="A247" s="47"/>
      <c r="B247" s="40" t="s">
        <v>179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53797</v>
      </c>
      <c r="AA247" s="40"/>
      <c r="AB247" s="40"/>
      <c r="AC247" s="43"/>
      <c r="AD247" s="22"/>
    </row>
    <row r="248" spans="1:30" s="23" customFormat="1" x14ac:dyDescent="0.3">
      <c r="A248" s="47"/>
      <c r="B248" s="40" t="s">
        <v>166</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53797</v>
      </c>
      <c r="AA248" s="40"/>
      <c r="AB248" s="40"/>
      <c r="AC248" s="43"/>
      <c r="AD248" s="22"/>
    </row>
    <row r="249" spans="1:30" s="23" customFormat="1" x14ac:dyDescent="0.3">
      <c r="A249" s="47"/>
      <c r="B249" s="40" t="s">
        <v>194</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53797</v>
      </c>
      <c r="AA249" s="40"/>
      <c r="AB249" s="40"/>
      <c r="AC249" s="43"/>
      <c r="AD249" s="22"/>
    </row>
    <row r="250" spans="1:30" s="23" customFormat="1" x14ac:dyDescent="0.3">
      <c r="A250" s="47"/>
      <c r="B250" s="40" t="s">
        <v>195</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53797</v>
      </c>
      <c r="AA250" s="40"/>
      <c r="AB250" s="40"/>
      <c r="AC250" s="43"/>
      <c r="AD250" s="22"/>
    </row>
    <row r="251" spans="1:30" s="23" customFormat="1" x14ac:dyDescent="0.3">
      <c r="A251" s="47"/>
      <c r="B251" s="40" t="s">
        <v>47</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71">
        <v>21.18</v>
      </c>
      <c r="AA251" s="40" t="s">
        <v>76</v>
      </c>
      <c r="AB251" s="40"/>
      <c r="AC251" s="43"/>
      <c r="AD251" s="22"/>
    </row>
    <row r="252" spans="1:30" s="23" customFormat="1" x14ac:dyDescent="0.3">
      <c r="A252" s="47"/>
      <c r="B252" s="40" t="s">
        <v>48</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71">
        <v>19.59</v>
      </c>
      <c r="AA252" s="40" t="s">
        <v>76</v>
      </c>
      <c r="AB252" s="40"/>
      <c r="AC252" s="43"/>
      <c r="AD252" s="22"/>
    </row>
    <row r="253" spans="1:30" s="23" customFormat="1" x14ac:dyDescent="0.3">
      <c r="A253" s="47"/>
      <c r="B253" s="40" t="s">
        <v>49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67">
        <f>(+T57+V57+Z57)/(R57+R63+R64)</f>
        <v>2.4197488841430272E-2</v>
      </c>
      <c r="AA253" s="40"/>
      <c r="AB253" s="40"/>
      <c r="AC253" s="43"/>
      <c r="AD253" s="22"/>
    </row>
    <row r="254" spans="1:30" s="23" customFormat="1" x14ac:dyDescent="0.3">
      <c r="A254" s="47"/>
      <c r="B254" s="40" t="s">
        <v>50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67">
        <v>3.85E-2</v>
      </c>
      <c r="AA254" s="40"/>
      <c r="AB254" s="40"/>
      <c r="AC254" s="43"/>
      <c r="AD254" s="22"/>
    </row>
    <row r="255" spans="1:30" x14ac:dyDescent="0.3">
      <c r="A255" s="145"/>
      <c r="B255" s="151"/>
      <c r="C255" s="151"/>
      <c r="D255" s="99"/>
      <c r="E255" s="99"/>
      <c r="F255" s="99"/>
      <c r="G255" s="99"/>
      <c r="H255" s="99"/>
      <c r="I255" s="99"/>
      <c r="J255" s="99"/>
      <c r="K255" s="99"/>
      <c r="L255" s="99"/>
      <c r="M255" s="99"/>
      <c r="N255" s="99"/>
      <c r="O255" s="99"/>
      <c r="P255" s="99"/>
      <c r="Q255" s="99"/>
      <c r="R255" s="99"/>
      <c r="S255" s="99"/>
      <c r="T255" s="99"/>
      <c r="U255" s="99"/>
      <c r="V255" s="99"/>
      <c r="W255" s="99"/>
      <c r="X255" s="99"/>
      <c r="Y255" s="99"/>
      <c r="Z255" s="126"/>
      <c r="AA255" s="99"/>
      <c r="AB255" s="152"/>
      <c r="AC255" s="10"/>
      <c r="AD255" s="5"/>
    </row>
    <row r="256" spans="1:30" x14ac:dyDescent="0.3">
      <c r="A256" s="153"/>
      <c r="B256" s="102" t="s">
        <v>51</v>
      </c>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t="s">
        <v>69</v>
      </c>
      <c r="Z256" s="154" t="s">
        <v>74</v>
      </c>
      <c r="AA256" s="34"/>
      <c r="AB256" s="34"/>
      <c r="AC256" s="36"/>
      <c r="AD256" s="5"/>
    </row>
    <row r="257" spans="1:30" s="23" customFormat="1" x14ac:dyDescent="0.3">
      <c r="A257" s="155"/>
      <c r="B257" s="37" t="s">
        <v>52</v>
      </c>
      <c r="C257" s="10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v>0</v>
      </c>
      <c r="Z257" s="157">
        <v>0</v>
      </c>
      <c r="AA257" s="37"/>
      <c r="AB257" s="158"/>
      <c r="AC257" s="159"/>
      <c r="AD257" s="22"/>
    </row>
    <row r="258" spans="1:30" s="23" customFormat="1" x14ac:dyDescent="0.3">
      <c r="A258" s="160"/>
      <c r="B258" s="40" t="s">
        <v>97</v>
      </c>
      <c r="C258" s="97"/>
      <c r="D258" s="48"/>
      <c r="E258" s="48"/>
      <c r="F258" s="48"/>
      <c r="G258" s="48"/>
      <c r="H258" s="48"/>
      <c r="I258" s="48"/>
      <c r="J258" s="48"/>
      <c r="K258" s="48"/>
      <c r="L258" s="48"/>
      <c r="M258" s="48"/>
      <c r="N258" s="48"/>
      <c r="O258" s="48"/>
      <c r="P258" s="48"/>
      <c r="Q258" s="48"/>
      <c r="R258" s="48"/>
      <c r="S258" s="48"/>
      <c r="T258" s="48"/>
      <c r="U258" s="48"/>
      <c r="V258" s="48"/>
      <c r="W258" s="48"/>
      <c r="X258" s="48"/>
      <c r="Y258" s="161">
        <f>+X310</f>
        <v>0</v>
      </c>
      <c r="Z258" s="162">
        <f>+Z310</f>
        <v>0</v>
      </c>
      <c r="AA258" s="40"/>
      <c r="AB258" s="163"/>
      <c r="AC258" s="164"/>
      <c r="AD258" s="22"/>
    </row>
    <row r="259" spans="1:30" s="23" customFormat="1" x14ac:dyDescent="0.3">
      <c r="A259" s="160"/>
      <c r="B259" s="40" t="s">
        <v>53</v>
      </c>
      <c r="C259" s="97"/>
      <c r="D259" s="48"/>
      <c r="E259" s="48"/>
      <c r="F259" s="48"/>
      <c r="G259" s="48"/>
      <c r="H259" s="48"/>
      <c r="I259" s="48"/>
      <c r="J259" s="48"/>
      <c r="K259" s="48"/>
      <c r="L259" s="48"/>
      <c r="M259" s="48"/>
      <c r="N259" s="48"/>
      <c r="O259" s="48"/>
      <c r="P259" s="48"/>
      <c r="Q259" s="48"/>
      <c r="R259" s="48"/>
      <c r="S259" s="48"/>
      <c r="T259" s="48"/>
      <c r="U259" s="48"/>
      <c r="V259" s="48"/>
      <c r="W259" s="48"/>
      <c r="X259" s="48"/>
      <c r="Y259" s="161">
        <f>+X332</f>
        <v>0</v>
      </c>
      <c r="Z259" s="162">
        <f>+Z332</f>
        <v>0</v>
      </c>
      <c r="AA259" s="40"/>
      <c r="AB259" s="163"/>
      <c r="AC259" s="164"/>
      <c r="AD259" s="22"/>
    </row>
    <row r="260" spans="1:30" x14ac:dyDescent="0.3">
      <c r="A260" s="165"/>
      <c r="B260" s="166" t="s">
        <v>167</v>
      </c>
      <c r="C260" s="167"/>
      <c r="D260" s="59"/>
      <c r="E260" s="59"/>
      <c r="F260" s="59"/>
      <c r="G260" s="59"/>
      <c r="H260" s="59"/>
      <c r="I260" s="59"/>
      <c r="J260" s="59"/>
      <c r="K260" s="59"/>
      <c r="L260" s="59"/>
      <c r="M260" s="59"/>
      <c r="N260" s="59"/>
      <c r="O260" s="59"/>
      <c r="P260" s="59"/>
      <c r="Q260" s="59"/>
      <c r="R260" s="59"/>
      <c r="S260" s="59"/>
      <c r="T260" s="59"/>
      <c r="U260" s="59"/>
      <c r="V260" s="59"/>
      <c r="W260" s="59"/>
      <c r="X260" s="59"/>
      <c r="Y260" s="112"/>
      <c r="Z260" s="162">
        <f>Z57</f>
        <v>0</v>
      </c>
      <c r="AA260" s="59"/>
      <c r="AB260" s="168"/>
      <c r="AC260" s="169"/>
      <c r="AD260" s="5"/>
    </row>
    <row r="261" spans="1:30" x14ac:dyDescent="0.3">
      <c r="A261" s="165"/>
      <c r="B261" s="166" t="s">
        <v>261</v>
      </c>
      <c r="C261" s="167"/>
      <c r="D261" s="59"/>
      <c r="E261" s="59"/>
      <c r="F261" s="59"/>
      <c r="G261" s="59"/>
      <c r="H261" s="59"/>
      <c r="I261" s="59"/>
      <c r="J261" s="59"/>
      <c r="K261" s="59"/>
      <c r="L261" s="59"/>
      <c r="M261" s="59"/>
      <c r="N261" s="59"/>
      <c r="O261" s="59"/>
      <c r="P261" s="59"/>
      <c r="Q261" s="59"/>
      <c r="R261" s="59"/>
      <c r="S261" s="59"/>
      <c r="T261" s="59"/>
      <c r="U261" s="59"/>
      <c r="V261" s="59"/>
      <c r="W261" s="59"/>
      <c r="X261" s="59"/>
      <c r="Y261" s="112"/>
      <c r="Z261" s="162">
        <f>-T63</f>
        <v>0</v>
      </c>
      <c r="AA261" s="59"/>
      <c r="AB261" s="168"/>
      <c r="AC261" s="169"/>
      <c r="AD261" s="5"/>
    </row>
    <row r="262" spans="1:30" x14ac:dyDescent="0.3">
      <c r="A262" s="170"/>
      <c r="B262" s="166" t="s">
        <v>54</v>
      </c>
      <c r="C262" s="171"/>
      <c r="D262" s="59"/>
      <c r="E262" s="59"/>
      <c r="F262" s="59"/>
      <c r="G262" s="59"/>
      <c r="H262" s="59"/>
      <c r="I262" s="59"/>
      <c r="J262" s="59"/>
      <c r="K262" s="59"/>
      <c r="L262" s="59"/>
      <c r="M262" s="59"/>
      <c r="N262" s="59"/>
      <c r="O262" s="59"/>
      <c r="P262" s="59"/>
      <c r="Q262" s="59"/>
      <c r="R262" s="59"/>
      <c r="S262" s="59"/>
      <c r="T262" s="59"/>
      <c r="U262" s="59"/>
      <c r="V262" s="59"/>
      <c r="W262" s="59"/>
      <c r="X262" s="59"/>
      <c r="Y262" s="112"/>
      <c r="Z262" s="172"/>
      <c r="AA262" s="59"/>
      <c r="AB262" s="168"/>
      <c r="AC262" s="173"/>
      <c r="AD262" s="5"/>
    </row>
    <row r="263" spans="1:30" s="23" customFormat="1" x14ac:dyDescent="0.3">
      <c r="A263" s="174"/>
      <c r="B263" s="40" t="s">
        <v>55</v>
      </c>
      <c r="C263" s="40"/>
      <c r="D263" s="40"/>
      <c r="E263" s="40"/>
      <c r="F263" s="40"/>
      <c r="G263" s="40"/>
      <c r="H263" s="40"/>
      <c r="I263" s="40"/>
      <c r="J263" s="40"/>
      <c r="K263" s="40"/>
      <c r="L263" s="40"/>
      <c r="M263" s="40"/>
      <c r="N263" s="40"/>
      <c r="O263" s="40"/>
      <c r="P263" s="40"/>
      <c r="Q263" s="40"/>
      <c r="R263" s="40"/>
      <c r="S263" s="40"/>
      <c r="T263" s="40"/>
      <c r="U263" s="40"/>
      <c r="V263" s="40"/>
      <c r="W263" s="40"/>
      <c r="X263" s="40"/>
      <c r="Y263" s="48"/>
      <c r="Z263" s="162">
        <f>AB166</f>
        <v>3</v>
      </c>
      <c r="AA263" s="40"/>
      <c r="AB263" s="163"/>
      <c r="AC263" s="175"/>
      <c r="AD263" s="22"/>
    </row>
    <row r="264" spans="1:30" s="23" customFormat="1" x14ac:dyDescent="0.3">
      <c r="A264" s="160"/>
      <c r="B264" s="40" t="s">
        <v>56</v>
      </c>
      <c r="C264" s="97"/>
      <c r="D264" s="40"/>
      <c r="E264" s="40"/>
      <c r="F264" s="40"/>
      <c r="G264" s="40"/>
      <c r="H264" s="40"/>
      <c r="I264" s="40"/>
      <c r="J264" s="40"/>
      <c r="K264" s="40"/>
      <c r="L264" s="40"/>
      <c r="M264" s="40"/>
      <c r="N264" s="40"/>
      <c r="O264" s="40"/>
      <c r="P264" s="40"/>
      <c r="Q264" s="40"/>
      <c r="R264" s="40"/>
      <c r="S264" s="40"/>
      <c r="T264" s="40"/>
      <c r="U264" s="40"/>
      <c r="V264" s="40"/>
      <c r="W264" s="40"/>
      <c r="X264" s="40"/>
      <c r="Y264" s="48"/>
      <c r="Z264" s="162">
        <f>Z263+'September 2021'!Z264</f>
        <v>3</v>
      </c>
      <c r="AA264" s="40"/>
      <c r="AB264" s="163"/>
      <c r="AC264" s="175"/>
      <c r="AD264" s="22"/>
    </row>
    <row r="265" spans="1:30" x14ac:dyDescent="0.3">
      <c r="A265" s="170"/>
      <c r="B265" s="166" t="s">
        <v>125</v>
      </c>
      <c r="C265" s="171"/>
      <c r="D265" s="59"/>
      <c r="E265" s="59"/>
      <c r="F265" s="59"/>
      <c r="G265" s="59"/>
      <c r="H265" s="59"/>
      <c r="I265" s="59"/>
      <c r="J265" s="59"/>
      <c r="K265" s="59"/>
      <c r="L265" s="59"/>
      <c r="M265" s="59"/>
      <c r="N265" s="59"/>
      <c r="O265" s="59"/>
      <c r="P265" s="59"/>
      <c r="Q265" s="59"/>
      <c r="R265" s="59"/>
      <c r="S265" s="59"/>
      <c r="T265" s="59"/>
      <c r="U265" s="59"/>
      <c r="V265" s="59"/>
      <c r="W265" s="59"/>
      <c r="X265" s="59"/>
      <c r="Y265" s="176"/>
      <c r="Z265" s="172"/>
      <c r="AA265" s="59"/>
      <c r="AB265" s="168"/>
      <c r="AC265" s="173"/>
      <c r="AD265" s="5"/>
    </row>
    <row r="266" spans="1:30" s="23" customFormat="1" x14ac:dyDescent="0.3">
      <c r="A266" s="174"/>
      <c r="B266" s="40" t="s">
        <v>134</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v>0</v>
      </c>
      <c r="Z266" s="162">
        <v>0</v>
      </c>
      <c r="AA266" s="40"/>
      <c r="AB266" s="163"/>
      <c r="AC266" s="175"/>
      <c r="AD266" s="22"/>
    </row>
    <row r="267" spans="1:30" s="23" customFormat="1" x14ac:dyDescent="0.3">
      <c r="A267" s="160"/>
      <c r="B267" s="40" t="s">
        <v>57</v>
      </c>
      <c r="C267" s="70"/>
      <c r="D267" s="40"/>
      <c r="E267" s="40"/>
      <c r="F267" s="40"/>
      <c r="G267" s="40"/>
      <c r="H267" s="40"/>
      <c r="I267" s="40"/>
      <c r="J267" s="40"/>
      <c r="K267" s="40"/>
      <c r="L267" s="40"/>
      <c r="M267" s="40"/>
      <c r="N267" s="40"/>
      <c r="O267" s="40"/>
      <c r="P267" s="40"/>
      <c r="Q267" s="40"/>
      <c r="R267" s="40"/>
      <c r="S267" s="40"/>
      <c r="T267" s="40"/>
      <c r="U267" s="40"/>
      <c r="V267" s="40"/>
      <c r="W267" s="40"/>
      <c r="X267" s="40"/>
      <c r="Y267" s="40"/>
      <c r="Z267" s="177">
        <v>0</v>
      </c>
      <c r="AA267" s="40"/>
      <c r="AB267" s="163"/>
      <c r="AC267" s="175"/>
      <c r="AD267" s="22"/>
    </row>
    <row r="268" spans="1:30" s="23" customFormat="1" x14ac:dyDescent="0.3">
      <c r="A268" s="160"/>
      <c r="B268" s="40" t="s">
        <v>58</v>
      </c>
      <c r="C268" s="70"/>
      <c r="D268" s="40"/>
      <c r="E268" s="40"/>
      <c r="F268" s="40"/>
      <c r="G268" s="40"/>
      <c r="H268" s="40"/>
      <c r="I268" s="40"/>
      <c r="J268" s="40"/>
      <c r="K268" s="40"/>
      <c r="L268" s="40"/>
      <c r="M268" s="40"/>
      <c r="N268" s="40"/>
      <c r="O268" s="40"/>
      <c r="P268" s="40"/>
      <c r="Q268" s="40"/>
      <c r="R268" s="40"/>
      <c r="S268" s="40"/>
      <c r="T268" s="40"/>
      <c r="U268" s="40"/>
      <c r="V268" s="40"/>
      <c r="W268" s="40"/>
      <c r="X268" s="40"/>
      <c r="Y268" s="40"/>
      <c r="Z268" s="177">
        <v>0</v>
      </c>
      <c r="AA268" s="40"/>
      <c r="AB268" s="163"/>
      <c r="AC268" s="175"/>
      <c r="AD268" s="22"/>
    </row>
    <row r="269" spans="1:30" x14ac:dyDescent="0.3">
      <c r="A269" s="165"/>
      <c r="B269" s="166" t="s">
        <v>116</v>
      </c>
      <c r="C269" s="178"/>
      <c r="D269" s="59"/>
      <c r="E269" s="59"/>
      <c r="F269" s="59"/>
      <c r="G269" s="59"/>
      <c r="H269" s="59"/>
      <c r="I269" s="59"/>
      <c r="J269" s="59"/>
      <c r="K269" s="59"/>
      <c r="L269" s="59"/>
      <c r="M269" s="59"/>
      <c r="N269" s="59"/>
      <c r="O269" s="59"/>
      <c r="P269" s="59"/>
      <c r="Q269" s="59"/>
      <c r="R269" s="59"/>
      <c r="S269" s="59"/>
      <c r="T269" s="59"/>
      <c r="U269" s="59"/>
      <c r="V269" s="59"/>
      <c r="W269" s="59"/>
      <c r="X269" s="59"/>
      <c r="Y269" s="112"/>
      <c r="Z269" s="179"/>
      <c r="AA269" s="59"/>
      <c r="AB269" s="168"/>
      <c r="AC269" s="173"/>
      <c r="AD269" s="5"/>
    </row>
    <row r="270" spans="1:30" s="23" customFormat="1" x14ac:dyDescent="0.3">
      <c r="A270" s="160"/>
      <c r="B270" s="40" t="s">
        <v>134</v>
      </c>
      <c r="C270" s="7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0" s="23" customFormat="1" x14ac:dyDescent="0.3">
      <c r="A271" s="160"/>
      <c r="B271" s="40" t="s">
        <v>117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71"/>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x14ac:dyDescent="0.3">
      <c r="A273" s="165"/>
      <c r="B273" s="171"/>
      <c r="C273" s="178"/>
      <c r="D273" s="59"/>
      <c r="E273" s="59"/>
      <c r="F273" s="59"/>
      <c r="G273" s="59"/>
      <c r="H273" s="59"/>
      <c r="I273" s="59"/>
      <c r="J273" s="59"/>
      <c r="K273" s="59"/>
      <c r="L273" s="59"/>
      <c r="M273" s="59"/>
      <c r="N273" s="59"/>
      <c r="O273" s="59"/>
      <c r="P273" s="59"/>
      <c r="Q273" s="59"/>
      <c r="R273" s="59"/>
      <c r="S273" s="59"/>
      <c r="T273" s="59"/>
      <c r="U273" s="59"/>
      <c r="V273" s="59"/>
      <c r="W273" s="59"/>
      <c r="X273" s="59"/>
      <c r="Y273" s="59"/>
      <c r="Z273" s="180"/>
      <c r="AA273" s="59"/>
      <c r="AB273" s="168"/>
      <c r="AC273" s="173"/>
      <c r="AD273" s="5"/>
    </row>
    <row r="274" spans="1:30" ht="18" x14ac:dyDescent="0.35">
      <c r="A274" s="165"/>
      <c r="B274" s="181" t="s">
        <v>109</v>
      </c>
      <c r="C274" s="178"/>
      <c r="D274" s="59"/>
      <c r="E274" s="59"/>
      <c r="F274" s="59"/>
      <c r="G274" s="59"/>
      <c r="H274" s="59"/>
      <c r="I274" s="59"/>
      <c r="J274" s="59"/>
      <c r="K274" s="59"/>
      <c r="L274" s="182"/>
      <c r="M274" s="182"/>
      <c r="N274" s="182"/>
      <c r="O274" s="182"/>
      <c r="P274" s="261" t="s">
        <v>168</v>
      </c>
      <c r="Q274" s="182"/>
      <c r="R274" s="182"/>
      <c r="S274" s="182"/>
      <c r="T274" s="182"/>
      <c r="U274" s="182"/>
      <c r="V274" s="182"/>
      <c r="W274" s="59"/>
      <c r="X274" s="183"/>
      <c r="Y274" s="182"/>
      <c r="Z274" s="180"/>
      <c r="AA274" s="59"/>
      <c r="AB274" s="168"/>
      <c r="AC274" s="173"/>
      <c r="AD274" s="5"/>
    </row>
    <row r="275" spans="1:30" ht="18" x14ac:dyDescent="0.35">
      <c r="A275" s="184"/>
      <c r="B275" s="185"/>
      <c r="C275" s="186"/>
      <c r="D275" s="99"/>
      <c r="E275" s="99"/>
      <c r="F275" s="99"/>
      <c r="G275" s="99"/>
      <c r="H275" s="99"/>
      <c r="I275" s="99"/>
      <c r="J275" s="99"/>
      <c r="K275" s="99"/>
      <c r="L275" s="187"/>
      <c r="M275" s="187"/>
      <c r="N275" s="187"/>
      <c r="O275" s="187"/>
      <c r="P275" s="187"/>
      <c r="Q275" s="187"/>
      <c r="R275" s="187"/>
      <c r="S275" s="187"/>
      <c r="T275" s="187"/>
      <c r="U275" s="187"/>
      <c r="V275" s="187"/>
      <c r="W275" s="99"/>
      <c r="X275" s="99"/>
      <c r="Y275" s="99"/>
      <c r="Z275" s="188"/>
      <c r="AA275" s="99"/>
      <c r="AB275" s="152"/>
      <c r="AC275" s="189"/>
      <c r="AD275" s="5"/>
    </row>
    <row r="276" spans="1:30" x14ac:dyDescent="0.3">
      <c r="A276" s="33"/>
      <c r="B276" s="102" t="s">
        <v>126</v>
      </c>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54" t="s">
        <v>69</v>
      </c>
      <c r="Y276" s="103" t="s">
        <v>70</v>
      </c>
      <c r="Z276" s="154" t="s">
        <v>75</v>
      </c>
      <c r="AA276" s="103" t="s">
        <v>70</v>
      </c>
      <c r="AB276" s="34"/>
      <c r="AC276" s="190"/>
      <c r="AD276" s="5"/>
    </row>
    <row r="277" spans="1:30" s="23" customFormat="1" x14ac:dyDescent="0.3">
      <c r="A277" s="18"/>
      <c r="B277" s="106" t="s">
        <v>59</v>
      </c>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06">
        <f t="shared" ref="X277:X284" si="0">+X289+X301+X323</f>
        <v>3826</v>
      </c>
      <c r="Y277" s="192">
        <f>X277/$X$286</f>
        <v>1</v>
      </c>
      <c r="Z277" s="107">
        <f t="shared" ref="Z277:Z284" si="1">+Z289+Z301+Z323</f>
        <v>710743</v>
      </c>
      <c r="AA277" s="192">
        <f>Z277/$Z$286</f>
        <v>1</v>
      </c>
      <c r="AB277" s="158"/>
      <c r="AC277" s="193"/>
      <c r="AD277" s="22"/>
    </row>
    <row r="278" spans="1:30" s="23" customFormat="1" x14ac:dyDescent="0.3">
      <c r="A278" s="47"/>
      <c r="B278" s="97" t="s">
        <v>60</v>
      </c>
      <c r="C278" s="194"/>
      <c r="D278" s="194"/>
      <c r="E278" s="194"/>
      <c r="F278" s="194"/>
      <c r="G278" s="194"/>
      <c r="H278" s="194"/>
      <c r="I278" s="194"/>
      <c r="J278" s="194"/>
      <c r="K278" s="194"/>
      <c r="L278" s="194"/>
      <c r="M278" s="194"/>
      <c r="N278" s="194"/>
      <c r="O278" s="194"/>
      <c r="P278" s="194"/>
      <c r="Q278" s="194"/>
      <c r="R278" s="194"/>
      <c r="S278" s="194"/>
      <c r="T278" s="194"/>
      <c r="U278" s="194"/>
      <c r="V278" s="194"/>
      <c r="W278" s="194"/>
      <c r="X278" s="195">
        <f t="shared" si="0"/>
        <v>0</v>
      </c>
      <c r="Y278" s="196">
        <f t="shared" ref="Y278:Y284" si="2">X278/$X$286</f>
        <v>0</v>
      </c>
      <c r="Z278" s="197">
        <f t="shared" si="1"/>
        <v>0</v>
      </c>
      <c r="AA278" s="198">
        <f>Z278/$Z$286</f>
        <v>0</v>
      </c>
      <c r="AB278" s="163"/>
      <c r="AC278" s="175"/>
      <c r="AD278" s="22"/>
    </row>
    <row r="279" spans="1:30" s="23" customFormat="1" x14ac:dyDescent="0.3">
      <c r="A279" s="47"/>
      <c r="B279" s="97" t="s">
        <v>61</v>
      </c>
      <c r="C279" s="194"/>
      <c r="D279" s="194"/>
      <c r="E279" s="194"/>
      <c r="F279" s="194"/>
      <c r="G279" s="194"/>
      <c r="H279" s="194"/>
      <c r="I279" s="194"/>
      <c r="J279" s="194"/>
      <c r="K279" s="194"/>
      <c r="L279" s="194"/>
      <c r="M279" s="194"/>
      <c r="N279" s="194"/>
      <c r="O279" s="194"/>
      <c r="P279" s="194"/>
      <c r="Q279" s="194"/>
      <c r="R279" s="194"/>
      <c r="S279" s="194"/>
      <c r="T279" s="194"/>
      <c r="U279" s="194"/>
      <c r="V279" s="194"/>
      <c r="W279" s="194"/>
      <c r="X279" s="199">
        <f t="shared" si="0"/>
        <v>0</v>
      </c>
      <c r="Y279" s="200">
        <f t="shared" si="2"/>
        <v>0</v>
      </c>
      <c r="Z279" s="131">
        <f t="shared" si="1"/>
        <v>0</v>
      </c>
      <c r="AA279" s="198">
        <f t="shared" ref="AA279:AA284" si="3">Z279/$Z$286</f>
        <v>0</v>
      </c>
      <c r="AB279" s="163"/>
      <c r="AC279" s="175"/>
      <c r="AD279" s="22"/>
    </row>
    <row r="280" spans="1:30" s="23" customFormat="1" x14ac:dyDescent="0.3">
      <c r="A280" s="47"/>
      <c r="B280" s="97" t="s">
        <v>100</v>
      </c>
      <c r="C280" s="194"/>
      <c r="D280" s="194"/>
      <c r="E280" s="194"/>
      <c r="F280" s="194"/>
      <c r="G280" s="194"/>
      <c r="H280" s="194"/>
      <c r="I280" s="194"/>
      <c r="J280" s="194"/>
      <c r="K280" s="194"/>
      <c r="L280" s="194"/>
      <c r="M280" s="194"/>
      <c r="N280" s="194"/>
      <c r="O280" s="194"/>
      <c r="P280" s="194"/>
      <c r="Q280" s="194"/>
      <c r="R280" s="194"/>
      <c r="S280" s="194"/>
      <c r="T280" s="194"/>
      <c r="U280" s="194"/>
      <c r="V280" s="194"/>
      <c r="W280" s="194"/>
      <c r="X280" s="199">
        <f t="shared" si="0"/>
        <v>0</v>
      </c>
      <c r="Y280" s="200">
        <f t="shared" si="2"/>
        <v>0</v>
      </c>
      <c r="Z280" s="131">
        <f t="shared" si="1"/>
        <v>0</v>
      </c>
      <c r="AA280" s="198">
        <f t="shared" si="3"/>
        <v>0</v>
      </c>
      <c r="AB280" s="163"/>
      <c r="AC280" s="175"/>
      <c r="AD280" s="22"/>
    </row>
    <row r="281" spans="1:30" s="23" customFormat="1" x14ac:dyDescent="0.3">
      <c r="A281" s="47"/>
      <c r="B281" s="97" t="s">
        <v>101</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9">
        <f t="shared" si="0"/>
        <v>0</v>
      </c>
      <c r="Y281" s="200">
        <f t="shared" si="2"/>
        <v>0</v>
      </c>
      <c r="Z281" s="131">
        <f t="shared" si="1"/>
        <v>0</v>
      </c>
      <c r="AA281" s="198">
        <f t="shared" si="3"/>
        <v>0</v>
      </c>
      <c r="AB281" s="163"/>
      <c r="AC281" s="175"/>
      <c r="AD281" s="22"/>
    </row>
    <row r="282" spans="1:30" s="23" customFormat="1" x14ac:dyDescent="0.3">
      <c r="A282" s="47"/>
      <c r="B282" s="97" t="s">
        <v>102</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0"/>
        <v>0</v>
      </c>
      <c r="Y282" s="200">
        <f t="shared" si="2"/>
        <v>0</v>
      </c>
      <c r="Z282" s="131">
        <f t="shared" si="1"/>
        <v>0</v>
      </c>
      <c r="AA282" s="198">
        <f t="shared" si="3"/>
        <v>0</v>
      </c>
      <c r="AB282" s="163"/>
      <c r="AC282" s="175"/>
      <c r="AD282" s="22"/>
    </row>
    <row r="283" spans="1:30" s="23" customFormat="1" x14ac:dyDescent="0.3">
      <c r="A283" s="47"/>
      <c r="B283" s="97" t="s">
        <v>103</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201">
        <f t="shared" si="0"/>
        <v>0</v>
      </c>
      <c r="Y283" s="202">
        <f t="shared" si="2"/>
        <v>0</v>
      </c>
      <c r="Z283" s="203">
        <f t="shared" si="1"/>
        <v>0</v>
      </c>
      <c r="AA283" s="198">
        <f t="shared" si="3"/>
        <v>0</v>
      </c>
      <c r="AB283" s="163"/>
      <c r="AC283" s="175"/>
      <c r="AD283" s="22"/>
    </row>
    <row r="284" spans="1:30" s="23" customFormat="1" x14ac:dyDescent="0.3">
      <c r="A284" s="47"/>
      <c r="B284" s="97" t="s">
        <v>104</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06">
        <f t="shared" si="0"/>
        <v>0</v>
      </c>
      <c r="Y284" s="198">
        <f t="shared" si="2"/>
        <v>0</v>
      </c>
      <c r="Z284" s="107">
        <f t="shared" si="1"/>
        <v>0</v>
      </c>
      <c r="AA284" s="198">
        <f t="shared" si="3"/>
        <v>0</v>
      </c>
      <c r="AB284" s="163"/>
      <c r="AC284" s="175"/>
      <c r="AD284" s="22"/>
    </row>
    <row r="285" spans="1:30" s="23" customFormat="1" x14ac:dyDescent="0.3">
      <c r="A285" s="47"/>
      <c r="B285" s="97"/>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97"/>
      <c r="Y285" s="198"/>
      <c r="Z285" s="98"/>
      <c r="AA285" s="198"/>
      <c r="AB285" s="163"/>
      <c r="AC285" s="175"/>
      <c r="AD285" s="22"/>
    </row>
    <row r="286" spans="1:30" s="23" customFormat="1" x14ac:dyDescent="0.3">
      <c r="A286" s="47"/>
      <c r="B286" s="40" t="s">
        <v>80</v>
      </c>
      <c r="C286" s="40"/>
      <c r="D286" s="204"/>
      <c r="E286" s="204"/>
      <c r="F286" s="204"/>
      <c r="G286" s="204"/>
      <c r="H286" s="204"/>
      <c r="I286" s="204"/>
      <c r="J286" s="204"/>
      <c r="K286" s="204"/>
      <c r="L286" s="204"/>
      <c r="M286" s="204"/>
      <c r="N286" s="204"/>
      <c r="O286" s="204"/>
      <c r="P286" s="204"/>
      <c r="Q286" s="204"/>
      <c r="R286" s="204"/>
      <c r="S286" s="204"/>
      <c r="T286" s="204"/>
      <c r="U286" s="204"/>
      <c r="V286" s="204"/>
      <c r="W286" s="204"/>
      <c r="X286" s="97">
        <f>SUM(X277:X285)</f>
        <v>3826</v>
      </c>
      <c r="Y286" s="198">
        <f>SUM(Y277:Y285)</f>
        <v>1</v>
      </c>
      <c r="Z286" s="98">
        <f>SUM(Z277:Z285)</f>
        <v>710743</v>
      </c>
      <c r="AA286" s="198">
        <f>SUM(AA277:AA285)</f>
        <v>1</v>
      </c>
      <c r="AB286" s="40"/>
      <c r="AC286" s="43"/>
      <c r="AD286" s="22"/>
    </row>
    <row r="287" spans="1:30" x14ac:dyDescent="0.3">
      <c r="A287" s="7"/>
      <c r="B287" s="151"/>
      <c r="C287" s="186"/>
      <c r="D287" s="99"/>
      <c r="E287" s="99"/>
      <c r="F287" s="99"/>
      <c r="G287" s="99"/>
      <c r="H287" s="99"/>
      <c r="I287" s="99"/>
      <c r="J287" s="99"/>
      <c r="K287" s="99"/>
      <c r="L287" s="99"/>
      <c r="M287" s="99"/>
      <c r="N287" s="99"/>
      <c r="O287" s="99"/>
      <c r="P287" s="99"/>
      <c r="Q287" s="99"/>
      <c r="R287" s="99"/>
      <c r="S287" s="99"/>
      <c r="T287" s="99"/>
      <c r="U287" s="99"/>
      <c r="V287" s="99"/>
      <c r="W287" s="99"/>
      <c r="X287" s="99"/>
      <c r="Y287" s="99"/>
      <c r="Z287" s="188"/>
      <c r="AA287" s="99"/>
      <c r="AB287" s="99"/>
      <c r="AC287" s="10"/>
      <c r="AD287" s="5"/>
    </row>
    <row r="288" spans="1:30" x14ac:dyDescent="0.3">
      <c r="A288" s="33"/>
      <c r="B288" s="102" t="s">
        <v>105</v>
      </c>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54" t="s">
        <v>69</v>
      </c>
      <c r="Y288" s="103" t="s">
        <v>70</v>
      </c>
      <c r="Z288" s="154" t="s">
        <v>75</v>
      </c>
      <c r="AA288" s="103" t="s">
        <v>70</v>
      </c>
      <c r="AB288" s="34"/>
      <c r="AC288" s="190"/>
      <c r="AD288" s="5"/>
    </row>
    <row r="289" spans="1:31" s="23" customFormat="1" x14ac:dyDescent="0.3">
      <c r="A289" s="18"/>
      <c r="B289" s="106" t="s">
        <v>59</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06">
        <v>3826</v>
      </c>
      <c r="Y289" s="192">
        <f>X289/$X$298</f>
        <v>1</v>
      </c>
      <c r="Z289" s="107">
        <v>710743</v>
      </c>
      <c r="AA289" s="192">
        <f>Z289/$Z$298</f>
        <v>1</v>
      </c>
      <c r="AB289" s="158"/>
      <c r="AC289" s="193"/>
      <c r="AD289" s="22"/>
    </row>
    <row r="290" spans="1:31" s="23" customFormat="1" x14ac:dyDescent="0.3">
      <c r="A290" s="47"/>
      <c r="B290" s="97" t="s">
        <v>60</v>
      </c>
      <c r="C290" s="194"/>
      <c r="D290" s="194"/>
      <c r="E290" s="194"/>
      <c r="F290" s="194"/>
      <c r="G290" s="194"/>
      <c r="H290" s="194"/>
      <c r="I290" s="194"/>
      <c r="J290" s="194"/>
      <c r="K290" s="194"/>
      <c r="L290" s="194"/>
      <c r="M290" s="194"/>
      <c r="N290" s="194"/>
      <c r="O290" s="194"/>
      <c r="P290" s="194"/>
      <c r="Q290" s="194"/>
      <c r="R290" s="194"/>
      <c r="S290" s="194"/>
      <c r="T290" s="194"/>
      <c r="U290" s="194"/>
      <c r="V290" s="194"/>
      <c r="W290" s="194"/>
      <c r="X290" s="97">
        <v>0</v>
      </c>
      <c r="Y290" s="198">
        <f t="shared" ref="Y290:Y296" si="4">X290/$X$298</f>
        <v>0</v>
      </c>
      <c r="Z290" s="98">
        <v>0</v>
      </c>
      <c r="AA290" s="198">
        <f t="shared" ref="AA290:AA296" si="5">Z290/$Z$298</f>
        <v>0</v>
      </c>
      <c r="AB290" s="163"/>
      <c r="AC290" s="175"/>
      <c r="AD290" s="22"/>
      <c r="AE290" s="115"/>
    </row>
    <row r="291" spans="1:31" s="23" customFormat="1" x14ac:dyDescent="0.3">
      <c r="A291" s="47"/>
      <c r="B291" s="97" t="s">
        <v>61</v>
      </c>
      <c r="C291" s="194"/>
      <c r="D291" s="194"/>
      <c r="E291" s="194"/>
      <c r="F291" s="194"/>
      <c r="G291" s="194"/>
      <c r="H291" s="194"/>
      <c r="I291" s="194"/>
      <c r="J291" s="194"/>
      <c r="K291" s="194"/>
      <c r="L291" s="194"/>
      <c r="M291" s="194"/>
      <c r="N291" s="194"/>
      <c r="O291" s="194"/>
      <c r="P291" s="194"/>
      <c r="Q291" s="194"/>
      <c r="R291" s="194"/>
      <c r="S291" s="194"/>
      <c r="T291" s="194"/>
      <c r="U291" s="194"/>
      <c r="V291" s="194"/>
      <c r="W291" s="194"/>
      <c r="X291" s="97">
        <v>0</v>
      </c>
      <c r="Y291" s="198">
        <f t="shared" si="4"/>
        <v>0</v>
      </c>
      <c r="Z291" s="98">
        <v>0</v>
      </c>
      <c r="AA291" s="198">
        <f t="shared" si="5"/>
        <v>0</v>
      </c>
      <c r="AB291" s="163"/>
      <c r="AC291" s="175"/>
      <c r="AD291" s="22"/>
    </row>
    <row r="292" spans="1:31" s="23" customFormat="1" x14ac:dyDescent="0.3">
      <c r="A292" s="47"/>
      <c r="B292" s="97" t="s">
        <v>100</v>
      </c>
      <c r="C292" s="194"/>
      <c r="D292" s="194"/>
      <c r="E292" s="194"/>
      <c r="F292" s="194"/>
      <c r="G292" s="194"/>
      <c r="H292" s="194"/>
      <c r="I292" s="194"/>
      <c r="J292" s="194"/>
      <c r="K292" s="194"/>
      <c r="L292" s="194"/>
      <c r="M292" s="194"/>
      <c r="N292" s="194"/>
      <c r="O292" s="194"/>
      <c r="P292" s="194"/>
      <c r="Q292" s="194"/>
      <c r="R292" s="194"/>
      <c r="S292" s="194"/>
      <c r="T292" s="194"/>
      <c r="U292" s="194"/>
      <c r="V292" s="194"/>
      <c r="W292" s="194"/>
      <c r="X292" s="97">
        <v>0</v>
      </c>
      <c r="Y292" s="198">
        <f t="shared" si="4"/>
        <v>0</v>
      </c>
      <c r="Z292" s="98">
        <v>0</v>
      </c>
      <c r="AA292" s="198">
        <f t="shared" si="5"/>
        <v>0</v>
      </c>
      <c r="AB292" s="163"/>
      <c r="AC292" s="175"/>
      <c r="AD292" s="22"/>
      <c r="AE292" s="115"/>
    </row>
    <row r="293" spans="1:31" s="23" customFormat="1" x14ac:dyDescent="0.3">
      <c r="A293" s="47"/>
      <c r="B293" s="97" t="s">
        <v>101</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0</v>
      </c>
      <c r="Y293" s="198">
        <f t="shared" si="4"/>
        <v>0</v>
      </c>
      <c r="Z293" s="98">
        <v>0</v>
      </c>
      <c r="AA293" s="198">
        <f t="shared" si="5"/>
        <v>0</v>
      </c>
      <c r="AB293" s="163"/>
      <c r="AC293" s="175"/>
      <c r="AD293" s="22"/>
    </row>
    <row r="294" spans="1:31" s="23" customFormat="1" x14ac:dyDescent="0.3">
      <c r="A294" s="47"/>
      <c r="B294" s="97" t="s">
        <v>102</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4"/>
        <v>0</v>
      </c>
      <c r="Z294" s="98">
        <v>0</v>
      </c>
      <c r="AA294" s="198">
        <f t="shared" si="5"/>
        <v>0</v>
      </c>
      <c r="AB294" s="163"/>
      <c r="AC294" s="175"/>
      <c r="AD294" s="22"/>
      <c r="AE294" s="115"/>
    </row>
    <row r="295" spans="1:31" s="23" customFormat="1" x14ac:dyDescent="0.3">
      <c r="A295" s="47"/>
      <c r="B295" s="97" t="s">
        <v>103</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0</v>
      </c>
      <c r="Y295" s="198">
        <f>X295/$X$298</f>
        <v>0</v>
      </c>
      <c r="Z295" s="98">
        <v>0</v>
      </c>
      <c r="AA295" s="198">
        <f t="shared" si="5"/>
        <v>0</v>
      </c>
      <c r="AB295" s="163"/>
      <c r="AC295" s="175"/>
      <c r="AD295" s="22"/>
    </row>
    <row r="296" spans="1:31" s="23" customFormat="1" x14ac:dyDescent="0.3">
      <c r="A296" s="47"/>
      <c r="B296" s="97" t="s">
        <v>104</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4"/>
        <v>0</v>
      </c>
      <c r="Z296" s="98">
        <v>0</v>
      </c>
      <c r="AA296" s="198">
        <f t="shared" si="5"/>
        <v>0</v>
      </c>
      <c r="AB296" s="163"/>
      <c r="AC296" s="175"/>
      <c r="AD296" s="22"/>
      <c r="AE296" s="115"/>
    </row>
    <row r="297" spans="1:31" s="23" customFormat="1" x14ac:dyDescent="0.3">
      <c r="A297" s="47"/>
      <c r="B297" s="97"/>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c r="Y297" s="198"/>
      <c r="Z297" s="98"/>
      <c r="AA297" s="198"/>
      <c r="AB297" s="163"/>
      <c r="AC297" s="175"/>
      <c r="AD297" s="22"/>
    </row>
    <row r="298" spans="1:31" s="23" customFormat="1" x14ac:dyDescent="0.3">
      <c r="A298" s="47"/>
      <c r="B298" s="40" t="s">
        <v>80</v>
      </c>
      <c r="C298" s="40"/>
      <c r="D298" s="204"/>
      <c r="E298" s="204"/>
      <c r="F298" s="204"/>
      <c r="G298" s="204"/>
      <c r="H298" s="204"/>
      <c r="I298" s="204"/>
      <c r="J298" s="204"/>
      <c r="K298" s="204"/>
      <c r="L298" s="204"/>
      <c r="M298" s="204"/>
      <c r="N298" s="204"/>
      <c r="O298" s="204"/>
      <c r="P298" s="204"/>
      <c r="Q298" s="204"/>
      <c r="R298" s="204"/>
      <c r="S298" s="204"/>
      <c r="T298" s="204"/>
      <c r="U298" s="204"/>
      <c r="V298" s="204"/>
      <c r="W298" s="204"/>
      <c r="X298" s="97">
        <f>SUM(X289:X297)</f>
        <v>3826</v>
      </c>
      <c r="Y298" s="198">
        <f>SUM(Y289:Y297)</f>
        <v>1</v>
      </c>
      <c r="Z298" s="98">
        <f>SUM(Z289:Z297)</f>
        <v>710743</v>
      </c>
      <c r="AA298" s="198">
        <f>SUM(AA289:AA297)</f>
        <v>1</v>
      </c>
      <c r="AB298" s="40"/>
      <c r="AC298" s="43"/>
      <c r="AD298" s="22"/>
    </row>
    <row r="299" spans="1:31" x14ac:dyDescent="0.3">
      <c r="A299" s="7"/>
      <c r="B299" s="99"/>
      <c r="C299" s="99"/>
      <c r="D299" s="205"/>
      <c r="E299" s="205"/>
      <c r="F299" s="205"/>
      <c r="G299" s="205"/>
      <c r="H299" s="205"/>
      <c r="I299" s="205"/>
      <c r="J299" s="205"/>
      <c r="K299" s="205"/>
      <c r="L299" s="205"/>
      <c r="M299" s="205"/>
      <c r="N299" s="205"/>
      <c r="O299" s="205"/>
      <c r="P299" s="205"/>
      <c r="Q299" s="205"/>
      <c r="R299" s="205"/>
      <c r="S299" s="205"/>
      <c r="T299" s="205"/>
      <c r="U299" s="205"/>
      <c r="V299" s="205"/>
      <c r="W299" s="205"/>
      <c r="X299" s="100"/>
      <c r="Y299" s="206"/>
      <c r="Z299" s="207"/>
      <c r="AA299" s="206"/>
      <c r="AB299" s="99"/>
      <c r="AC299" s="10"/>
      <c r="AD299" s="5"/>
    </row>
    <row r="300" spans="1:31" x14ac:dyDescent="0.3">
      <c r="A300" s="33"/>
      <c r="B300" s="102" t="s">
        <v>121</v>
      </c>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54" t="s">
        <v>69</v>
      </c>
      <c r="Y300" s="103" t="s">
        <v>70</v>
      </c>
      <c r="Z300" s="154" t="s">
        <v>75</v>
      </c>
      <c r="AA300" s="103" t="s">
        <v>70</v>
      </c>
      <c r="AB300" s="34"/>
      <c r="AC300" s="36"/>
      <c r="AD300" s="5"/>
    </row>
    <row r="301" spans="1:31" s="23" customFormat="1" x14ac:dyDescent="0.3">
      <c r="A301" s="18"/>
      <c r="B301" s="106" t="s">
        <v>59</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06">
        <v>0</v>
      </c>
      <c r="Y301" s="192">
        <v>0</v>
      </c>
      <c r="Z301" s="107">
        <v>0</v>
      </c>
      <c r="AA301" s="192">
        <v>0</v>
      </c>
      <c r="AB301" s="37"/>
      <c r="AC301" s="21"/>
      <c r="AD301" s="22"/>
    </row>
    <row r="302" spans="1:31" s="23" customFormat="1" x14ac:dyDescent="0.3">
      <c r="A302" s="47"/>
      <c r="B302" s="97" t="s">
        <v>60</v>
      </c>
      <c r="C302" s="194"/>
      <c r="D302" s="194"/>
      <c r="E302" s="194"/>
      <c r="F302" s="194"/>
      <c r="G302" s="194"/>
      <c r="H302" s="194"/>
      <c r="I302" s="194"/>
      <c r="J302" s="194"/>
      <c r="K302" s="194"/>
      <c r="L302" s="194"/>
      <c r="M302" s="194"/>
      <c r="N302" s="194"/>
      <c r="O302" s="194"/>
      <c r="P302" s="194"/>
      <c r="Q302" s="194"/>
      <c r="R302" s="194"/>
      <c r="S302" s="194"/>
      <c r="T302" s="194"/>
      <c r="U302" s="194"/>
      <c r="V302" s="194"/>
      <c r="W302" s="194"/>
      <c r="X302" s="97">
        <v>0</v>
      </c>
      <c r="Y302" s="198">
        <v>0</v>
      </c>
      <c r="Z302" s="98">
        <v>0</v>
      </c>
      <c r="AA302" s="198">
        <v>0</v>
      </c>
      <c r="AB302" s="40"/>
      <c r="AC302" s="43"/>
      <c r="AD302" s="22"/>
    </row>
    <row r="303" spans="1:31" s="23" customFormat="1" x14ac:dyDescent="0.3">
      <c r="A303" s="47"/>
      <c r="B303" s="97" t="s">
        <v>61</v>
      </c>
      <c r="C303" s="194"/>
      <c r="D303" s="194"/>
      <c r="E303" s="194"/>
      <c r="F303" s="194"/>
      <c r="G303" s="194"/>
      <c r="H303" s="194"/>
      <c r="I303" s="194"/>
      <c r="J303" s="194"/>
      <c r="K303" s="194"/>
      <c r="L303" s="194"/>
      <c r="M303" s="194"/>
      <c r="N303" s="194"/>
      <c r="O303" s="194"/>
      <c r="P303" s="194"/>
      <c r="Q303" s="194"/>
      <c r="R303" s="194"/>
      <c r="S303" s="194"/>
      <c r="T303" s="194"/>
      <c r="U303" s="194"/>
      <c r="V303" s="194"/>
      <c r="W303" s="194"/>
      <c r="X303" s="97">
        <v>0</v>
      </c>
      <c r="Y303" s="198">
        <v>0</v>
      </c>
      <c r="Z303" s="98">
        <v>0</v>
      </c>
      <c r="AA303" s="198">
        <v>0</v>
      </c>
      <c r="AB303" s="40"/>
      <c r="AC303" s="43"/>
      <c r="AD303" s="22"/>
    </row>
    <row r="304" spans="1:31" s="23" customFormat="1" x14ac:dyDescent="0.3">
      <c r="A304" s="47"/>
      <c r="B304" s="97" t="s">
        <v>100</v>
      </c>
      <c r="C304" s="194"/>
      <c r="D304" s="194"/>
      <c r="E304" s="194"/>
      <c r="F304" s="194"/>
      <c r="G304" s="194"/>
      <c r="H304" s="194"/>
      <c r="I304" s="194"/>
      <c r="J304" s="194"/>
      <c r="K304" s="194"/>
      <c r="L304" s="194"/>
      <c r="M304" s="194"/>
      <c r="N304" s="194"/>
      <c r="O304" s="194"/>
      <c r="P304" s="194"/>
      <c r="Q304" s="194"/>
      <c r="R304" s="194"/>
      <c r="S304" s="194"/>
      <c r="T304" s="194"/>
      <c r="U304" s="194"/>
      <c r="V304" s="194"/>
      <c r="W304" s="194"/>
      <c r="X304" s="97">
        <v>0</v>
      </c>
      <c r="Y304" s="198">
        <v>0</v>
      </c>
      <c r="Z304" s="98">
        <v>0</v>
      </c>
      <c r="AA304" s="198">
        <v>0</v>
      </c>
      <c r="AB304" s="40"/>
      <c r="AC304" s="43"/>
      <c r="AD304" s="22"/>
    </row>
    <row r="305" spans="1:30" s="23" customFormat="1" x14ac:dyDescent="0.3">
      <c r="A305" s="47"/>
      <c r="B305" s="97" t="s">
        <v>101</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102</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103</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104</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c r="Y309" s="198"/>
      <c r="Z309" s="98"/>
      <c r="AA309" s="198"/>
      <c r="AB309" s="40"/>
      <c r="AC309" s="43"/>
      <c r="AD309" s="22"/>
    </row>
    <row r="310" spans="1:30" s="23" customFormat="1" x14ac:dyDescent="0.3">
      <c r="A310" s="47"/>
      <c r="B310" s="40" t="s">
        <v>80</v>
      </c>
      <c r="C310" s="40"/>
      <c r="D310" s="204"/>
      <c r="E310" s="204"/>
      <c r="F310" s="204"/>
      <c r="G310" s="204"/>
      <c r="H310" s="204"/>
      <c r="I310" s="204"/>
      <c r="J310" s="204"/>
      <c r="K310" s="204"/>
      <c r="L310" s="204"/>
      <c r="M310" s="204"/>
      <c r="N310" s="204"/>
      <c r="O310" s="204"/>
      <c r="P310" s="204"/>
      <c r="Q310" s="204"/>
      <c r="R310" s="204"/>
      <c r="S310" s="204"/>
      <c r="T310" s="204"/>
      <c r="U310" s="204"/>
      <c r="V310" s="204"/>
      <c r="W310" s="204"/>
      <c r="X310" s="97">
        <f>SUM(X301:X309)</f>
        <v>0</v>
      </c>
      <c r="Y310" s="198">
        <f>SUM(Y301:Y309)</f>
        <v>0</v>
      </c>
      <c r="Z310" s="98">
        <f>SUM(Z301:Z309)</f>
        <v>0</v>
      </c>
      <c r="AA310" s="198">
        <f>SUM(AA301:AA309)</f>
        <v>0</v>
      </c>
      <c r="AB310" s="40"/>
      <c r="AC310" s="43"/>
      <c r="AD310" s="22"/>
    </row>
    <row r="311" spans="1:30" s="23" customFormat="1" x14ac:dyDescent="0.3">
      <c r="A311" s="47"/>
      <c r="B311" s="40"/>
      <c r="C311" s="40"/>
      <c r="D311" s="204"/>
      <c r="E311" s="204"/>
      <c r="F311" s="204"/>
      <c r="G311" s="204"/>
      <c r="H311" s="204"/>
      <c r="I311" s="204"/>
      <c r="J311" s="204"/>
      <c r="K311" s="204"/>
      <c r="L311" s="204"/>
      <c r="M311" s="204"/>
      <c r="N311" s="204"/>
      <c r="O311" s="204"/>
      <c r="P311" s="204"/>
      <c r="Q311" s="204"/>
      <c r="R311" s="204"/>
      <c r="S311" s="204"/>
      <c r="T311" s="204"/>
      <c r="U311" s="204"/>
      <c r="V311" s="204"/>
      <c r="W311" s="204"/>
      <c r="X311" s="97"/>
      <c r="Y311" s="198"/>
      <c r="Z311" s="98"/>
      <c r="AA311" s="198"/>
      <c r="AB311" s="40"/>
      <c r="AC311" s="43"/>
      <c r="AD311" s="22"/>
    </row>
    <row r="312" spans="1:30" s="23" customFormat="1" x14ac:dyDescent="0.3">
      <c r="A312" s="242"/>
      <c r="B312" s="243" t="s">
        <v>299</v>
      </c>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62" t="s">
        <v>69</v>
      </c>
      <c r="Y312" s="263" t="s">
        <v>70</v>
      </c>
      <c r="Z312" s="262" t="s">
        <v>75</v>
      </c>
      <c r="AA312" s="263" t="s">
        <v>70</v>
      </c>
      <c r="AB312" s="243"/>
      <c r="AC312" s="243"/>
      <c r="AD312" s="22"/>
    </row>
    <row r="313" spans="1:30" s="23" customFormat="1" x14ac:dyDescent="0.3">
      <c r="A313" s="272"/>
      <c r="B313" s="273" t="s">
        <v>295</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275">
        <v>0</v>
      </c>
      <c r="Y313" s="276">
        <v>0</v>
      </c>
      <c r="Z313" s="277">
        <v>0</v>
      </c>
      <c r="AA313" s="276">
        <v>0</v>
      </c>
      <c r="AB313" s="40"/>
      <c r="AC313" s="43"/>
      <c r="AD313" s="22"/>
    </row>
    <row r="314" spans="1:30" s="23" customFormat="1" x14ac:dyDescent="0.3">
      <c r="A314" s="272"/>
      <c r="B314" s="273" t="s">
        <v>296</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275">
        <v>0</v>
      </c>
      <c r="Y314" s="276">
        <v>0</v>
      </c>
      <c r="Z314" s="277">
        <v>0</v>
      </c>
      <c r="AA314" s="276">
        <v>0</v>
      </c>
      <c r="AB314" s="40"/>
      <c r="AC314" s="43"/>
      <c r="AD314" s="22"/>
    </row>
    <row r="315" spans="1:30" s="23" customFormat="1" x14ac:dyDescent="0.3">
      <c r="A315" s="272"/>
      <c r="B315" s="273" t="s">
        <v>297</v>
      </c>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275">
        <v>0</v>
      </c>
      <c r="Y315" s="276">
        <v>0</v>
      </c>
      <c r="Z315" s="277">
        <v>0</v>
      </c>
      <c r="AA315" s="276">
        <v>0</v>
      </c>
      <c r="AB315" s="40"/>
      <c r="AC315" s="43"/>
      <c r="AD315" s="22"/>
    </row>
    <row r="316" spans="1:30" s="23" customFormat="1" x14ac:dyDescent="0.3">
      <c r="A316" s="272"/>
      <c r="B316" s="273" t="s">
        <v>298</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5">
        <v>0</v>
      </c>
      <c r="Y316" s="276">
        <v>0</v>
      </c>
      <c r="Z316" s="277">
        <v>0</v>
      </c>
      <c r="AA316" s="276">
        <v>0</v>
      </c>
      <c r="AB316" s="40"/>
      <c r="AC316" s="43"/>
      <c r="AD316" s="22"/>
    </row>
    <row r="317" spans="1:30" s="23" customFormat="1" x14ac:dyDescent="0.3">
      <c r="A317" s="272"/>
      <c r="B317" s="273" t="s">
        <v>368</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5">
        <v>0</v>
      </c>
      <c r="Y317" s="276">
        <v>0</v>
      </c>
      <c r="Z317" s="277">
        <v>0</v>
      </c>
      <c r="AA317" s="276">
        <v>0</v>
      </c>
      <c r="AB317" s="40"/>
      <c r="AC317" s="43"/>
      <c r="AD317" s="22"/>
    </row>
    <row r="318" spans="1:30" s="23" customFormat="1" x14ac:dyDescent="0.3">
      <c r="A318" s="272"/>
      <c r="B318" s="274" t="s">
        <v>300</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5">
        <v>0</v>
      </c>
      <c r="Y318" s="276">
        <v>0</v>
      </c>
      <c r="Z318" s="277">
        <v>0</v>
      </c>
      <c r="AA318" s="276">
        <v>0</v>
      </c>
      <c r="AB318" s="40"/>
      <c r="AC318" s="43"/>
      <c r="AD318" s="22"/>
    </row>
    <row r="319" spans="1:30" s="23" customFormat="1" x14ac:dyDescent="0.3">
      <c r="A319" s="272"/>
      <c r="B319" s="273"/>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5"/>
      <c r="Y319" s="276"/>
      <c r="Z319" s="277"/>
      <c r="AA319" s="276"/>
      <c r="AB319" s="40"/>
      <c r="AC319" s="43"/>
      <c r="AD319" s="22"/>
    </row>
    <row r="320" spans="1:30" s="23" customFormat="1" x14ac:dyDescent="0.3">
      <c r="A320" s="272"/>
      <c r="B320" s="273" t="s">
        <v>80</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5">
        <f>SUM(X313:X319)</f>
        <v>0</v>
      </c>
      <c r="Y320" s="276">
        <f>SUM(Y313:Y318)</f>
        <v>0</v>
      </c>
      <c r="Z320" s="277">
        <f>SUM(Z313:Z318)</f>
        <v>0</v>
      </c>
      <c r="AA320" s="276">
        <f>SUM(AA313:AA319)</f>
        <v>0</v>
      </c>
      <c r="AB320" s="40"/>
      <c r="AC320" s="43"/>
      <c r="AD320" s="22"/>
    </row>
    <row r="321" spans="1:30" x14ac:dyDescent="0.3">
      <c r="A321" s="7"/>
      <c r="B321" s="99"/>
      <c r="C321" s="99"/>
      <c r="D321" s="205"/>
      <c r="E321" s="205"/>
      <c r="F321" s="205"/>
      <c r="G321" s="205"/>
      <c r="H321" s="205"/>
      <c r="I321" s="205"/>
      <c r="J321" s="205"/>
      <c r="K321" s="205"/>
      <c r="L321" s="205"/>
      <c r="M321" s="205"/>
      <c r="N321" s="205"/>
      <c r="O321" s="205"/>
      <c r="P321" s="205"/>
      <c r="Q321" s="205"/>
      <c r="R321" s="205"/>
      <c r="S321" s="205"/>
      <c r="T321" s="205"/>
      <c r="U321" s="205"/>
      <c r="V321" s="205"/>
      <c r="W321" s="205"/>
      <c r="X321" s="100"/>
      <c r="Y321" s="206"/>
      <c r="Z321" s="207"/>
      <c r="AA321" s="206"/>
      <c r="AB321" s="99"/>
      <c r="AC321" s="10"/>
      <c r="AD321" s="5"/>
    </row>
    <row r="322" spans="1:30" x14ac:dyDescent="0.3">
      <c r="A322" s="33"/>
      <c r="B322" s="102" t="s">
        <v>106</v>
      </c>
      <c r="C322" s="34"/>
      <c r="D322" s="208"/>
      <c r="E322" s="208"/>
      <c r="F322" s="208"/>
      <c r="G322" s="208"/>
      <c r="H322" s="208"/>
      <c r="I322" s="208"/>
      <c r="J322" s="208"/>
      <c r="K322" s="208"/>
      <c r="L322" s="208"/>
      <c r="M322" s="208"/>
      <c r="N322" s="208"/>
      <c r="O322" s="208"/>
      <c r="P322" s="208"/>
      <c r="Q322" s="208"/>
      <c r="R322" s="208"/>
      <c r="S322" s="208"/>
      <c r="T322" s="208"/>
      <c r="U322" s="208"/>
      <c r="V322" s="208"/>
      <c r="W322" s="208"/>
      <c r="X322" s="154" t="s">
        <v>69</v>
      </c>
      <c r="Y322" s="103" t="s">
        <v>70</v>
      </c>
      <c r="Z322" s="154" t="s">
        <v>75</v>
      </c>
      <c r="AA322" s="103" t="s">
        <v>70</v>
      </c>
      <c r="AB322" s="34"/>
      <c r="AC322" s="36"/>
      <c r="AD322" s="5"/>
    </row>
    <row r="323" spans="1:30" s="23" customFormat="1" x14ac:dyDescent="0.3">
      <c r="A323" s="18"/>
      <c r="B323" s="106" t="s">
        <v>59</v>
      </c>
      <c r="C323" s="37"/>
      <c r="D323" s="209"/>
      <c r="E323" s="209"/>
      <c r="F323" s="209"/>
      <c r="G323" s="209"/>
      <c r="H323" s="209"/>
      <c r="I323" s="209"/>
      <c r="J323" s="209"/>
      <c r="K323" s="209"/>
      <c r="L323" s="209"/>
      <c r="M323" s="209"/>
      <c r="N323" s="209"/>
      <c r="O323" s="209"/>
      <c r="P323" s="209"/>
      <c r="Q323" s="209"/>
      <c r="R323" s="209"/>
      <c r="S323" s="209"/>
      <c r="T323" s="209"/>
      <c r="U323" s="209"/>
      <c r="V323" s="209"/>
      <c r="W323" s="209"/>
      <c r="X323" s="106">
        <v>0</v>
      </c>
      <c r="Y323" s="192">
        <v>0</v>
      </c>
      <c r="Z323" s="107">
        <v>0</v>
      </c>
      <c r="AA323" s="192">
        <v>0</v>
      </c>
      <c r="AB323" s="37"/>
      <c r="AC323" s="21"/>
      <c r="AD323" s="22"/>
    </row>
    <row r="324" spans="1:30" s="23" customFormat="1" x14ac:dyDescent="0.3">
      <c r="A324" s="47"/>
      <c r="B324" s="97" t="s">
        <v>60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97">
        <v>0</v>
      </c>
      <c r="Y324" s="198">
        <v>0</v>
      </c>
      <c r="Z324" s="98">
        <v>0</v>
      </c>
      <c r="AA324" s="198">
        <v>0</v>
      </c>
      <c r="AB324" s="40"/>
      <c r="AC324" s="43"/>
      <c r="AD324" s="22"/>
    </row>
    <row r="325" spans="1:30" s="23" customFormat="1" x14ac:dyDescent="0.3">
      <c r="A325" s="47"/>
      <c r="B325" s="97" t="s">
        <v>61</v>
      </c>
      <c r="C325" s="40"/>
      <c r="D325" s="204"/>
      <c r="E325" s="204"/>
      <c r="F325" s="204"/>
      <c r="G325" s="204"/>
      <c r="H325" s="204"/>
      <c r="I325" s="204"/>
      <c r="J325" s="204"/>
      <c r="K325" s="204"/>
      <c r="L325" s="204"/>
      <c r="M325" s="204"/>
      <c r="N325" s="204"/>
      <c r="O325" s="204"/>
      <c r="P325" s="204"/>
      <c r="Q325" s="204"/>
      <c r="R325" s="204"/>
      <c r="S325" s="204"/>
      <c r="T325" s="204"/>
      <c r="U325" s="204"/>
      <c r="V325" s="204"/>
      <c r="W325" s="204"/>
      <c r="X325" s="97">
        <v>0</v>
      </c>
      <c r="Y325" s="198">
        <v>0</v>
      </c>
      <c r="Z325" s="98">
        <v>0</v>
      </c>
      <c r="AA325" s="198">
        <v>0</v>
      </c>
      <c r="AB325" s="40"/>
      <c r="AC325" s="43"/>
      <c r="AD325" s="22"/>
    </row>
    <row r="326" spans="1:30" s="23" customFormat="1" x14ac:dyDescent="0.3">
      <c r="A326" s="47"/>
      <c r="B326" s="97" t="s">
        <v>100</v>
      </c>
      <c r="C326" s="40"/>
      <c r="D326" s="204"/>
      <c r="E326" s="204"/>
      <c r="F326" s="204"/>
      <c r="G326" s="204"/>
      <c r="H326" s="204"/>
      <c r="I326" s="204"/>
      <c r="J326" s="204"/>
      <c r="K326" s="204"/>
      <c r="L326" s="204"/>
      <c r="M326" s="204"/>
      <c r="N326" s="204"/>
      <c r="O326" s="204"/>
      <c r="P326" s="204"/>
      <c r="Q326" s="204"/>
      <c r="R326" s="204"/>
      <c r="S326" s="204"/>
      <c r="T326" s="204"/>
      <c r="U326" s="204"/>
      <c r="V326" s="204"/>
      <c r="W326" s="204"/>
      <c r="X326" s="97">
        <v>0</v>
      </c>
      <c r="Y326" s="198">
        <v>0</v>
      </c>
      <c r="Z326" s="98">
        <v>0</v>
      </c>
      <c r="AA326" s="198">
        <v>0</v>
      </c>
      <c r="AB326" s="40"/>
      <c r="AC326" s="43"/>
      <c r="AD326" s="22"/>
    </row>
    <row r="327" spans="1:30" s="23" customFormat="1" x14ac:dyDescent="0.3">
      <c r="A327" s="47"/>
      <c r="B327" s="97" t="s">
        <v>101</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102</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103</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104</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c r="Y331" s="198"/>
      <c r="Z331" s="98"/>
      <c r="AA331" s="198"/>
      <c r="AB331" s="40"/>
      <c r="AC331" s="43"/>
      <c r="AD331" s="22"/>
    </row>
    <row r="332" spans="1:30" s="23" customFormat="1" x14ac:dyDescent="0.3">
      <c r="A332" s="47"/>
      <c r="B332" s="40" t="s">
        <v>80</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f>SUM(X323:X330)</f>
        <v>0</v>
      </c>
      <c r="Y332" s="198">
        <f>SUM(Y323:Y330)</f>
        <v>0</v>
      </c>
      <c r="Z332" s="98">
        <f>SUM(Z323:Z330)</f>
        <v>0</v>
      </c>
      <c r="AA332" s="198">
        <f>SUM(AA323:AA330)</f>
        <v>0</v>
      </c>
      <c r="AB332" s="40"/>
      <c r="AC332" s="43"/>
      <c r="AD332" s="22"/>
    </row>
    <row r="333" spans="1:30" s="23" customFormat="1" x14ac:dyDescent="0.3">
      <c r="A333" s="47"/>
      <c r="B333" s="40"/>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c r="Y333" s="198"/>
      <c r="Z333" s="98"/>
      <c r="AA333" s="198"/>
      <c r="AB333" s="40"/>
      <c r="AC333" s="43"/>
      <c r="AD333" s="22"/>
    </row>
    <row r="334" spans="1:30" s="23" customFormat="1" x14ac:dyDescent="0.3">
      <c r="A334" s="47"/>
      <c r="B334" s="44" t="s">
        <v>139</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210">
        <f>X332+X310+X298</f>
        <v>3826</v>
      </c>
      <c r="Y334" s="198"/>
      <c r="Z334" s="211">
        <f>+Z332+Z310+Z298</f>
        <v>710743</v>
      </c>
      <c r="AA334" s="198"/>
      <c r="AB334" s="40"/>
      <c r="AC334" s="43"/>
      <c r="AD334" s="22"/>
    </row>
    <row r="335" spans="1:30" s="23" customFormat="1" x14ac:dyDescent="0.3">
      <c r="A335" s="47"/>
      <c r="B335" s="44" t="s">
        <v>280</v>
      </c>
      <c r="C335" s="44"/>
      <c r="D335" s="212"/>
      <c r="E335" s="212"/>
      <c r="F335" s="212"/>
      <c r="G335" s="212"/>
      <c r="H335" s="212"/>
      <c r="I335" s="212"/>
      <c r="J335" s="212"/>
      <c r="K335" s="212"/>
      <c r="L335" s="212"/>
      <c r="M335" s="212"/>
      <c r="N335" s="212"/>
      <c r="O335" s="212"/>
      <c r="P335" s="212"/>
      <c r="Q335" s="212"/>
      <c r="R335" s="212"/>
      <c r="S335" s="212"/>
      <c r="T335" s="212"/>
      <c r="U335" s="212"/>
      <c r="V335" s="212"/>
      <c r="W335" s="212"/>
      <c r="X335" s="210"/>
      <c r="Y335" s="213"/>
      <c r="Z335" s="211">
        <f>+AB64+AB63</f>
        <v>3</v>
      </c>
      <c r="AA335" s="198"/>
      <c r="AB335" s="40"/>
      <c r="AC335" s="43"/>
      <c r="AD335" s="22"/>
    </row>
    <row r="336" spans="1:30" s="23" customFormat="1" x14ac:dyDescent="0.3">
      <c r="A336" s="47"/>
      <c r="B336" s="44" t="s">
        <v>107</v>
      </c>
      <c r="C336" s="44"/>
      <c r="D336" s="212"/>
      <c r="E336" s="212"/>
      <c r="F336" s="212"/>
      <c r="G336" s="212"/>
      <c r="H336" s="212"/>
      <c r="I336" s="212"/>
      <c r="J336" s="212"/>
      <c r="K336" s="212"/>
      <c r="L336" s="212"/>
      <c r="M336" s="212"/>
      <c r="N336" s="212"/>
      <c r="O336" s="212"/>
      <c r="P336" s="212"/>
      <c r="Q336" s="212"/>
      <c r="R336" s="212"/>
      <c r="S336" s="212"/>
      <c r="T336" s="212"/>
      <c r="U336" s="212"/>
      <c r="V336" s="212"/>
      <c r="W336" s="212"/>
      <c r="X336" s="210"/>
      <c r="Y336" s="213"/>
      <c r="Z336" s="211">
        <f>+Z334+Z335</f>
        <v>710746</v>
      </c>
      <c r="AA336" s="198"/>
      <c r="AB336" s="40"/>
      <c r="AC336" s="43"/>
      <c r="AD336" s="22"/>
    </row>
    <row r="337" spans="1:30" s="23" customFormat="1" x14ac:dyDescent="0.3">
      <c r="A337" s="47"/>
      <c r="B337" s="44" t="s">
        <v>245</v>
      </c>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210"/>
      <c r="Y337" s="198"/>
      <c r="Z337" s="211">
        <f>+AB66</f>
        <v>710746</v>
      </c>
      <c r="AA337" s="198"/>
      <c r="AB337" s="40"/>
      <c r="AC337" s="43"/>
      <c r="AD337" s="22"/>
    </row>
    <row r="338" spans="1:30" s="23" customFormat="1" x14ac:dyDescent="0.3">
      <c r="A338" s="47"/>
      <c r="B338" s="44"/>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c r="Y338" s="198"/>
      <c r="Z338" s="211"/>
      <c r="AA338" s="198"/>
      <c r="AB338" s="40"/>
      <c r="AC338" s="43"/>
      <c r="AD338" s="22"/>
    </row>
    <row r="339" spans="1:30" s="23" customFormat="1" x14ac:dyDescent="0.3">
      <c r="A339" s="47"/>
      <c r="B339" s="44" t="s">
        <v>327</v>
      </c>
      <c r="C339" s="40"/>
      <c r="D339" s="204"/>
      <c r="E339" s="204"/>
      <c r="F339" s="204"/>
      <c r="G339" s="204"/>
      <c r="H339" s="204"/>
      <c r="I339" s="204"/>
      <c r="J339" s="204"/>
      <c r="K339" s="204"/>
      <c r="L339" s="204"/>
      <c r="M339" s="204"/>
      <c r="N339" s="204"/>
      <c r="O339" s="204"/>
      <c r="P339" s="204"/>
      <c r="Q339" s="204"/>
      <c r="R339" s="204"/>
      <c r="S339" s="204"/>
      <c r="T339" s="204"/>
      <c r="U339" s="204"/>
      <c r="V339" s="204"/>
      <c r="W339" s="204"/>
      <c r="X339" s="210"/>
      <c r="Y339" s="198"/>
      <c r="Z339" s="236">
        <f>(F31+H31+J31+L31+N31)/AB31</f>
        <v>1</v>
      </c>
      <c r="AA339" s="198"/>
      <c r="AB339" s="40"/>
      <c r="AC339" s="43"/>
      <c r="AD339" s="22"/>
    </row>
    <row r="340" spans="1:30" s="23" customFormat="1" x14ac:dyDescent="0.3">
      <c r="A340" s="18"/>
      <c r="B340" s="20"/>
      <c r="C340" s="20"/>
      <c r="D340" s="214"/>
      <c r="E340" s="214"/>
      <c r="F340" s="214"/>
      <c r="G340" s="214"/>
      <c r="H340" s="214"/>
      <c r="I340" s="214"/>
      <c r="J340" s="214"/>
      <c r="K340" s="214"/>
      <c r="L340" s="214"/>
      <c r="M340" s="214"/>
      <c r="N340" s="214"/>
      <c r="O340" s="214"/>
      <c r="P340" s="214"/>
      <c r="Q340" s="214"/>
      <c r="R340" s="214"/>
      <c r="S340" s="214"/>
      <c r="T340" s="214"/>
      <c r="U340" s="214"/>
      <c r="V340" s="214"/>
      <c r="W340" s="214"/>
      <c r="X340" s="214"/>
      <c r="Y340" s="214"/>
      <c r="Z340" s="215"/>
      <c r="AA340" s="214"/>
      <c r="AB340" s="20"/>
      <c r="AC340" s="21"/>
      <c r="AD340" s="22"/>
    </row>
    <row r="341" spans="1:30" s="23" customFormat="1" x14ac:dyDescent="0.3">
      <c r="A341" s="18"/>
      <c r="B341" s="19" t="s">
        <v>62</v>
      </c>
      <c r="C341" s="20"/>
      <c r="D341" s="216" t="s">
        <v>66</v>
      </c>
      <c r="E341" s="19"/>
      <c r="F341" s="19" t="s">
        <v>67</v>
      </c>
      <c r="G341" s="20"/>
      <c r="H341" s="19"/>
      <c r="I341" s="20"/>
      <c r="J341" s="20"/>
      <c r="K341" s="20"/>
      <c r="L341" s="20"/>
      <c r="M341" s="20"/>
      <c r="N341" s="20"/>
      <c r="O341" s="20"/>
      <c r="P341" s="20"/>
      <c r="Q341" s="20"/>
      <c r="R341" s="20"/>
      <c r="S341" s="20"/>
      <c r="T341" s="20"/>
      <c r="U341" s="20"/>
      <c r="V341" s="20"/>
      <c r="W341" s="20"/>
      <c r="X341" s="20"/>
      <c r="Y341" s="20"/>
      <c r="Z341" s="20"/>
      <c r="AA341" s="20"/>
      <c r="AB341" s="20"/>
      <c r="AC341" s="21"/>
      <c r="AD341" s="22"/>
    </row>
    <row r="342" spans="1:30" s="23" customFormat="1" x14ac:dyDescent="0.3">
      <c r="A342" s="18"/>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1"/>
      <c r="AD342" s="22"/>
    </row>
    <row r="343" spans="1:30" s="23" customFormat="1" x14ac:dyDescent="0.3">
      <c r="A343" s="18"/>
      <c r="B343" s="19" t="s">
        <v>152</v>
      </c>
      <c r="C343" s="19"/>
      <c r="D343" s="217" t="s">
        <v>122</v>
      </c>
      <c r="E343" s="19"/>
      <c r="F343" s="19" t="s">
        <v>169</v>
      </c>
      <c r="G343" s="19"/>
      <c r="H343" s="19"/>
      <c r="I343" s="20"/>
      <c r="J343" s="20"/>
      <c r="K343" s="20"/>
      <c r="L343" s="20"/>
      <c r="M343" s="20"/>
      <c r="N343" s="20"/>
      <c r="O343" s="20"/>
      <c r="P343" s="20"/>
      <c r="Q343" s="20"/>
      <c r="R343" s="20"/>
      <c r="S343" s="20"/>
      <c r="T343" s="20"/>
      <c r="U343" s="20"/>
      <c r="V343" s="20"/>
      <c r="W343" s="20"/>
      <c r="X343" s="20"/>
      <c r="Y343" s="20"/>
      <c r="Z343" s="20"/>
      <c r="AA343" s="20"/>
      <c r="AB343" s="20"/>
      <c r="AC343" s="21"/>
      <c r="AD343" s="22"/>
    </row>
    <row r="344" spans="1:30" s="23" customFormat="1" x14ac:dyDescent="0.3">
      <c r="A344" s="18"/>
      <c r="B344" s="19" t="s">
        <v>153</v>
      </c>
      <c r="C344" s="19"/>
      <c r="D344" s="217" t="s">
        <v>98</v>
      </c>
      <c r="E344" s="19"/>
      <c r="F344" s="19" t="s">
        <v>170</v>
      </c>
      <c r="G344" s="19"/>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s="23" customFormat="1" x14ac:dyDescent="0.3">
      <c r="A345" s="18"/>
      <c r="B345" s="19"/>
      <c r="C345" s="19"/>
      <c r="D345" s="217"/>
      <c r="E345" s="19"/>
      <c r="F345" s="19"/>
      <c r="G345" s="19"/>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ht="18" x14ac:dyDescent="0.35">
      <c r="A346" s="218"/>
      <c r="B346" s="259" t="s">
        <v>109</v>
      </c>
      <c r="C346" s="219"/>
      <c r="D346" s="220"/>
      <c r="E346" s="220"/>
      <c r="F346" s="220"/>
      <c r="G346" s="220"/>
      <c r="H346" s="220"/>
      <c r="I346" s="220"/>
      <c r="J346" s="220"/>
      <c r="K346" s="220"/>
      <c r="L346" s="220"/>
      <c r="M346" s="220"/>
      <c r="N346" s="220"/>
      <c r="O346" s="220"/>
      <c r="P346" s="260" t="s">
        <v>168</v>
      </c>
      <c r="Q346" s="220"/>
      <c r="R346" s="220"/>
      <c r="S346" s="220"/>
      <c r="T346" s="220"/>
      <c r="U346" s="220"/>
      <c r="V346" s="220"/>
      <c r="W346" s="220"/>
      <c r="X346" s="220"/>
      <c r="Y346" s="220"/>
      <c r="Z346" s="220"/>
      <c r="AA346" s="220"/>
      <c r="AB346" s="220"/>
      <c r="AC346" s="221"/>
      <c r="AD346" s="5"/>
    </row>
    <row r="347" spans="1:30" ht="18" x14ac:dyDescent="0.35">
      <c r="A347" s="218"/>
      <c r="B347" s="259"/>
      <c r="C347" s="219"/>
      <c r="D347" s="220"/>
      <c r="E347" s="220"/>
      <c r="F347" s="220"/>
      <c r="G347" s="220"/>
      <c r="H347" s="220"/>
      <c r="I347" s="220"/>
      <c r="J347" s="220"/>
      <c r="K347" s="220"/>
      <c r="L347" s="220"/>
      <c r="M347" s="220"/>
      <c r="N347" s="220"/>
      <c r="O347" s="220"/>
      <c r="P347" s="260"/>
      <c r="Q347" s="220"/>
      <c r="R347" s="220"/>
      <c r="S347" s="220"/>
      <c r="T347" s="220"/>
      <c r="U347" s="220"/>
      <c r="V347" s="220"/>
      <c r="W347" s="220"/>
      <c r="X347" s="220"/>
      <c r="Y347" s="220"/>
      <c r="Z347" s="220"/>
      <c r="AA347" s="220"/>
      <c r="AB347" s="220"/>
      <c r="AC347" s="221"/>
      <c r="AD347" s="5"/>
    </row>
    <row r="348" spans="1:30" ht="18.600000000000001" thickBot="1" x14ac:dyDescent="0.4">
      <c r="A348" s="218"/>
      <c r="B348" s="222" t="str">
        <f>B234</f>
        <v>PM27 INVESTOR REPORT QUARTER ENDING DECEMBER 2021</v>
      </c>
      <c r="C348" s="219"/>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c r="AA348" s="220"/>
      <c r="AB348" s="220"/>
      <c r="AC348" s="223"/>
      <c r="AD348" s="5"/>
    </row>
    <row r="349" spans="1:30" x14ac:dyDescent="0.3">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c r="Y349" s="224"/>
      <c r="Z349" s="224"/>
      <c r="AA349" s="224"/>
      <c r="AB349" s="224"/>
      <c r="AC349" s="224"/>
    </row>
    <row r="350" spans="1:30" x14ac:dyDescent="0.3">
      <c r="B350" s="278" t="s">
        <v>292</v>
      </c>
    </row>
    <row r="351" spans="1:30" x14ac:dyDescent="0.3">
      <c r="B351" s="270" t="s">
        <v>293</v>
      </c>
    </row>
    <row r="352" spans="1:30" x14ac:dyDescent="0.3">
      <c r="B352" s="270" t="s">
        <v>339</v>
      </c>
      <c r="C352" s="271"/>
      <c r="D352" s="271"/>
      <c r="E352" s="271"/>
      <c r="F352" s="271"/>
      <c r="G352" s="271"/>
      <c r="H352" s="271"/>
      <c r="I352" s="271"/>
      <c r="J352" s="271"/>
      <c r="K352" s="271"/>
      <c r="L352" s="271"/>
      <c r="M352" s="271"/>
      <c r="N352" s="271"/>
      <c r="O352" s="271"/>
      <c r="P352" s="271"/>
      <c r="Q352" s="271"/>
      <c r="R352" s="271"/>
      <c r="S352" s="271"/>
    </row>
    <row r="353" spans="2:19" x14ac:dyDescent="0.3">
      <c r="B353" s="6" t="s">
        <v>338</v>
      </c>
      <c r="C353" s="271"/>
      <c r="D353" s="271"/>
      <c r="E353" s="271"/>
      <c r="F353" s="271"/>
      <c r="G353" s="271"/>
      <c r="H353" s="271"/>
      <c r="I353" s="271"/>
      <c r="J353" s="271"/>
      <c r="K353" s="271"/>
      <c r="L353" s="271"/>
      <c r="M353" s="271"/>
      <c r="N353" s="271"/>
      <c r="O353" s="271"/>
      <c r="P353" s="271"/>
      <c r="Q353" s="271"/>
      <c r="R353" s="271"/>
      <c r="S353" s="271"/>
    </row>
    <row r="355" spans="2:19" x14ac:dyDescent="0.3">
      <c r="B355" s="278" t="s">
        <v>351</v>
      </c>
    </row>
    <row r="356" spans="2:19" x14ac:dyDescent="0.3">
      <c r="B356" s="270" t="s">
        <v>352</v>
      </c>
    </row>
    <row r="357" spans="2:19" x14ac:dyDescent="0.3">
      <c r="B357" s="298" t="s">
        <v>353</v>
      </c>
    </row>
  </sheetData>
  <hyperlinks>
    <hyperlink ref="K9" r:id="rId1" display="http://www.paragon-group.co.uk" xr:uid="{333B518D-07C8-48ED-A751-DBA21CB97136}"/>
    <hyperlink ref="P346" r:id="rId2" xr:uid="{A64189E0-ED9A-4B3B-AA57-E4BE2DE8D527}"/>
    <hyperlink ref="P274" r:id="rId3" xr:uid="{4A7ABB66-6B21-4A14-9C23-8BCBBD691B6C}"/>
    <hyperlink ref="B357" r:id="rId4" display="https://investorreporting.paragonbankinggroup.co.uk/bondinvestor_viewer/resources/bondinvestor/pdf/investornews/2021/libor-mortgages-transition-july-19" xr:uid="{5B652B86-71CB-4BC3-B3F5-AB67B7C7C997}"/>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1" max="18" man="1"/>
    <brk id="234" max="18" man="1"/>
  </rowBreaks>
  <colBreaks count="1" manualBreakCount="1">
    <brk id="29" max="299" man="1"/>
  </colBreaks>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29D9B-4F27-4183-8ACD-B966D0EE56D4}">
  <sheetPr>
    <tabColor rgb="FF2D2926"/>
  </sheetPr>
  <dimension ref="A1:JB352"/>
  <sheetViews>
    <sheetView showGridLines="0" showOutlineSymbols="0" zoomScale="70" zoomScaleNormal="70" workbookViewId="0"/>
  </sheetViews>
  <sheetFormatPr defaultColWidth="9.81640625" defaultRowHeight="15.6" x14ac:dyDescent="0.3"/>
  <cols>
    <col min="1" max="1" width="4" style="6" customWidth="1"/>
    <col min="2" max="2" width="71.08984375" style="6" customWidth="1"/>
    <col min="3" max="3" width="2.08984375" style="6" customWidth="1"/>
    <col min="4" max="4" width="16.08984375" style="6" customWidth="1"/>
    <col min="5" max="5" width="2.81640625" style="6" customWidth="1"/>
    <col min="6" max="6" width="16.08984375" style="6" customWidth="1"/>
    <col min="7" max="7" width="2.08984375" style="6" customWidth="1"/>
    <col min="8" max="8" width="17.81640625" style="6" customWidth="1"/>
    <col min="9" max="9" width="2.08984375" style="6" customWidth="1"/>
    <col min="10" max="10" width="14.8164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302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168</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301</v>
      </c>
      <c r="AC14" s="21"/>
      <c r="AD14" s="22"/>
    </row>
    <row r="15" spans="1:30" s="23" customFormat="1" x14ac:dyDescent="0.3">
      <c r="A15" s="18"/>
      <c r="B15" s="19" t="s">
        <v>278</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323</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3.6400000000000002E-2</v>
      </c>
      <c r="Z16" s="29" t="s">
        <v>264</v>
      </c>
      <c r="AA16" s="29">
        <v>0.96360000000000001</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3.0939297772473479E-2</v>
      </c>
      <c r="Z17" s="29" t="s">
        <v>264</v>
      </c>
      <c r="AA17" s="29">
        <v>0.96906070222752649</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6">
        <v>43951</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44673</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304</v>
      </c>
      <c r="G23" s="35"/>
      <c r="H23" s="35" t="s">
        <v>140</v>
      </c>
      <c r="I23" s="35"/>
      <c r="J23" s="35" t="s">
        <v>141</v>
      </c>
      <c r="K23" s="35"/>
      <c r="L23" s="35" t="s">
        <v>171</v>
      </c>
      <c r="M23" s="35"/>
      <c r="N23" s="35" t="s">
        <v>161</v>
      </c>
      <c r="O23" s="35"/>
      <c r="P23" s="35" t="s">
        <v>181</v>
      </c>
      <c r="Q23" s="35"/>
      <c r="R23" s="35" t="s">
        <v>182</v>
      </c>
      <c r="S23" s="35"/>
      <c r="T23" s="35" t="s">
        <v>183</v>
      </c>
      <c r="U23" s="35"/>
      <c r="V23" s="35" t="s">
        <v>184</v>
      </c>
      <c r="W23" s="35"/>
      <c r="X23" s="35" t="s">
        <v>185</v>
      </c>
      <c r="Y23" s="35" t="s">
        <v>186</v>
      </c>
      <c r="Z23" s="35"/>
      <c r="AA23" s="34"/>
      <c r="AB23" s="34"/>
      <c r="AC23" s="36"/>
      <c r="AD23" s="5"/>
    </row>
    <row r="24" spans="1:33" s="23" customFormat="1" x14ac:dyDescent="0.3">
      <c r="A24" s="18"/>
      <c r="B24" s="37" t="s">
        <v>158</v>
      </c>
      <c r="C24" s="38"/>
      <c r="D24" s="228"/>
      <c r="E24" s="228"/>
      <c r="F24" s="228" t="s">
        <v>220</v>
      </c>
      <c r="G24" s="228"/>
      <c r="H24" s="228" t="s">
        <v>221</v>
      </c>
      <c r="I24" s="228"/>
      <c r="J24" s="228" t="s">
        <v>269</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c r="E25" s="227"/>
      <c r="F25" s="227" t="s">
        <v>222</v>
      </c>
      <c r="G25" s="227"/>
      <c r="H25" s="227" t="s">
        <v>223</v>
      </c>
      <c r="I25" s="227"/>
      <c r="J25" s="227" t="s">
        <v>270</v>
      </c>
      <c r="K25" s="227"/>
      <c r="L25" s="227" t="s">
        <v>324</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159</v>
      </c>
      <c r="C26" s="41"/>
      <c r="D26" s="229"/>
      <c r="E26" s="229"/>
      <c r="F26" s="229" t="s">
        <v>220</v>
      </c>
      <c r="G26" s="229"/>
      <c r="H26" s="229" t="s">
        <v>354</v>
      </c>
      <c r="I26" s="229"/>
      <c r="J26" s="229" t="s">
        <v>355</v>
      </c>
      <c r="K26" s="229"/>
      <c r="L26" s="229" t="s">
        <v>356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c r="E27" s="229"/>
      <c r="F27" s="229" t="s">
        <v>222</v>
      </c>
      <c r="G27" s="229"/>
      <c r="H27" s="229" t="s">
        <v>223</v>
      </c>
      <c r="I27" s="229"/>
      <c r="J27" s="229" t="s">
        <v>270</v>
      </c>
      <c r="K27" s="229"/>
      <c r="L27" s="229" t="s">
        <v>324</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c r="E28" s="227"/>
      <c r="F28" s="227" t="s">
        <v>313</v>
      </c>
      <c r="G28" s="227"/>
      <c r="H28" s="227" t="s">
        <v>314</v>
      </c>
      <c r="I28" s="227"/>
      <c r="J28" s="227" t="s">
        <v>315</v>
      </c>
      <c r="K28" s="227"/>
      <c r="L28" s="227" t="s">
        <v>316</v>
      </c>
      <c r="M28" s="227"/>
      <c r="N28" s="227" t="s">
        <v>317</v>
      </c>
      <c r="O28" s="227"/>
      <c r="P28" s="227" t="s">
        <v>318</v>
      </c>
      <c r="Q28" s="227"/>
      <c r="R28" s="227" t="s">
        <v>83</v>
      </c>
      <c r="S28" s="227"/>
      <c r="T28" s="227" t="s">
        <v>319</v>
      </c>
      <c r="U28" s="227"/>
      <c r="V28" s="227" t="s">
        <v>320</v>
      </c>
      <c r="W28" s="227"/>
      <c r="X28" s="227" t="s">
        <v>321</v>
      </c>
      <c r="Y28" s="227" t="s">
        <v>322</v>
      </c>
      <c r="Z28" s="227"/>
      <c r="AA28" s="49"/>
      <c r="AB28" s="50"/>
      <c r="AC28" s="51"/>
      <c r="AD28" s="22"/>
      <c r="AE28" s="45"/>
      <c r="AG28" s="46"/>
    </row>
    <row r="29" spans="1:33" s="23" customFormat="1" x14ac:dyDescent="0.3">
      <c r="A29" s="39"/>
      <c r="B29" s="40" t="s">
        <v>91</v>
      </c>
      <c r="C29" s="52"/>
      <c r="D29" s="54"/>
      <c r="E29" s="53"/>
      <c r="F29" s="54">
        <v>648307</v>
      </c>
      <c r="G29" s="55"/>
      <c r="H29" s="54">
        <v>41826</v>
      </c>
      <c r="I29" s="55"/>
      <c r="J29" s="54">
        <v>22814</v>
      </c>
      <c r="K29" s="55"/>
      <c r="L29" s="54">
        <v>22814</v>
      </c>
      <c r="M29" s="50"/>
      <c r="N29" s="54">
        <v>24717</v>
      </c>
      <c r="O29" s="54"/>
      <c r="P29" s="231">
        <v>11637</v>
      </c>
      <c r="Q29" s="231"/>
      <c r="R29" s="231">
        <v>4175</v>
      </c>
      <c r="S29" s="54"/>
      <c r="T29" s="54" t="s">
        <v>83</v>
      </c>
      <c r="U29" s="54"/>
      <c r="V29" s="54" t="s">
        <v>83</v>
      </c>
      <c r="W29" s="54"/>
      <c r="X29" s="54" t="s">
        <v>83</v>
      </c>
      <c r="Y29" s="54" t="s">
        <v>83</v>
      </c>
      <c r="Z29" s="54"/>
      <c r="AA29" s="52"/>
      <c r="AB29" s="50">
        <f>SUM(F29:N29)</f>
        <v>760478</v>
      </c>
      <c r="AC29" s="51"/>
      <c r="AD29" s="22"/>
    </row>
    <row r="30" spans="1:33" s="23" customFormat="1" x14ac:dyDescent="0.3">
      <c r="A30" s="47"/>
      <c r="B30" s="40" t="s">
        <v>90</v>
      </c>
      <c r="C30" s="49"/>
      <c r="D30" s="54"/>
      <c r="E30" s="54"/>
      <c r="F30" s="54">
        <f>F29*F33</f>
        <v>598575.37002999999</v>
      </c>
      <c r="G30" s="54"/>
      <c r="H30" s="54">
        <f>H29</f>
        <v>41826</v>
      </c>
      <c r="I30" s="54"/>
      <c r="J30" s="54">
        <f>J29</f>
        <v>22814</v>
      </c>
      <c r="K30" s="54"/>
      <c r="L30" s="54">
        <f>L29</f>
        <v>22814</v>
      </c>
      <c r="M30" s="54"/>
      <c r="N30" s="54">
        <f>N29</f>
        <v>24717</v>
      </c>
      <c r="O30" s="54"/>
      <c r="P30" s="54">
        <f>P29*P33</f>
        <v>10557.551880000001</v>
      </c>
      <c r="Q30" s="54"/>
      <c r="R30" s="54">
        <f>'December 2020'!R31</f>
        <v>0</v>
      </c>
      <c r="S30" s="54"/>
      <c r="T30" s="54" t="s">
        <v>83</v>
      </c>
      <c r="U30" s="54"/>
      <c r="V30" s="54" t="s">
        <v>83</v>
      </c>
      <c r="W30" s="54"/>
      <c r="X30" s="54" t="s">
        <v>83</v>
      </c>
      <c r="Y30" s="54" t="s">
        <v>83</v>
      </c>
      <c r="Z30" s="54"/>
      <c r="AA30" s="49"/>
      <c r="AB30" s="50">
        <f>SUM(F30:N30)</f>
        <v>710746.37002999999</v>
      </c>
      <c r="AC30" s="51"/>
      <c r="AD30" s="22"/>
    </row>
    <row r="31" spans="1:33" s="23" customFormat="1" x14ac:dyDescent="0.3">
      <c r="A31" s="47"/>
      <c r="B31" s="44" t="s">
        <v>92</v>
      </c>
      <c r="C31" s="49"/>
      <c r="D31" s="57"/>
      <c r="E31" s="57"/>
      <c r="F31" s="57">
        <f>F29*F32</f>
        <v>572850.54827000003</v>
      </c>
      <c r="G31" s="57"/>
      <c r="H31" s="57">
        <f>H29</f>
        <v>41826</v>
      </c>
      <c r="I31" s="57"/>
      <c r="J31" s="57">
        <f>J29</f>
        <v>22814</v>
      </c>
      <c r="K31" s="57"/>
      <c r="L31" s="57">
        <f>L29</f>
        <v>22814</v>
      </c>
      <c r="M31" s="57"/>
      <c r="N31" s="57">
        <f>N29</f>
        <v>24717</v>
      </c>
      <c r="O31" s="57"/>
      <c r="P31" s="57">
        <f>P29*P32</f>
        <v>10290.017249999999</v>
      </c>
      <c r="Q31" s="57"/>
      <c r="R31" s="57">
        <v>0</v>
      </c>
      <c r="S31" s="57"/>
      <c r="T31" s="57" t="s">
        <v>83</v>
      </c>
      <c r="U31" s="57"/>
      <c r="V31" s="57" t="s">
        <v>83</v>
      </c>
      <c r="W31" s="57"/>
      <c r="X31" s="57" t="s">
        <v>83</v>
      </c>
      <c r="Y31" s="57" t="s">
        <v>83</v>
      </c>
      <c r="Z31" s="57"/>
      <c r="AA31" s="49"/>
      <c r="AB31" s="56">
        <f>SUM(F31:N31)-1</f>
        <v>685020.54827000003</v>
      </c>
      <c r="AC31" s="51"/>
      <c r="AD31" s="22"/>
      <c r="AE31" s="235"/>
    </row>
    <row r="32" spans="1:33" s="65" customFormat="1" x14ac:dyDescent="0.3">
      <c r="A32" s="58"/>
      <c r="B32" s="166" t="s">
        <v>88</v>
      </c>
      <c r="C32" s="61"/>
      <c r="D32" s="60"/>
      <c r="E32" s="60"/>
      <c r="F32" s="60">
        <v>0.88361000000000001</v>
      </c>
      <c r="G32" s="60"/>
      <c r="H32" s="60">
        <v>1</v>
      </c>
      <c r="I32" s="60"/>
      <c r="J32" s="60">
        <v>1</v>
      </c>
      <c r="K32" s="60"/>
      <c r="L32" s="60">
        <v>1</v>
      </c>
      <c r="M32" s="60"/>
      <c r="N32" s="60">
        <v>1</v>
      </c>
      <c r="O32" s="60"/>
      <c r="P32" s="60">
        <v>0.88424999999999998</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c r="E33" s="225"/>
      <c r="F33" s="60">
        <v>0.92329000000000006</v>
      </c>
      <c r="G33" s="60"/>
      <c r="H33" s="60">
        <v>1</v>
      </c>
      <c r="I33" s="60"/>
      <c r="J33" s="60">
        <v>1</v>
      </c>
      <c r="K33" s="60"/>
      <c r="L33" s="60">
        <v>1</v>
      </c>
      <c r="M33" s="60"/>
      <c r="N33" s="60">
        <v>1</v>
      </c>
      <c r="O33" s="60"/>
      <c r="P33" s="60">
        <v>0.90724000000000005</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c r="E34" s="48"/>
      <c r="F34" s="48" t="s">
        <v>305</v>
      </c>
      <c r="G34" s="48"/>
      <c r="H34" s="48" t="s">
        <v>306</v>
      </c>
      <c r="I34" s="48"/>
      <c r="J34" s="48" t="s">
        <v>273</v>
      </c>
      <c r="K34" s="48"/>
      <c r="L34" s="48" t="s">
        <v>307</v>
      </c>
      <c r="M34" s="48"/>
      <c r="N34" s="48" t="s">
        <v>308</v>
      </c>
      <c r="O34" s="48"/>
      <c r="P34" s="48" t="s">
        <v>254</v>
      </c>
      <c r="Q34" s="48"/>
      <c r="R34" s="48" t="s">
        <v>254</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c r="E35" s="241"/>
      <c r="F35" s="241">
        <v>1.5497199999999999E-2</v>
      </c>
      <c r="G35" s="241"/>
      <c r="H35" s="241">
        <v>1.9497199999999999E-2</v>
      </c>
      <c r="I35" s="241"/>
      <c r="J35" s="241">
        <v>2.2497199999999998E-2</v>
      </c>
      <c r="K35" s="241"/>
      <c r="L35" s="241">
        <v>2.5497200000000001E-2</v>
      </c>
      <c r="M35" s="241"/>
      <c r="N35" s="241">
        <v>3.54972E-2</v>
      </c>
      <c r="O35" s="241"/>
      <c r="P35" s="241">
        <v>4.4497200000000001E-2</v>
      </c>
      <c r="Q35" s="241"/>
      <c r="R35" s="241">
        <v>4.4497200000000001E-2</v>
      </c>
      <c r="S35" s="68"/>
      <c r="T35" s="68" t="s">
        <v>83</v>
      </c>
      <c r="U35" s="68"/>
      <c r="V35" s="68" t="s">
        <v>83</v>
      </c>
      <c r="W35" s="68"/>
      <c r="X35" s="68" t="s">
        <v>83</v>
      </c>
      <c r="Y35" s="68" t="s">
        <v>83</v>
      </c>
      <c r="Z35" s="68"/>
      <c r="AA35" s="40"/>
      <c r="AB35" s="67">
        <f>SUMPRODUCT(D35:N35,D30:N30)/AB30</f>
        <v>1.6973791431561868E-2</v>
      </c>
      <c r="AC35" s="43"/>
      <c r="AD35" s="22"/>
    </row>
    <row r="36" spans="1:30" s="23" customFormat="1" x14ac:dyDescent="0.3">
      <c r="A36" s="47"/>
      <c r="B36" s="40" t="s">
        <v>10</v>
      </c>
      <c r="C36" s="69"/>
      <c r="D36" s="241"/>
      <c r="E36" s="241"/>
      <c r="F36" s="241">
        <v>1.1860799999999999E-2</v>
      </c>
      <c r="G36" s="241"/>
      <c r="H36" s="241">
        <v>1.5860800000000001E-2</v>
      </c>
      <c r="I36" s="241"/>
      <c r="J36" s="241">
        <v>1.88608E-2</v>
      </c>
      <c r="K36" s="241"/>
      <c r="L36" s="241">
        <v>2.18608E-2</v>
      </c>
      <c r="M36" s="241"/>
      <c r="N36" s="241">
        <v>3.1860800000000002E-2</v>
      </c>
      <c r="O36" s="241"/>
      <c r="P36" s="241">
        <v>4.0860800000000003E-2</v>
      </c>
      <c r="Q36" s="241"/>
      <c r="R36" s="241">
        <v>4.0860800000000003E-2</v>
      </c>
      <c r="S36" s="68"/>
      <c r="T36" s="68" t="s">
        <v>83</v>
      </c>
      <c r="U36" s="68"/>
      <c r="V36" s="68" t="s">
        <v>83</v>
      </c>
      <c r="W36" s="68"/>
      <c r="X36" s="68" t="s">
        <v>83</v>
      </c>
      <c r="Y36" s="68" t="s">
        <v>83</v>
      </c>
      <c r="Z36" s="68"/>
      <c r="AA36" s="40"/>
      <c r="AB36" s="40"/>
      <c r="AC36" s="43"/>
      <c r="AD36" s="22"/>
    </row>
    <row r="37" spans="1:30" s="23" customFormat="1" x14ac:dyDescent="0.3">
      <c r="A37" s="47"/>
      <c r="B37" s="40" t="s">
        <v>160</v>
      </c>
      <c r="C37" s="40"/>
      <c r="D37" s="69"/>
      <c r="E37" s="69"/>
      <c r="F37" s="69">
        <v>45945</v>
      </c>
      <c r="G37" s="69"/>
      <c r="H37" s="69">
        <v>45945</v>
      </c>
      <c r="I37" s="69"/>
      <c r="J37" s="69">
        <v>45945</v>
      </c>
      <c r="K37" s="69"/>
      <c r="L37" s="69">
        <v>45945</v>
      </c>
      <c r="M37" s="69"/>
      <c r="N37" s="69">
        <v>45945</v>
      </c>
      <c r="O37" s="69"/>
      <c r="P37" s="69">
        <v>45945</v>
      </c>
      <c r="Q37" s="69"/>
      <c r="R37" s="69">
        <v>45945</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c r="E38" s="69"/>
      <c r="F38" s="69">
        <v>45945</v>
      </c>
      <c r="G38" s="48"/>
      <c r="H38" s="69">
        <v>45945</v>
      </c>
      <c r="I38" s="48"/>
      <c r="J38" s="69">
        <v>45945</v>
      </c>
      <c r="K38" s="48"/>
      <c r="L38" s="69">
        <v>45945</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c r="E39" s="48"/>
      <c r="F39" s="48" t="s">
        <v>309</v>
      </c>
      <c r="G39" s="48"/>
      <c r="H39" s="48" t="s">
        <v>272</v>
      </c>
      <c r="I39" s="48"/>
      <c r="J39" s="48" t="s">
        <v>310</v>
      </c>
      <c r="K39" s="48"/>
      <c r="L39" s="48" t="s">
        <v>308</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7" t="s">
        <v>110</v>
      </c>
      <c r="AC40" s="43"/>
      <c r="AD40" s="22"/>
    </row>
    <row r="41" spans="1:30" s="23" customFormat="1" x14ac:dyDescent="0.3">
      <c r="A41" s="47"/>
      <c r="B41" s="40" t="s">
        <v>253</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32">
        <f>SUM(G29:N29)/F29</f>
        <v>0.17302142349226524</v>
      </c>
      <c r="AC41" s="43"/>
      <c r="AD41" s="22"/>
    </row>
    <row r="42" spans="1:30" s="23" customFormat="1" x14ac:dyDescent="0.3">
      <c r="A42" s="47"/>
      <c r="B42" s="40" t="s">
        <v>252</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32">
        <f>SUM(G31:N31)/F31</f>
        <v>0.19581197982397802</v>
      </c>
      <c r="AC42" s="43"/>
      <c r="AD42" s="22"/>
    </row>
    <row r="43" spans="1:30" s="23" customFormat="1" x14ac:dyDescent="0.3">
      <c r="A43" s="47"/>
      <c r="B43" s="40" t="s">
        <v>197</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1"/>
      <c r="AC44" s="43"/>
      <c r="AD44" s="22"/>
    </row>
    <row r="45" spans="1:30" s="23" customFormat="1" x14ac:dyDescent="0.3">
      <c r="A45" s="47"/>
      <c r="B45" s="40" t="s">
        <v>196</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2"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3"/>
      <c r="AA46" s="73"/>
      <c r="AB46" s="74">
        <v>44670</v>
      </c>
      <c r="AC46" s="43"/>
      <c r="AD46" s="22"/>
    </row>
    <row r="47" spans="1:30" s="23" customFormat="1" x14ac:dyDescent="0.3">
      <c r="A47" s="47"/>
      <c r="B47" s="40" t="s">
        <v>85</v>
      </c>
      <c r="C47" s="40"/>
      <c r="D47" s="75"/>
      <c r="E47" s="75"/>
      <c r="F47" s="75"/>
      <c r="G47" s="75"/>
      <c r="H47" s="75"/>
      <c r="I47" s="75"/>
      <c r="J47" s="75"/>
      <c r="K47" s="75"/>
      <c r="L47" s="75"/>
      <c r="M47" s="75"/>
      <c r="N47" s="75"/>
      <c r="O47" s="75"/>
      <c r="P47" s="75"/>
      <c r="Q47" s="75"/>
      <c r="R47" s="75"/>
      <c r="S47" s="75"/>
      <c r="T47" s="75"/>
      <c r="U47" s="75"/>
      <c r="V47" s="75"/>
      <c r="W47" s="75"/>
      <c r="X47" s="280">
        <f>+AB47-Z47+1</f>
        <v>94</v>
      </c>
      <c r="Y47" s="40"/>
      <c r="Z47" s="76">
        <v>44484</v>
      </c>
      <c r="AA47" s="77"/>
      <c r="AB47" s="76">
        <v>44577</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80">
        <f>+AB48-Z48+1</f>
        <v>92</v>
      </c>
      <c r="Y48" s="40"/>
      <c r="Z48" s="76">
        <v>44578</v>
      </c>
      <c r="AA48" s="77"/>
      <c r="AB48" s="76">
        <v>44669</v>
      </c>
      <c r="AC48" s="43"/>
      <c r="AD48" s="22"/>
    </row>
    <row r="49" spans="1:31" s="23" customFormat="1" x14ac:dyDescent="0.3">
      <c r="A49" s="47"/>
      <c r="B49" s="40" t="s">
        <v>187</v>
      </c>
      <c r="C49" s="40"/>
      <c r="D49" s="40"/>
      <c r="E49" s="40"/>
      <c r="F49" s="40"/>
      <c r="G49" s="40"/>
      <c r="H49" s="40"/>
      <c r="I49" s="40"/>
      <c r="J49" s="40"/>
      <c r="K49" s="40"/>
      <c r="L49" s="40"/>
      <c r="M49" s="40"/>
      <c r="N49" s="40"/>
      <c r="O49" s="40"/>
      <c r="P49" s="40"/>
      <c r="Q49" s="40"/>
      <c r="R49" s="40"/>
      <c r="S49" s="40"/>
      <c r="T49" s="40"/>
      <c r="U49" s="40"/>
      <c r="V49" s="40"/>
      <c r="W49" s="40"/>
      <c r="X49" s="40"/>
      <c r="Y49" s="40"/>
      <c r="Z49" s="76"/>
      <c r="AA49" s="77"/>
      <c r="AB49" s="76" t="s">
        <v>99</v>
      </c>
      <c r="AC49" s="43"/>
      <c r="AD49" s="22"/>
      <c r="AE49" s="78"/>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v>44669</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9"/>
      <c r="AA51" s="80"/>
      <c r="AB51" s="79"/>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1"/>
      <c r="AA52" s="82"/>
      <c r="AB52" s="81"/>
      <c r="AC52" s="21"/>
      <c r="AD52" s="22"/>
    </row>
    <row r="53" spans="1:31" s="23" customFormat="1" ht="18.600000000000001" thickBot="1" x14ac:dyDescent="0.4">
      <c r="A53" s="83"/>
      <c r="B53" s="84" t="s">
        <v>358</v>
      </c>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6"/>
      <c r="AC53" s="87"/>
      <c r="AD53" s="22"/>
    </row>
    <row r="54" spans="1:31" x14ac:dyDescent="0.3">
      <c r="A54" s="33"/>
      <c r="B54" s="88" t="s">
        <v>13</v>
      </c>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90"/>
      <c r="AC54" s="89"/>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1"/>
      <c r="AC55" s="10"/>
      <c r="AD55" s="5"/>
    </row>
    <row r="56" spans="1:31" s="65" customFormat="1" ht="46.8" x14ac:dyDescent="0.3">
      <c r="A56" s="92"/>
      <c r="B56" s="93" t="s">
        <v>14</v>
      </c>
      <c r="C56" s="94"/>
      <c r="D56" s="94"/>
      <c r="E56" s="94"/>
      <c r="F56" s="94"/>
      <c r="G56" s="94"/>
      <c r="H56" s="94"/>
      <c r="I56" s="94"/>
      <c r="J56" s="94"/>
      <c r="K56" s="94"/>
      <c r="L56" s="94"/>
      <c r="M56" s="94"/>
      <c r="N56" s="94"/>
      <c r="O56" s="94"/>
      <c r="P56" s="94" t="s">
        <v>63</v>
      </c>
      <c r="Q56" s="94"/>
      <c r="R56" s="94" t="s">
        <v>65</v>
      </c>
      <c r="S56" s="94"/>
      <c r="T56" s="94" t="s">
        <v>135</v>
      </c>
      <c r="U56" s="94"/>
      <c r="V56" s="94" t="s">
        <v>136</v>
      </c>
      <c r="W56" s="94"/>
      <c r="X56" s="94" t="s">
        <v>68</v>
      </c>
      <c r="Y56" s="94"/>
      <c r="Z56" s="94" t="s">
        <v>72</v>
      </c>
      <c r="AA56" s="94"/>
      <c r="AB56" s="95" t="s">
        <v>78</v>
      </c>
      <c r="AC56" s="96"/>
      <c r="AD56" s="64"/>
    </row>
    <row r="57" spans="1:31" s="23" customFormat="1" x14ac:dyDescent="0.3">
      <c r="A57" s="47"/>
      <c r="B57" s="40" t="s">
        <v>15</v>
      </c>
      <c r="C57" s="97"/>
      <c r="D57" s="97"/>
      <c r="E57" s="97"/>
      <c r="F57" s="97"/>
      <c r="G57" s="97"/>
      <c r="H57" s="98"/>
      <c r="I57" s="97"/>
      <c r="J57" s="98"/>
      <c r="K57" s="97"/>
      <c r="L57" s="97"/>
      <c r="M57" s="97"/>
      <c r="N57" s="97"/>
      <c r="O57" s="97"/>
      <c r="P57" s="238">
        <v>759666</v>
      </c>
      <c r="Q57" s="238"/>
      <c r="R57" s="237">
        <v>710743</v>
      </c>
      <c r="S57" s="238"/>
      <c r="T57" s="237">
        <f>334+18</f>
        <v>352</v>
      </c>
      <c r="U57" s="238"/>
      <c r="V57" s="238">
        <v>25373</v>
      </c>
      <c r="W57" s="238"/>
      <c r="X57" s="238"/>
      <c r="Y57" s="238"/>
      <c r="Z57" s="238">
        <v>0</v>
      </c>
      <c r="AA57" s="238"/>
      <c r="AB57" s="237">
        <f>R57-T57-V57+X57-Z57</f>
        <v>685018</v>
      </c>
      <c r="AC57" s="43"/>
      <c r="AD57" s="22"/>
      <c r="AE57" s="271"/>
    </row>
    <row r="58" spans="1:31" s="23" customFormat="1" x14ac:dyDescent="0.3">
      <c r="A58" s="47"/>
      <c r="B58" s="40" t="s">
        <v>16</v>
      </c>
      <c r="C58" s="97"/>
      <c r="D58" s="97"/>
      <c r="E58" s="97"/>
      <c r="F58" s="97"/>
      <c r="G58" s="97"/>
      <c r="H58" s="98"/>
      <c r="I58" s="97"/>
      <c r="J58" s="98"/>
      <c r="K58" s="97"/>
      <c r="L58" s="97"/>
      <c r="M58" s="97"/>
      <c r="N58" s="97"/>
      <c r="O58" s="97"/>
      <c r="P58" s="238">
        <v>0</v>
      </c>
      <c r="Q58" s="238"/>
      <c r="R58" s="237">
        <v>0</v>
      </c>
      <c r="S58" s="238"/>
      <c r="T58" s="237">
        <v>0</v>
      </c>
      <c r="U58" s="238"/>
      <c r="V58" s="238">
        <v>0</v>
      </c>
      <c r="W58" s="238"/>
      <c r="X58" s="238">
        <v>0</v>
      </c>
      <c r="Y58" s="238"/>
      <c r="Z58" s="238">
        <v>0</v>
      </c>
      <c r="AA58" s="238"/>
      <c r="AB58" s="237">
        <f>F58-J58-L58</f>
        <v>0</v>
      </c>
      <c r="AC58" s="43"/>
      <c r="AD58" s="22"/>
    </row>
    <row r="59" spans="1:31" s="23" customFormat="1" x14ac:dyDescent="0.3">
      <c r="A59" s="47"/>
      <c r="B59" s="40"/>
      <c r="C59" s="97"/>
      <c r="D59" s="97"/>
      <c r="E59" s="97"/>
      <c r="F59" s="97"/>
      <c r="G59" s="97"/>
      <c r="H59" s="98"/>
      <c r="I59" s="97"/>
      <c r="J59" s="98"/>
      <c r="K59" s="97"/>
      <c r="L59" s="97"/>
      <c r="M59" s="97"/>
      <c r="N59" s="97"/>
      <c r="O59" s="97"/>
      <c r="P59" s="238"/>
      <c r="Q59" s="238"/>
      <c r="R59" s="237"/>
      <c r="S59" s="238"/>
      <c r="T59" s="237"/>
      <c r="U59" s="238"/>
      <c r="V59" s="238"/>
      <c r="W59" s="238"/>
      <c r="X59" s="238"/>
      <c r="Y59" s="238"/>
      <c r="Z59" s="238"/>
      <c r="AA59" s="238"/>
      <c r="AB59" s="237"/>
      <c r="AC59" s="43"/>
      <c r="AD59" s="22"/>
    </row>
    <row r="60" spans="1:31" s="23" customFormat="1" x14ac:dyDescent="0.3">
      <c r="A60" s="47"/>
      <c r="B60" s="40" t="s">
        <v>17</v>
      </c>
      <c r="C60" s="97"/>
      <c r="D60" s="97"/>
      <c r="E60" s="97"/>
      <c r="F60" s="97"/>
      <c r="G60" s="97"/>
      <c r="H60" s="97"/>
      <c r="I60" s="97"/>
      <c r="J60" s="97"/>
      <c r="K60" s="97"/>
      <c r="L60" s="97"/>
      <c r="M60" s="97"/>
      <c r="N60" s="97"/>
      <c r="O60" s="97"/>
      <c r="P60" s="238">
        <f>SUM(P57:P59)</f>
        <v>759666</v>
      </c>
      <c r="Q60" s="238"/>
      <c r="R60" s="238">
        <f>R57+R58</f>
        <v>710743</v>
      </c>
      <c r="S60" s="238"/>
      <c r="T60" s="238">
        <f>T57+T58</f>
        <v>352</v>
      </c>
      <c r="U60" s="238"/>
      <c r="V60" s="238">
        <f>SUM(V57:V59)</f>
        <v>25373</v>
      </c>
      <c r="W60" s="238"/>
      <c r="X60" s="238">
        <f>SUM(X57:X59)</f>
        <v>0</v>
      </c>
      <c r="Y60" s="238"/>
      <c r="Z60" s="238">
        <f>SUM(Z57:Z59)</f>
        <v>0</v>
      </c>
      <c r="AA60" s="238"/>
      <c r="AB60" s="238">
        <f>SUM(AB57:AB59)</f>
        <v>685018</v>
      </c>
      <c r="AC60" s="43"/>
      <c r="AD60" s="22"/>
    </row>
    <row r="61" spans="1:31" s="23" customFormat="1" ht="32.1" customHeight="1" x14ac:dyDescent="0.3">
      <c r="A61" s="47"/>
      <c r="B61" s="40"/>
      <c r="C61" s="97"/>
      <c r="D61" s="97"/>
      <c r="E61" s="97"/>
      <c r="F61" s="97"/>
      <c r="G61" s="97"/>
      <c r="H61" s="97"/>
      <c r="I61" s="97"/>
      <c r="J61" s="97"/>
      <c r="K61" s="97"/>
      <c r="L61" s="97"/>
      <c r="M61" s="97"/>
      <c r="N61" s="97"/>
      <c r="O61" s="97"/>
      <c r="P61" s="238"/>
      <c r="Q61" s="238"/>
      <c r="R61" s="238"/>
      <c r="S61" s="238"/>
      <c r="T61" s="238"/>
      <c r="U61" s="238"/>
      <c r="V61" s="238"/>
      <c r="W61" s="238"/>
      <c r="X61" s="238"/>
      <c r="Y61" s="238"/>
      <c r="Z61" s="238"/>
      <c r="AA61" s="238"/>
      <c r="AB61" s="238"/>
      <c r="AC61" s="43"/>
      <c r="AD61" s="22"/>
    </row>
    <row r="62" spans="1:31" s="23" customFormat="1" x14ac:dyDescent="0.3">
      <c r="A62" s="47"/>
      <c r="B62" s="40" t="s">
        <v>18</v>
      </c>
      <c r="C62" s="97"/>
      <c r="D62" s="97"/>
      <c r="E62" s="97"/>
      <c r="F62" s="97"/>
      <c r="G62" s="97"/>
      <c r="H62" s="97"/>
      <c r="I62" s="97"/>
      <c r="J62" s="97"/>
      <c r="K62" s="97"/>
      <c r="L62" s="97"/>
      <c r="M62" s="97"/>
      <c r="N62" s="97"/>
      <c r="O62" s="97"/>
      <c r="P62" s="238">
        <v>0</v>
      </c>
      <c r="Q62" s="238"/>
      <c r="R62" s="238">
        <v>0</v>
      </c>
      <c r="S62" s="238"/>
      <c r="T62" s="238"/>
      <c r="U62" s="238"/>
      <c r="V62" s="238"/>
      <c r="W62" s="238"/>
      <c r="X62" s="238"/>
      <c r="Y62" s="238"/>
      <c r="Z62" s="238"/>
      <c r="AA62" s="238"/>
      <c r="AB62" s="237">
        <v>0</v>
      </c>
      <c r="AC62" s="43"/>
      <c r="AD62" s="22"/>
    </row>
    <row r="63" spans="1:31" s="23" customFormat="1" x14ac:dyDescent="0.3">
      <c r="A63" s="47"/>
      <c r="B63" s="40" t="s">
        <v>274</v>
      </c>
      <c r="C63" s="97"/>
      <c r="D63" s="97"/>
      <c r="E63" s="97"/>
      <c r="F63" s="97"/>
      <c r="G63" s="97"/>
      <c r="H63" s="97"/>
      <c r="I63" s="97"/>
      <c r="J63" s="97"/>
      <c r="K63" s="97"/>
      <c r="L63" s="97"/>
      <c r="M63" s="97"/>
      <c r="N63" s="97"/>
      <c r="O63" s="97"/>
      <c r="P63" s="238">
        <v>0</v>
      </c>
      <c r="Q63" s="238"/>
      <c r="R63" s="238">
        <v>3</v>
      </c>
      <c r="S63" s="238"/>
      <c r="T63" s="238">
        <v>0</v>
      </c>
      <c r="U63" s="238"/>
      <c r="V63" s="238">
        <v>0</v>
      </c>
      <c r="W63" s="238"/>
      <c r="X63" s="238"/>
      <c r="Y63" s="238"/>
      <c r="Z63" s="238"/>
      <c r="AA63" s="238"/>
      <c r="AB63" s="238">
        <f>R63+V63</f>
        <v>3</v>
      </c>
      <c r="AC63" s="43"/>
      <c r="AD63" s="22"/>
    </row>
    <row r="64" spans="1:31" s="23" customFormat="1" x14ac:dyDescent="0.3">
      <c r="A64" s="47"/>
      <c r="B64" s="40" t="s">
        <v>172</v>
      </c>
      <c r="C64" s="97"/>
      <c r="D64" s="97"/>
      <c r="E64" s="97"/>
      <c r="F64" s="97"/>
      <c r="G64" s="97"/>
      <c r="H64" s="97"/>
      <c r="I64" s="97"/>
      <c r="J64" s="97"/>
      <c r="K64" s="97"/>
      <c r="L64" s="97"/>
      <c r="M64" s="97"/>
      <c r="N64" s="97"/>
      <c r="O64" s="97"/>
      <c r="P64" s="238">
        <v>812</v>
      </c>
      <c r="Q64" s="238"/>
      <c r="R64" s="238">
        <v>0</v>
      </c>
      <c r="S64" s="238"/>
      <c r="T64" s="238"/>
      <c r="U64" s="238"/>
      <c r="V64" s="238"/>
      <c r="W64" s="238"/>
      <c r="X64" s="238">
        <v>0</v>
      </c>
      <c r="Y64" s="238"/>
      <c r="Z64" s="238"/>
      <c r="AA64" s="238"/>
      <c r="AB64" s="238">
        <f>+R64+X64</f>
        <v>0</v>
      </c>
      <c r="AC64" s="43"/>
      <c r="AD64" s="22"/>
    </row>
    <row r="65" spans="1:30" s="23" customFormat="1" x14ac:dyDescent="0.3">
      <c r="A65" s="47"/>
      <c r="B65" s="40" t="s">
        <v>19</v>
      </c>
      <c r="C65" s="97"/>
      <c r="D65" s="97"/>
      <c r="E65" s="97"/>
      <c r="F65" s="97"/>
      <c r="G65" s="97"/>
      <c r="H65" s="97"/>
      <c r="I65" s="97"/>
      <c r="J65" s="97"/>
      <c r="K65" s="97"/>
      <c r="L65" s="97"/>
      <c r="M65" s="97"/>
      <c r="N65" s="97"/>
      <c r="O65" s="97"/>
      <c r="P65" s="238">
        <v>0</v>
      </c>
      <c r="Q65" s="238"/>
      <c r="R65" s="238">
        <v>0</v>
      </c>
      <c r="S65" s="238"/>
      <c r="T65" s="238"/>
      <c r="U65" s="238"/>
      <c r="V65" s="238"/>
      <c r="W65" s="238"/>
      <c r="X65" s="238"/>
      <c r="Y65" s="238"/>
      <c r="Z65" s="238"/>
      <c r="AA65" s="238"/>
      <c r="AB65" s="238">
        <v>0</v>
      </c>
      <c r="AC65" s="43"/>
      <c r="AD65" s="22"/>
    </row>
    <row r="66" spans="1:30" s="23" customFormat="1" x14ac:dyDescent="0.3">
      <c r="A66" s="47"/>
      <c r="B66" s="40" t="s">
        <v>20</v>
      </c>
      <c r="C66" s="97"/>
      <c r="D66" s="97"/>
      <c r="E66" s="97"/>
      <c r="F66" s="97"/>
      <c r="G66" s="97"/>
      <c r="H66" s="97"/>
      <c r="I66" s="97"/>
      <c r="J66" s="97"/>
      <c r="K66" s="97"/>
      <c r="L66" s="97"/>
      <c r="M66" s="97"/>
      <c r="N66" s="97"/>
      <c r="O66" s="97"/>
      <c r="P66" s="238">
        <f>SUM(P60:P65)</f>
        <v>760478</v>
      </c>
      <c r="Q66" s="238"/>
      <c r="R66" s="238">
        <f>SUM(R60:R65)</f>
        <v>710746</v>
      </c>
      <c r="S66" s="238"/>
      <c r="T66" s="238"/>
      <c r="U66" s="238"/>
      <c r="V66" s="238"/>
      <c r="W66" s="238"/>
      <c r="X66" s="238"/>
      <c r="Y66" s="238"/>
      <c r="Z66" s="238"/>
      <c r="AA66" s="238"/>
      <c r="AB66" s="238">
        <f>SUM(AB60:AB65)</f>
        <v>685021</v>
      </c>
      <c r="AC66" s="43"/>
      <c r="AD66" s="22"/>
    </row>
    <row r="67" spans="1:30" x14ac:dyDescent="0.3">
      <c r="A67" s="7"/>
      <c r="B67" s="99"/>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1"/>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2" t="s">
        <v>21</v>
      </c>
      <c r="C69" s="102"/>
      <c r="D69" s="103"/>
      <c r="E69" s="103"/>
      <c r="F69" s="103"/>
      <c r="G69" s="103"/>
      <c r="H69" s="104"/>
      <c r="I69" s="103"/>
      <c r="J69" s="105"/>
      <c r="K69" s="103"/>
      <c r="L69" s="103"/>
      <c r="M69" s="103"/>
      <c r="N69" s="103"/>
      <c r="O69" s="103"/>
      <c r="P69" s="103"/>
      <c r="Q69" s="103"/>
      <c r="R69" s="104" t="s">
        <v>64</v>
      </c>
      <c r="S69" s="103"/>
      <c r="T69" s="105">
        <f>+Z235</f>
        <v>44651</v>
      </c>
      <c r="U69" s="103"/>
      <c r="V69" s="103"/>
      <c r="W69" s="103"/>
      <c r="X69" s="103"/>
      <c r="Y69" s="103"/>
      <c r="Z69" s="103" t="s">
        <v>73</v>
      </c>
      <c r="AA69" s="103"/>
      <c r="AB69" s="103"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100">
        <f>+R63</f>
        <v>3</v>
      </c>
      <c r="AA70" s="37"/>
      <c r="AB70" s="107">
        <v>0</v>
      </c>
      <c r="AC70" s="21"/>
      <c r="AD70" s="22"/>
    </row>
    <row r="71" spans="1:30" s="23" customFormat="1" x14ac:dyDescent="0.3">
      <c r="A71" s="47"/>
      <c r="B71" s="40" t="s">
        <v>218</v>
      </c>
      <c r="C71" s="40"/>
      <c r="D71" s="70"/>
      <c r="E71" s="70"/>
      <c r="F71" s="70"/>
      <c r="G71" s="108"/>
      <c r="H71" s="70"/>
      <c r="I71" s="40"/>
      <c r="J71" s="109"/>
      <c r="K71" s="40"/>
      <c r="L71" s="40"/>
      <c r="M71" s="40"/>
      <c r="N71" s="40"/>
      <c r="O71" s="40"/>
      <c r="P71" s="40"/>
      <c r="Q71" s="40"/>
      <c r="R71" s="40"/>
      <c r="S71" s="40"/>
      <c r="T71" s="40"/>
      <c r="U71" s="40"/>
      <c r="V71" s="40"/>
      <c r="W71" s="40"/>
      <c r="X71" s="40"/>
      <c r="Y71" s="40"/>
      <c r="Z71" s="238">
        <f>-X64</f>
        <v>0</v>
      </c>
      <c r="AA71" s="40"/>
      <c r="AB71" s="98"/>
      <c r="AC71" s="43"/>
      <c r="AD71" s="22"/>
    </row>
    <row r="72" spans="1:30" s="23" customFormat="1" x14ac:dyDescent="0.3">
      <c r="A72" s="47"/>
      <c r="B72" s="40" t="s">
        <v>217</v>
      </c>
      <c r="C72" s="40"/>
      <c r="D72" s="70"/>
      <c r="E72" s="70"/>
      <c r="F72" s="70"/>
      <c r="G72" s="108"/>
      <c r="H72" s="70"/>
      <c r="I72" s="40"/>
      <c r="J72" s="109"/>
      <c r="K72" s="40"/>
      <c r="L72" s="40"/>
      <c r="M72" s="40"/>
      <c r="N72" s="40"/>
      <c r="O72" s="40"/>
      <c r="P72" s="40"/>
      <c r="Q72" s="40"/>
      <c r="R72" s="40"/>
      <c r="S72" s="40"/>
      <c r="T72" s="40"/>
      <c r="U72" s="40"/>
      <c r="V72" s="40"/>
      <c r="W72" s="40"/>
      <c r="X72" s="40"/>
      <c r="Y72" s="40"/>
      <c r="Z72" s="238">
        <f>-Z209</f>
        <v>0</v>
      </c>
      <c r="AA72" s="40"/>
      <c r="AB72" s="98"/>
      <c r="AC72" s="43"/>
      <c r="AD72" s="22"/>
    </row>
    <row r="73" spans="1:30" s="23" customFormat="1" x14ac:dyDescent="0.3">
      <c r="A73" s="47"/>
      <c r="B73" s="40" t="s">
        <v>23</v>
      </c>
      <c r="C73" s="40"/>
      <c r="D73" s="70"/>
      <c r="E73" s="70"/>
      <c r="F73" s="70"/>
      <c r="G73" s="108"/>
      <c r="H73" s="70"/>
      <c r="I73" s="40"/>
      <c r="J73" s="109"/>
      <c r="K73" s="40"/>
      <c r="L73" s="40"/>
      <c r="M73" s="40"/>
      <c r="N73" s="40"/>
      <c r="O73" s="40"/>
      <c r="P73" s="40"/>
      <c r="Q73" s="40"/>
      <c r="R73" s="40"/>
      <c r="S73" s="40"/>
      <c r="T73" s="40"/>
      <c r="U73" s="40"/>
      <c r="V73" s="40"/>
      <c r="W73" s="40"/>
      <c r="X73" s="40"/>
      <c r="Y73" s="40"/>
      <c r="Z73" s="238">
        <f>+T57+V57+Z57-2</f>
        <v>25723</v>
      </c>
      <c r="AA73" s="40"/>
      <c r="AB73" s="98"/>
      <c r="AC73" s="43"/>
      <c r="AD73" s="22"/>
    </row>
    <row r="74" spans="1:30" s="23" customFormat="1" x14ac:dyDescent="0.3">
      <c r="A74" s="47"/>
      <c r="B74" s="40" t="s">
        <v>115</v>
      </c>
      <c r="C74" s="40"/>
      <c r="D74" s="70"/>
      <c r="E74" s="70"/>
      <c r="F74" s="70"/>
      <c r="G74" s="108"/>
      <c r="H74" s="70"/>
      <c r="I74" s="40"/>
      <c r="J74" s="109"/>
      <c r="K74" s="40"/>
      <c r="L74" s="40"/>
      <c r="M74" s="40"/>
      <c r="N74" s="40"/>
      <c r="O74" s="40"/>
      <c r="P74" s="40"/>
      <c r="Q74" s="40"/>
      <c r="R74" s="40"/>
      <c r="S74" s="40"/>
      <c r="T74" s="40"/>
      <c r="U74" s="40"/>
      <c r="V74" s="40"/>
      <c r="W74" s="40"/>
      <c r="X74" s="40"/>
      <c r="Y74" s="40"/>
      <c r="Z74" s="238"/>
      <c r="AA74" s="40"/>
      <c r="AB74" s="98">
        <f>7241+232-865-27</f>
        <v>6581</v>
      </c>
      <c r="AC74" s="43"/>
      <c r="AD74" s="22"/>
    </row>
    <row r="75" spans="1:30" s="23" customFormat="1" x14ac:dyDescent="0.3">
      <c r="A75" s="47"/>
      <c r="B75" s="40" t="s">
        <v>113</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336+14</f>
        <v>350</v>
      </c>
      <c r="AC75" s="43"/>
      <c r="AD75" s="22"/>
    </row>
    <row r="76" spans="1:30" s="23" customFormat="1" x14ac:dyDescent="0.3">
      <c r="A76" s="47"/>
      <c r="B76" s="40" t="s">
        <v>114</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v>20</v>
      </c>
      <c r="AC76" s="43"/>
      <c r="AD76" s="22"/>
    </row>
    <row r="77" spans="1:30" s="23" customFormat="1" x14ac:dyDescent="0.3">
      <c r="A77" s="47"/>
      <c r="B77" s="40" t="s">
        <v>120</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59" t="s">
        <v>224</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268</v>
      </c>
      <c r="AC78" s="43"/>
      <c r="AD78" s="22"/>
    </row>
    <row r="79" spans="1:30" s="23" customFormat="1" x14ac:dyDescent="0.3">
      <c r="A79" s="47"/>
      <c r="B79" s="59" t="s">
        <v>225</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0</v>
      </c>
      <c r="AC79" s="43"/>
      <c r="AD79" s="22"/>
    </row>
    <row r="80" spans="1:30" s="23" customFormat="1" x14ac:dyDescent="0.3">
      <c r="A80" s="47"/>
      <c r="B80" s="40" t="s">
        <v>232</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f>+AB167</f>
        <v>0</v>
      </c>
      <c r="AC80" s="43"/>
      <c r="AD80" s="22"/>
    </row>
    <row r="81" spans="1:30" s="23" customFormat="1" x14ac:dyDescent="0.3">
      <c r="A81" s="47"/>
      <c r="B81" s="40" t="s">
        <v>246</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v>0</v>
      </c>
      <c r="AC81" s="43"/>
      <c r="AD81" s="22"/>
    </row>
    <row r="82" spans="1:30" s="23" customFormat="1" x14ac:dyDescent="0.3">
      <c r="A82" s="47"/>
      <c r="B82" s="59" t="s">
        <v>233</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598</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8">
        <f>SUM(Z70:Z82)</f>
        <v>25726</v>
      </c>
      <c r="AA83" s="40"/>
      <c r="AB83" s="97">
        <f>SUM(AB70:AB82)</f>
        <v>7817</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8">
        <f>-AB84</f>
        <v>0</v>
      </c>
      <c r="AA84" s="40"/>
      <c r="AB84" s="98">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8"/>
      <c r="AA85" s="40"/>
      <c r="AB85" s="98">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8">
        <f>Z83+Z84</f>
        <v>25726</v>
      </c>
      <c r="AA86" s="40"/>
      <c r="AB86" s="97">
        <f>AB83+AB84+AB85</f>
        <v>7817</v>
      </c>
      <c r="AC86" s="43"/>
      <c r="AD86" s="22"/>
    </row>
    <row r="87" spans="1:30" x14ac:dyDescent="0.3">
      <c r="A87" s="110"/>
      <c r="B87" s="111" t="s">
        <v>27</v>
      </c>
      <c r="C87" s="59"/>
      <c r="D87" s="59"/>
      <c r="E87" s="59"/>
      <c r="F87" s="59"/>
      <c r="G87" s="59"/>
      <c r="H87" s="59"/>
      <c r="I87" s="59"/>
      <c r="J87" s="59"/>
      <c r="K87" s="59"/>
      <c r="L87" s="59"/>
      <c r="M87" s="59"/>
      <c r="N87" s="59"/>
      <c r="O87" s="59"/>
      <c r="P87" s="59"/>
      <c r="Q87" s="59"/>
      <c r="R87" s="59"/>
      <c r="S87" s="59"/>
      <c r="T87" s="59"/>
      <c r="U87" s="59"/>
      <c r="V87" s="59"/>
      <c r="W87" s="59"/>
      <c r="X87" s="59"/>
      <c r="Y87" s="59"/>
      <c r="Z87" s="238"/>
      <c r="AA87" s="112"/>
      <c r="AB87" s="113"/>
      <c r="AC87" s="114"/>
      <c r="AD87" s="5"/>
    </row>
    <row r="88" spans="1:30" x14ac:dyDescent="0.3">
      <c r="A88" s="110">
        <v>1</v>
      </c>
      <c r="B88" s="59" t="s">
        <v>138</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98">
        <v>0</v>
      </c>
      <c r="AC88" s="114"/>
      <c r="AD88" s="5"/>
    </row>
    <row r="89" spans="1:30" x14ac:dyDescent="0.3">
      <c r="A89" s="110">
        <v>2</v>
      </c>
      <c r="B89" s="59" t="s">
        <v>275</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-2</v>
      </c>
      <c r="AC89" s="114"/>
      <c r="AD89" s="5"/>
    </row>
    <row r="90" spans="1:30" x14ac:dyDescent="0.3">
      <c r="A90" s="110">
        <v>3</v>
      </c>
      <c r="B90" s="59" t="s">
        <v>247</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f>-351-10-10</f>
        <v>-371</v>
      </c>
      <c r="AC90" s="114"/>
      <c r="AD90" s="5"/>
    </row>
    <row r="91" spans="1:30" x14ac:dyDescent="0.3">
      <c r="A91" s="110">
        <v>4</v>
      </c>
      <c r="B91" s="59" t="s">
        <v>82</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v>-200</v>
      </c>
      <c r="AC91" s="114"/>
      <c r="AD91" s="5"/>
    </row>
    <row r="92" spans="1:30" x14ac:dyDescent="0.3">
      <c r="A92" s="110">
        <v>5</v>
      </c>
      <c r="B92" s="59" t="s">
        <v>129</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-2338</v>
      </c>
      <c r="AC92" s="114"/>
      <c r="AD92" s="5"/>
    </row>
    <row r="93" spans="1:30" x14ac:dyDescent="0.3">
      <c r="A93" s="110">
        <v>6</v>
      </c>
      <c r="B93" s="59" t="s">
        <v>150</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-206</v>
      </c>
      <c r="AC93" s="114"/>
      <c r="AD93" s="5"/>
    </row>
    <row r="94" spans="1:30" x14ac:dyDescent="0.3">
      <c r="A94" s="110">
        <v>7</v>
      </c>
      <c r="B94" s="59" t="s">
        <v>201</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0</v>
      </c>
      <c r="AC94" s="114"/>
      <c r="AD94" s="5"/>
    </row>
    <row r="95" spans="1:30" x14ac:dyDescent="0.3">
      <c r="A95" s="110">
        <v>8</v>
      </c>
      <c r="B95" s="59" t="s">
        <v>151</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-129</v>
      </c>
      <c r="AC95" s="114"/>
      <c r="AD95" s="5"/>
    </row>
    <row r="96" spans="1:30" x14ac:dyDescent="0.3">
      <c r="A96" s="110">
        <v>9</v>
      </c>
      <c r="B96" s="59" t="s">
        <v>180</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-147</v>
      </c>
      <c r="AC96" s="114"/>
      <c r="AD96" s="5"/>
    </row>
    <row r="97" spans="1:30" x14ac:dyDescent="0.3">
      <c r="A97" s="110">
        <v>10</v>
      </c>
      <c r="B97" s="59" t="s">
        <v>130</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0</v>
      </c>
      <c r="AC97" s="114"/>
      <c r="AD97" s="5"/>
    </row>
    <row r="98" spans="1:30" x14ac:dyDescent="0.3">
      <c r="A98" s="110">
        <v>11</v>
      </c>
      <c r="B98" s="59" t="s">
        <v>200</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0</v>
      </c>
      <c r="AC98" s="114"/>
      <c r="AD98" s="5"/>
    </row>
    <row r="99" spans="1:30" x14ac:dyDescent="0.3">
      <c r="A99" s="110">
        <v>12</v>
      </c>
      <c r="B99" s="59" t="s">
        <v>33</v>
      </c>
      <c r="C99" s="59"/>
      <c r="D99" s="59"/>
      <c r="E99" s="59"/>
      <c r="F99" s="59"/>
      <c r="G99" s="59"/>
      <c r="H99" s="59"/>
      <c r="I99" s="59"/>
      <c r="J99" s="59"/>
      <c r="K99" s="59"/>
      <c r="L99" s="59"/>
      <c r="M99" s="59"/>
      <c r="N99" s="59"/>
      <c r="O99" s="59"/>
      <c r="P99" s="59"/>
      <c r="Q99" s="59"/>
      <c r="R99" s="59"/>
      <c r="S99" s="59"/>
      <c r="T99" s="59"/>
      <c r="U99" s="59"/>
      <c r="V99" s="59"/>
      <c r="W99" s="59"/>
      <c r="X99" s="59"/>
      <c r="Y99" s="59"/>
      <c r="Z99" s="238">
        <f>-AB99</f>
        <v>2</v>
      </c>
      <c r="AA99" s="112"/>
      <c r="AB99" s="98">
        <v>-2</v>
      </c>
      <c r="AC99" s="114"/>
      <c r="AD99" s="5"/>
    </row>
    <row r="100" spans="1:30" x14ac:dyDescent="0.3">
      <c r="A100" s="110">
        <v>13</v>
      </c>
      <c r="B100" s="59" t="s">
        <v>276</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14</v>
      </c>
      <c r="B101" s="59" t="s">
        <v>277</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c r="AA101" s="112"/>
      <c r="AB101" s="98">
        <v>-1250</v>
      </c>
      <c r="AC101" s="114"/>
      <c r="AD101" s="5"/>
    </row>
    <row r="102" spans="1:30" x14ac:dyDescent="0.3">
      <c r="A102" s="110">
        <v>15</v>
      </c>
      <c r="B102" s="59" t="s">
        <v>28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-26</v>
      </c>
      <c r="AC102" s="114"/>
      <c r="AD102" s="5"/>
    </row>
    <row r="103" spans="1:30" x14ac:dyDescent="0.3">
      <c r="A103" s="110">
        <v>16</v>
      </c>
      <c r="B103" s="59" t="s">
        <v>118</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0</v>
      </c>
      <c r="AC103" s="114"/>
      <c r="AD103" s="5"/>
    </row>
    <row r="104" spans="1:30" x14ac:dyDescent="0.3">
      <c r="A104" s="110">
        <v>17</v>
      </c>
      <c r="B104" s="59" t="s">
        <v>188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0</v>
      </c>
      <c r="AC104" s="114"/>
      <c r="AD104" s="5"/>
    </row>
    <row r="105" spans="1:30" x14ac:dyDescent="0.3">
      <c r="A105" s="110">
        <v>18</v>
      </c>
      <c r="B105" s="59" t="s">
        <v>162</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-221</v>
      </c>
      <c r="AC105" s="114"/>
      <c r="AD105" s="5"/>
    </row>
    <row r="106" spans="1:30" x14ac:dyDescent="0.3">
      <c r="A106" s="110">
        <v>19</v>
      </c>
      <c r="B106" s="59" t="s">
        <v>257</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-118</v>
      </c>
      <c r="AC106" s="114"/>
      <c r="AD106" s="5"/>
    </row>
    <row r="107" spans="1:30" x14ac:dyDescent="0.3">
      <c r="A107" s="110">
        <v>20</v>
      </c>
      <c r="B107" s="59" t="s">
        <v>258</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-268</v>
      </c>
      <c r="AC107" s="114"/>
      <c r="AD107" s="5"/>
    </row>
    <row r="108" spans="1:30" x14ac:dyDescent="0.3">
      <c r="A108" s="110">
        <v>21</v>
      </c>
      <c r="B108" s="59" t="s">
        <v>259</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0</v>
      </c>
      <c r="AC108" s="114"/>
      <c r="AD108" s="5"/>
    </row>
    <row r="109" spans="1:30" x14ac:dyDescent="0.3">
      <c r="A109" s="110">
        <v>22</v>
      </c>
      <c r="B109" s="59" t="s">
        <v>260</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0</v>
      </c>
      <c r="AC109" s="114"/>
      <c r="AD109" s="5"/>
    </row>
    <row r="110" spans="1:30" x14ac:dyDescent="0.3">
      <c r="A110" s="110">
        <v>23</v>
      </c>
      <c r="B110" s="59" t="s">
        <v>131</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24</v>
      </c>
      <c r="B111" s="59" t="s">
        <v>137</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f>-12-71</f>
        <v>-83</v>
      </c>
      <c r="AC111" s="114"/>
      <c r="AD111" s="5"/>
    </row>
    <row r="112" spans="1:30" x14ac:dyDescent="0.3">
      <c r="A112" s="110">
        <v>25</v>
      </c>
      <c r="B112" s="59" t="s">
        <v>255</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-5</v>
      </c>
      <c r="AC112" s="114"/>
      <c r="AD112" s="5"/>
    </row>
    <row r="113" spans="1:30" x14ac:dyDescent="0.3">
      <c r="A113" s="110">
        <v>26</v>
      </c>
      <c r="B113" s="59" t="s">
        <v>226</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-2451</v>
      </c>
      <c r="AC113" s="114"/>
      <c r="AD113" s="5"/>
    </row>
    <row r="114" spans="1:30" x14ac:dyDescent="0.3">
      <c r="A114" s="110"/>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113"/>
      <c r="AC114" s="114"/>
      <c r="AD114" s="5"/>
    </row>
    <row r="115" spans="1:30" x14ac:dyDescent="0.3">
      <c r="A115" s="110"/>
      <c r="B115" s="111" t="s">
        <v>29</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112"/>
      <c r="AB115" s="116"/>
      <c r="AC115" s="114"/>
      <c r="AD115" s="5"/>
    </row>
    <row r="116" spans="1:30" x14ac:dyDescent="0.3">
      <c r="A116" s="110"/>
      <c r="B116" s="40" t="s">
        <v>227</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v>0</v>
      </c>
      <c r="AA116" s="112"/>
      <c r="AB116" s="116"/>
      <c r="AC116" s="114"/>
      <c r="AD116" s="5"/>
    </row>
    <row r="117" spans="1:30" s="23" customFormat="1" x14ac:dyDescent="0.3">
      <c r="A117" s="47"/>
      <c r="B117" s="40" t="s">
        <v>156</v>
      </c>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238">
        <v>0</v>
      </c>
      <c r="AA117" s="97"/>
      <c r="AB117" s="98"/>
      <c r="AC117" s="43"/>
      <c r="AD117" s="22"/>
    </row>
    <row r="118" spans="1:30" s="23" customFormat="1" x14ac:dyDescent="0.3">
      <c r="A118" s="47"/>
      <c r="B118" s="40" t="s">
        <v>157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8">
        <v>0</v>
      </c>
      <c r="AA118" s="97"/>
      <c r="AB118" s="98"/>
      <c r="AC118" s="43"/>
      <c r="AD118" s="22"/>
    </row>
    <row r="119" spans="1:30" s="23" customFormat="1" x14ac:dyDescent="0.3">
      <c r="A119" s="47"/>
      <c r="B119" s="40" t="s">
        <v>262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263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312</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-25725</v>
      </c>
      <c r="AA121" s="97"/>
      <c r="AB121" s="98"/>
      <c r="AC121" s="43"/>
      <c r="AD121" s="22"/>
    </row>
    <row r="122" spans="1:30" s="23" customFormat="1" x14ac:dyDescent="0.3">
      <c r="A122" s="47"/>
      <c r="B122" s="40" t="s">
        <v>142</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143</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0</v>
      </c>
      <c r="AA123" s="97"/>
      <c r="AB123" s="98"/>
      <c r="AC123" s="43"/>
      <c r="AD123" s="22"/>
    </row>
    <row r="124" spans="1:30" s="23" customFormat="1" x14ac:dyDescent="0.3">
      <c r="A124" s="47"/>
      <c r="B124" s="40" t="s">
        <v>173</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163</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189</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30</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f>SUM(Z116:Z126)</f>
        <v>-25725</v>
      </c>
      <c r="AA127" s="97"/>
      <c r="AB127" s="97">
        <f>SUM(AB87:AB125)</f>
        <v>-7817</v>
      </c>
      <c r="AC127" s="43"/>
      <c r="AD127" s="22"/>
    </row>
    <row r="128" spans="1:30" s="23" customFormat="1" x14ac:dyDescent="0.3">
      <c r="A128" s="47"/>
      <c r="B128" s="40" t="s">
        <v>31</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f>Z86+Z127+Z99</f>
        <v>3</v>
      </c>
      <c r="AA128" s="97"/>
      <c r="AB128" s="97">
        <f>AB86+AB127</f>
        <v>0</v>
      </c>
      <c r="AC128" s="43"/>
      <c r="AD128" s="22"/>
    </row>
    <row r="129" spans="1:30" s="23" customFormat="1" x14ac:dyDescent="0.3">
      <c r="A129" s="18"/>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106"/>
      <c r="AA129" s="106"/>
      <c r="AB129" s="106"/>
      <c r="AC129" s="21"/>
      <c r="AD129" s="22"/>
    </row>
    <row r="130" spans="1:30" s="23" customFormat="1" x14ac:dyDescent="0.3">
      <c r="A130" s="18"/>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117"/>
      <c r="AC130" s="21"/>
      <c r="AD130" s="22"/>
    </row>
    <row r="131" spans="1:30" s="23" customFormat="1" ht="18.600000000000001" thickBot="1" x14ac:dyDescent="0.4">
      <c r="A131" s="83"/>
      <c r="B131" s="84" t="str">
        <f>B53</f>
        <v>PM27 INVESTOR REPORT QUARTER ENDING MARCH 2022</v>
      </c>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118"/>
      <c r="AC131" s="87"/>
      <c r="AD131" s="22"/>
    </row>
    <row r="132" spans="1:30" x14ac:dyDescent="0.3">
      <c r="A132" s="119"/>
      <c r="B132" s="120" t="s">
        <v>32</v>
      </c>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2"/>
      <c r="AC132" s="123"/>
      <c r="AD132" s="5"/>
    </row>
    <row r="133" spans="1:30" x14ac:dyDescent="0.3">
      <c r="A133" s="7"/>
      <c r="B133" s="124"/>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1"/>
      <c r="AC133" s="10"/>
      <c r="AD133" s="5"/>
    </row>
    <row r="134" spans="1:30" x14ac:dyDescent="0.3">
      <c r="A134" s="7"/>
      <c r="B134" s="125" t="s">
        <v>192</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1"/>
      <c r="AC134" s="10"/>
      <c r="AD134" s="5"/>
    </row>
    <row r="135" spans="1:30" s="23" customFormat="1" x14ac:dyDescent="0.3">
      <c r="A135" s="47"/>
      <c r="B135" s="40" t="s">
        <v>199</v>
      </c>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98">
        <f>SUM(F29:H29)*1.5%</f>
        <v>10351.994999999999</v>
      </c>
      <c r="AC135" s="43"/>
      <c r="AD135" s="22"/>
    </row>
    <row r="136" spans="1:30" s="23" customFormat="1" x14ac:dyDescent="0.3">
      <c r="A136" s="47"/>
      <c r="B136" s="40" t="s">
        <v>204</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8">
        <f>+'December 2021'!AB143</f>
        <v>9874.994999999999</v>
      </c>
      <c r="AC136" s="43"/>
      <c r="AD136" s="22"/>
    </row>
    <row r="137" spans="1:30" s="23" customFormat="1" x14ac:dyDescent="0.3">
      <c r="A137" s="47"/>
      <c r="B137" s="40" t="s">
        <v>248</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8"/>
      <c r="AC137" s="43"/>
      <c r="AD137" s="22"/>
    </row>
    <row r="138" spans="1:30" s="23" customFormat="1" x14ac:dyDescent="0.3">
      <c r="A138" s="47"/>
      <c r="B138" s="40" t="s">
        <v>250</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v>0</v>
      </c>
      <c r="AC138" s="43"/>
      <c r="AD138" s="22"/>
    </row>
    <row r="139" spans="1:30" s="23" customFormat="1" x14ac:dyDescent="0.3">
      <c r="A139" s="47"/>
      <c r="B139" s="40" t="s">
        <v>198</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v>0</v>
      </c>
      <c r="AC139" s="43"/>
      <c r="AD139" s="22"/>
    </row>
    <row r="140" spans="1:30" s="23" customFormat="1" x14ac:dyDescent="0.3">
      <c r="A140" s="47"/>
      <c r="B140" s="40" t="s">
        <v>150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v>0</v>
      </c>
      <c r="AC140" s="43"/>
      <c r="AD140" s="22"/>
    </row>
    <row r="141" spans="1:30" s="23" customFormat="1" x14ac:dyDescent="0.3">
      <c r="A141" s="47"/>
      <c r="B141" s="40" t="s">
        <v>87</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251</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-268</v>
      </c>
      <c r="AC142" s="43"/>
      <c r="AD142" s="22"/>
    </row>
    <row r="143" spans="1:30" s="23" customFormat="1" x14ac:dyDescent="0.3">
      <c r="A143" s="47"/>
      <c r="B143" s="40" t="s">
        <v>203</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f>SUM(AB136:AB142)</f>
        <v>9606.994999999999</v>
      </c>
      <c r="AC143" s="43"/>
      <c r="AD143" s="22"/>
    </row>
    <row r="144" spans="1:30" x14ac:dyDescent="0.3">
      <c r="A144" s="7"/>
      <c r="B144" s="124"/>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1"/>
      <c r="AC144" s="10"/>
      <c r="AD144" s="5"/>
    </row>
    <row r="145" spans="1:30" x14ac:dyDescent="0.3">
      <c r="A145" s="7"/>
      <c r="B145" s="125" t="s">
        <v>190</v>
      </c>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1"/>
      <c r="AC145" s="10"/>
      <c r="AD145" s="5"/>
    </row>
    <row r="146" spans="1:30" s="23" customFormat="1" x14ac:dyDescent="0.3">
      <c r="A146" s="47"/>
      <c r="B146" s="59" t="s">
        <v>191</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SUM(J29:L29)*1.5%</f>
        <v>684.42</v>
      </c>
      <c r="AC146" s="43"/>
      <c r="AD146" s="22"/>
    </row>
    <row r="147" spans="1:30" s="23" customFormat="1" x14ac:dyDescent="0.3">
      <c r="A147" s="47"/>
      <c r="B147" s="59" t="s">
        <v>205</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8">
        <f>SUM(J29:L29)*0.015</f>
        <v>684.42</v>
      </c>
      <c r="AC147" s="43"/>
      <c r="AD147" s="22"/>
    </row>
    <row r="148" spans="1:30" s="23" customFormat="1" x14ac:dyDescent="0.3">
      <c r="A148" s="47"/>
      <c r="B148" s="59" t="s">
        <v>93</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8"/>
      <c r="AC148" s="43"/>
      <c r="AD148" s="22"/>
    </row>
    <row r="149" spans="1:30" s="23" customFormat="1" x14ac:dyDescent="0.3">
      <c r="A149" s="47"/>
      <c r="B149" s="40" t="s">
        <v>250</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v>0</v>
      </c>
      <c r="AC149" s="43"/>
      <c r="AD149" s="22"/>
    </row>
    <row r="150" spans="1:30" s="23" customFormat="1" x14ac:dyDescent="0.3">
      <c r="A150" s="47"/>
      <c r="B150" s="59" t="s">
        <v>129</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v>0</v>
      </c>
      <c r="AC150" s="43"/>
      <c r="AD150" s="22"/>
    </row>
    <row r="151" spans="1:30" s="23" customFormat="1" x14ac:dyDescent="0.3">
      <c r="A151" s="47"/>
      <c r="B151" s="59" t="s">
        <v>150</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v>0</v>
      </c>
      <c r="AC151" s="43"/>
      <c r="AD151" s="22"/>
    </row>
    <row r="152" spans="1:30" s="23" customFormat="1" x14ac:dyDescent="0.3">
      <c r="A152" s="47"/>
      <c r="B152" s="59" t="s">
        <v>151</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0" s="23" customFormat="1" x14ac:dyDescent="0.3">
      <c r="A153" s="47"/>
      <c r="B153" s="59" t="s">
        <v>180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0" s="23" customFormat="1" x14ac:dyDescent="0.3">
      <c r="A154" s="47"/>
      <c r="B154" s="59" t="s">
        <v>87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0" s="23" customFormat="1" x14ac:dyDescent="0.3">
      <c r="A155" s="47"/>
      <c r="B155" s="40" t="s">
        <v>251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0" s="23" customFormat="1" x14ac:dyDescent="0.3">
      <c r="A156" s="47"/>
      <c r="B156" s="59" t="s">
        <v>202</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f>SUM(AB147:AB155)</f>
        <v>684.42</v>
      </c>
      <c r="AC156" s="43"/>
      <c r="AD156" s="22"/>
    </row>
    <row r="157" spans="1:30" x14ac:dyDescent="0.3">
      <c r="A157" s="7"/>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126"/>
      <c r="AC157" s="10"/>
      <c r="AD157" s="5"/>
    </row>
    <row r="158" spans="1:30" x14ac:dyDescent="0.3">
      <c r="A158" s="7"/>
      <c r="B158" s="125" t="s">
        <v>174</v>
      </c>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8"/>
      <c r="AC158" s="10"/>
      <c r="AD158" s="5"/>
    </row>
    <row r="159" spans="1:30" s="23" customFormat="1" x14ac:dyDescent="0.3">
      <c r="A159" s="129"/>
      <c r="B159" s="230" t="s">
        <v>281</v>
      </c>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1">
        <f>+'December 2021'!AB162</f>
        <v>0</v>
      </c>
      <c r="AC159" s="132"/>
      <c r="AD159" s="22"/>
    </row>
    <row r="160" spans="1:30" s="23" customFormat="1" x14ac:dyDescent="0.3">
      <c r="A160" s="129"/>
      <c r="B160" s="230" t="s">
        <v>175</v>
      </c>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1">
        <f>X64</f>
        <v>0</v>
      </c>
      <c r="AC160" s="132"/>
      <c r="AD160" s="22"/>
    </row>
    <row r="161" spans="1:262" s="23" customFormat="1" x14ac:dyDescent="0.3">
      <c r="A161" s="129"/>
      <c r="B161" s="230" t="s">
        <v>249</v>
      </c>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1">
        <v>0</v>
      </c>
      <c r="AC161" s="132"/>
      <c r="AD161" s="22"/>
    </row>
    <row r="162" spans="1:262" s="23" customFormat="1" x14ac:dyDescent="0.3">
      <c r="A162" s="129"/>
      <c r="B162" s="230" t="s">
        <v>176</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AB159+AB160+AB161</f>
        <v>0</v>
      </c>
      <c r="AC162" s="132"/>
      <c r="AD162" s="22"/>
    </row>
    <row r="163" spans="1:262" x14ac:dyDescent="0.3">
      <c r="A163" s="7"/>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126"/>
      <c r="AC163" s="10"/>
      <c r="AD163" s="5"/>
    </row>
    <row r="164" spans="1:262" x14ac:dyDescent="0.3">
      <c r="A164" s="7"/>
      <c r="B164" s="125" t="s">
        <v>34</v>
      </c>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133"/>
      <c r="AC164" s="10"/>
      <c r="AD164" s="5"/>
    </row>
    <row r="165" spans="1:262" s="23" customFormat="1" x14ac:dyDescent="0.3">
      <c r="A165" s="47"/>
      <c r="B165" s="40" t="s">
        <v>35</v>
      </c>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98">
        <v>0</v>
      </c>
      <c r="AC165" s="43"/>
      <c r="AD165" s="22"/>
    </row>
    <row r="166" spans="1:262" s="23" customFormat="1" x14ac:dyDescent="0.3">
      <c r="A166" s="47"/>
      <c r="B166" s="40" t="s">
        <v>36</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8">
        <v>2</v>
      </c>
      <c r="AC166" s="43"/>
      <c r="AD166" s="22"/>
    </row>
    <row r="167" spans="1:262" s="23" customFormat="1" x14ac:dyDescent="0.3">
      <c r="A167" s="47"/>
      <c r="B167" s="40" t="s">
        <v>219</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8">
        <v>0</v>
      </c>
      <c r="AC167" s="43"/>
      <c r="AD167" s="22"/>
    </row>
    <row r="168" spans="1:262" s="23" customFormat="1" x14ac:dyDescent="0.3">
      <c r="A168" s="47"/>
      <c r="B168" s="40" t="s">
        <v>37</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+AB165+AB166+AB167</f>
        <v>2</v>
      </c>
      <c r="AC168" s="43"/>
      <c r="AD168" s="22"/>
    </row>
    <row r="169" spans="1:262" s="23" customFormat="1" x14ac:dyDescent="0.3">
      <c r="A169" s="47"/>
      <c r="B169" s="40" t="s">
        <v>268</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f>+AB99</f>
        <v>-2</v>
      </c>
      <c r="AC169" s="43"/>
      <c r="AD169" s="22"/>
    </row>
    <row r="170" spans="1:262" s="23" customFormat="1" x14ac:dyDescent="0.3">
      <c r="A170" s="47"/>
      <c r="B170" s="40" t="s">
        <v>38</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f>AB168+AB169</f>
        <v>0</v>
      </c>
      <c r="AC170" s="43"/>
      <c r="AD170" s="22"/>
    </row>
    <row r="171" spans="1:262" s="23" customFormat="1" x14ac:dyDescent="0.3">
      <c r="A171" s="47"/>
      <c r="B171" s="40" t="s">
        <v>124</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-AB85</f>
        <v>0</v>
      </c>
      <c r="AC171" s="43"/>
      <c r="AD171" s="22"/>
    </row>
    <row r="172" spans="1:262" ht="16.2" thickBot="1" x14ac:dyDescent="0.35">
      <c r="A172" s="7"/>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126"/>
      <c r="AC172" s="10"/>
      <c r="AD172" s="5"/>
    </row>
    <row r="173" spans="1:262" x14ac:dyDescent="0.3">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134"/>
      <c r="AC173" s="4"/>
      <c r="AD173" s="5"/>
    </row>
    <row r="174" spans="1:262" s="136" customFormat="1" x14ac:dyDescent="0.3">
      <c r="A174" s="7"/>
      <c r="B174" s="125" t="s">
        <v>193</v>
      </c>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135"/>
      <c r="AC174" s="10"/>
      <c r="AD174" s="5"/>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row>
    <row r="175" spans="1:262" s="137" customFormat="1" x14ac:dyDescent="0.3">
      <c r="A175" s="47"/>
      <c r="B175" s="40" t="s">
        <v>332</v>
      </c>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98">
        <v>0</v>
      </c>
      <c r="AC175" s="43"/>
      <c r="AD175" s="22"/>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row>
    <row r="176" spans="1:262" s="137" customFormat="1" x14ac:dyDescent="0.3">
      <c r="A176" s="47"/>
      <c r="B176" s="40" t="s">
        <v>210</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8">
        <f>+'December 2021'!AB179</f>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7" customFormat="1" x14ac:dyDescent="0.3">
      <c r="A177" s="47"/>
      <c r="B177" s="40" t="s">
        <v>234</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8">
        <f>-AB185</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7" customFormat="1" x14ac:dyDescent="0.3">
      <c r="A178" s="47"/>
      <c r="B178" s="40" t="s">
        <v>236</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f>+AB81</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207</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+AB176+AB177-AB178</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9" customFormat="1" ht="16.2" thickBot="1" x14ac:dyDescent="0.35">
      <c r="A180" s="138"/>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126"/>
      <c r="AC180" s="10"/>
      <c r="AD180" s="5"/>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row>
    <row r="181" spans="1:262" x14ac:dyDescent="0.3">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134"/>
      <c r="AC181" s="4"/>
      <c r="AD181" s="5"/>
    </row>
    <row r="182" spans="1:262" s="136" customFormat="1" x14ac:dyDescent="0.3">
      <c r="A182" s="7"/>
      <c r="B182" s="125" t="s">
        <v>206</v>
      </c>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135"/>
      <c r="AC182" s="10"/>
      <c r="AD182" s="5"/>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row>
    <row r="183" spans="1:262" s="137" customFormat="1" x14ac:dyDescent="0.3">
      <c r="A183" s="47"/>
      <c r="B183" s="40" t="s">
        <v>208</v>
      </c>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98">
        <v>300</v>
      </c>
      <c r="AC183" s="43"/>
      <c r="AD183" s="22"/>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row>
    <row r="184" spans="1:262" s="137" customFormat="1" x14ac:dyDescent="0.3">
      <c r="A184" s="47"/>
      <c r="B184" s="40" t="s">
        <v>211</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98">
        <f>+'December 2021'!AB187</f>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7" customFormat="1" x14ac:dyDescent="0.3">
      <c r="A185" s="47"/>
      <c r="B185" s="59" t="s">
        <v>228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8">
        <v>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7" customFormat="1" x14ac:dyDescent="0.3">
      <c r="A186" s="47"/>
      <c r="B186" s="59" t="s">
        <v>229</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f>-AB100</f>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209</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AB183-AB185+AB186</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9" customFormat="1" ht="16.2" thickBot="1" x14ac:dyDescent="0.35">
      <c r="A188" s="138"/>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126"/>
      <c r="AC188" s="10"/>
      <c r="AD188" s="5"/>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row>
    <row r="189" spans="1:262" x14ac:dyDescent="0.3">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134"/>
      <c r="AC189" s="4"/>
      <c r="AD189" s="5"/>
    </row>
    <row r="190" spans="1:262" s="136" customFormat="1" x14ac:dyDescent="0.3">
      <c r="A190" s="7"/>
      <c r="B190" s="125" t="s">
        <v>212</v>
      </c>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135"/>
      <c r="AC190" s="10"/>
      <c r="AD190" s="5"/>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row>
    <row r="191" spans="1:262" s="137" customFormat="1" x14ac:dyDescent="0.3">
      <c r="A191" s="47"/>
      <c r="B191" s="40" t="s">
        <v>334</v>
      </c>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98">
        <v>0</v>
      </c>
      <c r="AC191" s="43"/>
      <c r="AD191" s="22"/>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row>
    <row r="192" spans="1:262" s="137" customFormat="1" x14ac:dyDescent="0.3">
      <c r="A192" s="47"/>
      <c r="B192" s="40" t="s">
        <v>213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98">
        <f>+'December 2021'!AB195</f>
        <v>1646</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7" customFormat="1" x14ac:dyDescent="0.3">
      <c r="A193" s="47"/>
      <c r="B193" s="40" t="s">
        <v>235</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8">
        <f>AB201</f>
        <v>1267</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7"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f>AB82</f>
        <v>598</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346</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AB192+AB193-AB194</f>
        <v>2315</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9" customFormat="1" ht="16.2" thickBot="1" x14ac:dyDescent="0.35">
      <c r="A196" s="138"/>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126"/>
      <c r="AC196" s="10"/>
      <c r="AD196" s="5"/>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row>
    <row r="197" spans="1:262" x14ac:dyDescent="0.3">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134"/>
      <c r="AC197" s="4"/>
      <c r="AD197" s="5"/>
    </row>
    <row r="198" spans="1:262" s="136" customFormat="1" x14ac:dyDescent="0.3">
      <c r="A198" s="7"/>
      <c r="B198" s="125" t="s">
        <v>333</v>
      </c>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135"/>
      <c r="AC198" s="10"/>
      <c r="AD198" s="5"/>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row>
    <row r="199" spans="1:262" s="137" customFormat="1" x14ac:dyDescent="0.3">
      <c r="A199" s="47"/>
      <c r="B199" s="40" t="s">
        <v>214</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v>301</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7" customFormat="1" x14ac:dyDescent="0.3">
      <c r="A200" s="47"/>
      <c r="B200" s="40" t="s">
        <v>215</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98">
        <f>+'December 2021'!AB203</f>
        <v>1289</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7" customFormat="1" x14ac:dyDescent="0.3">
      <c r="A201" s="47"/>
      <c r="B201" s="59" t="s">
        <v>256</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8">
        <v>1267</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7" customFormat="1" x14ac:dyDescent="0.3">
      <c r="A202" s="47"/>
      <c r="B202" s="59" t="s">
        <v>231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f>-AB101</f>
        <v>1250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AB200-AB201+AB202</f>
        <v>1272</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9" customFormat="1" ht="16.2" thickBot="1" x14ac:dyDescent="0.35">
      <c r="A204" s="138"/>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126"/>
      <c r="AC204" s="10"/>
      <c r="AD204" s="5"/>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row>
    <row r="205" spans="1:262" x14ac:dyDescent="0.3">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134"/>
      <c r="AC205" s="4"/>
      <c r="AD205" s="5"/>
    </row>
    <row r="206" spans="1:262" s="136" customFormat="1" x14ac:dyDescent="0.3">
      <c r="A206" s="7"/>
      <c r="B206" s="125" t="s">
        <v>237</v>
      </c>
      <c r="C206" s="99"/>
      <c r="D206" s="99"/>
      <c r="E206" s="99"/>
      <c r="F206" s="99"/>
      <c r="G206" s="99"/>
      <c r="H206" s="99"/>
      <c r="I206" s="99"/>
      <c r="J206" s="99"/>
      <c r="K206" s="99"/>
      <c r="L206" s="99"/>
      <c r="M206" s="99"/>
      <c r="N206" s="99"/>
      <c r="O206" s="99"/>
      <c r="P206" s="99"/>
      <c r="Q206" s="99"/>
      <c r="R206" s="99"/>
      <c r="S206" s="99"/>
      <c r="T206" s="99"/>
      <c r="U206" s="99"/>
      <c r="V206" s="99"/>
      <c r="W206" s="99"/>
      <c r="X206" s="99"/>
      <c r="Y206" s="233" t="s">
        <v>243</v>
      </c>
      <c r="Z206" s="233" t="s">
        <v>244</v>
      </c>
      <c r="AA206" s="12"/>
      <c r="AB206" s="234" t="s">
        <v>80</v>
      </c>
      <c r="AC206" s="10"/>
      <c r="AD206" s="5"/>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row>
    <row r="207" spans="1:262" s="137" customFormat="1" x14ac:dyDescent="0.3">
      <c r="A207" s="47"/>
      <c r="B207" s="40" t="s">
        <v>238</v>
      </c>
      <c r="C207" s="40"/>
      <c r="D207" s="40"/>
      <c r="E207" s="40"/>
      <c r="F207" s="40"/>
      <c r="G207" s="40"/>
      <c r="H207" s="40"/>
      <c r="I207" s="40"/>
      <c r="J207" s="40"/>
      <c r="K207" s="40"/>
      <c r="L207" s="40"/>
      <c r="M207" s="40"/>
      <c r="N207" s="40"/>
      <c r="O207" s="40"/>
      <c r="P207" s="40"/>
      <c r="Q207" s="40"/>
      <c r="R207" s="40"/>
      <c r="S207" s="40"/>
      <c r="T207" s="40"/>
      <c r="U207" s="40"/>
      <c r="V207" s="40"/>
      <c r="W207" s="40"/>
      <c r="X207" s="40"/>
      <c r="Y207" s="98">
        <f>SUM(F29:R29)*0.16</f>
        <v>124206.40000000001</v>
      </c>
      <c r="Z207" s="70"/>
      <c r="AA207" s="40"/>
      <c r="AB207" s="98"/>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7" customFormat="1" x14ac:dyDescent="0.3">
      <c r="A208" s="47"/>
      <c r="B208" s="40" t="s">
        <v>239</v>
      </c>
      <c r="C208" s="40"/>
      <c r="D208" s="40"/>
      <c r="E208" s="40"/>
      <c r="F208" s="40"/>
      <c r="G208" s="40"/>
      <c r="H208" s="40"/>
      <c r="I208" s="40"/>
      <c r="J208" s="40"/>
      <c r="K208" s="40"/>
      <c r="L208" s="40"/>
      <c r="M208" s="40"/>
      <c r="N208" s="40"/>
      <c r="O208" s="40"/>
      <c r="P208" s="40"/>
      <c r="Q208" s="40"/>
      <c r="R208" s="40"/>
      <c r="S208" s="40"/>
      <c r="T208" s="40"/>
      <c r="U208" s="40"/>
      <c r="V208" s="40"/>
      <c r="W208" s="40"/>
      <c r="X208" s="40"/>
      <c r="Y208" s="98">
        <f>+'December 2021'!Y210</f>
        <v>0</v>
      </c>
      <c r="Z208" s="98">
        <f>+'December 2021'!Z210</f>
        <v>382</v>
      </c>
      <c r="AA208" s="40"/>
      <c r="AB208" s="98">
        <f>Y208+Z208</f>
        <v>382</v>
      </c>
      <c r="AC208" s="43"/>
      <c r="AD208" s="22"/>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row>
    <row r="209" spans="1:262" s="137" customFormat="1" x14ac:dyDescent="0.3">
      <c r="A209" s="47"/>
      <c r="B209" s="40" t="s">
        <v>240</v>
      </c>
      <c r="C209" s="40"/>
      <c r="D209" s="40"/>
      <c r="E209" s="40"/>
      <c r="F209" s="40"/>
      <c r="G209" s="40"/>
      <c r="H209" s="40"/>
      <c r="I209" s="40"/>
      <c r="J209" s="40"/>
      <c r="K209" s="40"/>
      <c r="L209" s="40"/>
      <c r="M209" s="40"/>
      <c r="N209" s="40"/>
      <c r="O209" s="40"/>
      <c r="P209" s="40"/>
      <c r="Q209" s="40"/>
      <c r="R209" s="40"/>
      <c r="S209" s="40"/>
      <c r="T209" s="40"/>
      <c r="U209" s="40"/>
      <c r="V209" s="40"/>
      <c r="W209" s="40"/>
      <c r="X209" s="40"/>
      <c r="Y209" s="97">
        <v>0</v>
      </c>
      <c r="Z209" s="97">
        <v>0</v>
      </c>
      <c r="AA209" s="40"/>
      <c r="AB209" s="98">
        <f>Y209+Z209</f>
        <v>0</v>
      </c>
      <c r="AC209" s="43"/>
      <c r="AD209" s="22"/>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row>
    <row r="210" spans="1:262" s="137" customFormat="1" x14ac:dyDescent="0.3">
      <c r="A210" s="47"/>
      <c r="B210" s="40" t="s">
        <v>241</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Y208+Y209</f>
        <v>0</v>
      </c>
      <c r="Z210" s="98">
        <f>Z209+Z208</f>
        <v>382</v>
      </c>
      <c r="AA210" s="40"/>
      <c r="AB210" s="98">
        <f>Y210+Z210</f>
        <v>382</v>
      </c>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242</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Y207-Y210-Z210</f>
        <v>123824.40000000001</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9" customFormat="1" ht="16.2" thickBot="1" x14ac:dyDescent="0.35">
      <c r="A212" s="138"/>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126"/>
      <c r="AC212" s="10"/>
      <c r="AD212" s="5"/>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row>
    <row r="213" spans="1:262" x14ac:dyDescent="0.3">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134"/>
      <c r="AC213" s="4"/>
      <c r="AD213" s="5"/>
    </row>
    <row r="214" spans="1:262" s="136" customFormat="1" x14ac:dyDescent="0.3">
      <c r="A214" s="7"/>
      <c r="B214" s="125" t="s">
        <v>267</v>
      </c>
      <c r="C214" s="99"/>
      <c r="D214" s="99"/>
      <c r="E214" s="99"/>
      <c r="F214" s="99"/>
      <c r="G214" s="99"/>
      <c r="H214" s="99"/>
      <c r="I214" s="99"/>
      <c r="J214" s="99"/>
      <c r="K214" s="99"/>
      <c r="L214" s="99"/>
      <c r="M214" s="99"/>
      <c r="N214" s="99"/>
      <c r="O214" s="99"/>
      <c r="P214" s="99"/>
      <c r="Q214" s="99"/>
      <c r="R214" s="99"/>
      <c r="S214" s="99"/>
      <c r="T214" s="99"/>
      <c r="U214" s="99"/>
      <c r="V214" s="99"/>
      <c r="W214" s="99"/>
      <c r="X214" s="99"/>
      <c r="Y214" s="233"/>
      <c r="Z214" s="233"/>
      <c r="AA214" s="12"/>
      <c r="AB214" s="234" t="s">
        <v>80</v>
      </c>
      <c r="AC214" s="10"/>
      <c r="AD214" s="5"/>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row>
    <row r="215" spans="1:262" s="137" customFormat="1" x14ac:dyDescent="0.3">
      <c r="A215" s="47"/>
      <c r="B215" s="40" t="s">
        <v>265</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c r="Z215" s="70"/>
      <c r="AA215" s="40"/>
      <c r="AB215" s="237">
        <v>651000</v>
      </c>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7" customFormat="1" x14ac:dyDescent="0.3">
      <c r="A216" s="47"/>
      <c r="B216" s="40" t="s">
        <v>325</v>
      </c>
      <c r="C216" s="40"/>
      <c r="D216" s="40"/>
      <c r="E216" s="40"/>
      <c r="F216" s="40"/>
      <c r="G216" s="40"/>
      <c r="H216" s="40"/>
      <c r="I216" s="40"/>
      <c r="J216" s="40"/>
      <c r="K216" s="40"/>
      <c r="L216" s="40"/>
      <c r="M216" s="40"/>
      <c r="N216" s="40"/>
      <c r="O216" s="40"/>
      <c r="P216" s="40"/>
      <c r="Q216" s="40"/>
      <c r="R216" s="40"/>
      <c r="S216" s="40"/>
      <c r="T216" s="40"/>
      <c r="U216" s="40"/>
      <c r="V216" s="40"/>
      <c r="W216" s="40"/>
      <c r="X216" s="40"/>
      <c r="Y216" s="98"/>
      <c r="Z216" s="98"/>
      <c r="AA216" s="40"/>
      <c r="AB216" s="237">
        <v>654419</v>
      </c>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7" customFormat="1" x14ac:dyDescent="0.3">
      <c r="A217" s="47"/>
      <c r="B217" s="40" t="s">
        <v>266</v>
      </c>
      <c r="C217" s="40"/>
      <c r="D217" s="40"/>
      <c r="E217" s="40"/>
      <c r="F217" s="40"/>
      <c r="G217" s="40"/>
      <c r="H217" s="40"/>
      <c r="I217" s="40"/>
      <c r="J217" s="40"/>
      <c r="K217" s="40"/>
      <c r="L217" s="40"/>
      <c r="M217" s="40"/>
      <c r="N217" s="40"/>
      <c r="O217" s="40"/>
      <c r="P217" s="40"/>
      <c r="Q217" s="40"/>
      <c r="R217" s="40"/>
      <c r="S217" s="40"/>
      <c r="T217" s="40"/>
      <c r="U217" s="40"/>
      <c r="V217" s="40"/>
      <c r="W217" s="40"/>
      <c r="X217" s="40"/>
      <c r="Y217" s="98"/>
      <c r="Z217" s="98"/>
      <c r="AA217" s="40"/>
      <c r="AB217" s="98">
        <f>AB215-AB216</f>
        <v>-3419</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7" customFormat="1" x14ac:dyDescent="0.3">
      <c r="A218" s="47"/>
      <c r="B218" s="40" t="s">
        <v>279</v>
      </c>
      <c r="C218" s="40"/>
      <c r="D218" s="40"/>
      <c r="E218" s="40"/>
      <c r="F218" s="40"/>
      <c r="G218" s="40"/>
      <c r="H218" s="40"/>
      <c r="I218" s="40"/>
      <c r="J218" s="40"/>
      <c r="K218" s="40"/>
      <c r="L218" s="40"/>
      <c r="M218" s="40"/>
      <c r="N218" s="40"/>
      <c r="O218" s="40"/>
      <c r="P218" s="40"/>
      <c r="Q218" s="40"/>
      <c r="R218" s="40"/>
      <c r="S218" s="40"/>
      <c r="T218" s="40"/>
      <c r="U218" s="40"/>
      <c r="V218" s="40"/>
      <c r="W218" s="40"/>
      <c r="X218" s="40"/>
      <c r="Y218" s="97"/>
      <c r="Z218" s="97"/>
      <c r="AA218" s="40"/>
      <c r="AB218" s="240">
        <v>5.7999999999999996E-3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9" customFormat="1" ht="16.2" thickBot="1" x14ac:dyDescent="0.35">
      <c r="A219" s="138"/>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126"/>
      <c r="AC219" s="10"/>
      <c r="AD219" s="5"/>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row>
    <row r="220" spans="1:262" x14ac:dyDescent="0.3">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134"/>
      <c r="AC220" s="4"/>
      <c r="AD220" s="5"/>
    </row>
    <row r="221" spans="1:262" x14ac:dyDescent="0.3">
      <c r="A221" s="7"/>
      <c r="B221" s="125" t="s">
        <v>39</v>
      </c>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140"/>
      <c r="AC221" s="10"/>
      <c r="AD221" s="5"/>
    </row>
    <row r="222" spans="1:262" s="23" customFormat="1" x14ac:dyDescent="0.3">
      <c r="A222" s="47"/>
      <c r="B222" s="40" t="s">
        <v>40</v>
      </c>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142">
        <f>(AB86+AB88+AB89+AB90+AB91)/-AB92</f>
        <v>3.0983746792130025</v>
      </c>
      <c r="AC222" s="43" t="s">
        <v>81</v>
      </c>
      <c r="AD222" s="22"/>
    </row>
    <row r="223" spans="1:262" s="23" customFormat="1" x14ac:dyDescent="0.3">
      <c r="A223" s="47"/>
      <c r="B223" s="40" t="s">
        <v>41</v>
      </c>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142">
        <v>2.98</v>
      </c>
      <c r="AC223" s="43" t="s">
        <v>81</v>
      </c>
      <c r="AD223" s="22"/>
    </row>
    <row r="224" spans="1:262" s="23" customFormat="1" x14ac:dyDescent="0.3">
      <c r="A224" s="47"/>
      <c r="B224" s="40" t="s">
        <v>144</v>
      </c>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141">
        <f>(AB86+AB88+AB89+AB90+AB91+AB92)/-(AB93)</f>
        <v>23.815533980582526</v>
      </c>
      <c r="AC224" s="43" t="s">
        <v>81</v>
      </c>
      <c r="AD224" s="22"/>
    </row>
    <row r="225" spans="1:30" s="23" customFormat="1" x14ac:dyDescent="0.3">
      <c r="A225" s="47"/>
      <c r="B225" s="40" t="s">
        <v>145</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v>22.34</v>
      </c>
      <c r="AC225" s="43" t="s">
        <v>81</v>
      </c>
      <c r="AD225" s="22"/>
    </row>
    <row r="226" spans="1:30" s="23" customFormat="1" x14ac:dyDescent="0.3">
      <c r="A226" s="47"/>
      <c r="B226" s="40" t="s">
        <v>146</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1">
        <f>(AB86+AB88+AB89+AB90+AB91+AB92+AB93)/-(AB95)</f>
        <v>36.434108527131784</v>
      </c>
      <c r="AC226" s="43" t="s">
        <v>81</v>
      </c>
      <c r="AD226" s="22"/>
    </row>
    <row r="227" spans="1:30" s="23" customFormat="1" x14ac:dyDescent="0.3">
      <c r="A227" s="47"/>
      <c r="B227" s="40" t="s">
        <v>147</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33</v>
      </c>
      <c r="AC227" s="43" t="s">
        <v>81</v>
      </c>
      <c r="AD227" s="22"/>
    </row>
    <row r="228" spans="1:30" s="23" customFormat="1" x14ac:dyDescent="0.3">
      <c r="A228" s="47"/>
      <c r="B228" s="40" t="s">
        <v>177</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(AB86+AB88+AB89+AB90+AB91+AB92+AB93+AB95)/-(AB96)</f>
        <v>31.095238095238095</v>
      </c>
      <c r="AC228" s="43" t="s">
        <v>81</v>
      </c>
      <c r="AD228" s="22"/>
    </row>
    <row r="229" spans="1:30" s="23" customFormat="1" x14ac:dyDescent="0.3">
      <c r="A229" s="47"/>
      <c r="B229" s="40" t="s">
        <v>178</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27.61</v>
      </c>
      <c r="AC229" s="43" t="s">
        <v>81</v>
      </c>
      <c r="AD229" s="22"/>
    </row>
    <row r="230" spans="1:30" s="23" customFormat="1" x14ac:dyDescent="0.3">
      <c r="A230" s="47"/>
      <c r="B230" s="40" t="s">
        <v>164</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(AB86+AB88+AB89+AB90+AB91+AB92+AB93+AB95+AB96)/-(AB105)</f>
        <v>20.018099547511312</v>
      </c>
      <c r="AC230" s="43" t="s">
        <v>81</v>
      </c>
      <c r="AD230" s="22"/>
    </row>
    <row r="231" spans="1:30" s="23" customFormat="1" x14ac:dyDescent="0.3">
      <c r="A231" s="47"/>
      <c r="B231" s="40" t="s">
        <v>165</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16.920000000000002</v>
      </c>
      <c r="AC231" s="43" t="s">
        <v>81</v>
      </c>
      <c r="AD231" s="22"/>
    </row>
    <row r="232" spans="1:30" s="23" customFormat="1" x14ac:dyDescent="0.3">
      <c r="A232" s="18"/>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21"/>
      <c r="AD232" s="22"/>
    </row>
    <row r="233" spans="1:30" s="23" customFormat="1" x14ac:dyDescent="0.3">
      <c r="A233" s="18"/>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1"/>
      <c r="AD233" s="22"/>
    </row>
    <row r="234" spans="1:30" s="23" customFormat="1" ht="18.600000000000001" thickBot="1" x14ac:dyDescent="0.4">
      <c r="A234" s="83"/>
      <c r="B234" s="84" t="str">
        <f>B131</f>
        <v>PM27 INVESTOR REPORT QUARTER ENDING MARCH 2022</v>
      </c>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7"/>
      <c r="AD234" s="22"/>
    </row>
    <row r="235" spans="1:30" x14ac:dyDescent="0.3">
      <c r="A235" s="119"/>
      <c r="B235" s="120" t="s">
        <v>42</v>
      </c>
      <c r="C235" s="143"/>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v>44651</v>
      </c>
      <c r="AA235" s="121"/>
      <c r="AB235" s="121"/>
      <c r="AC235" s="123"/>
      <c r="AD235" s="5"/>
    </row>
    <row r="236" spans="1:30" x14ac:dyDescent="0.3">
      <c r="A236" s="145"/>
      <c r="B236" s="146"/>
      <c r="C236" s="147"/>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9"/>
      <c r="AB236" s="9"/>
      <c r="AC236" s="10"/>
      <c r="AD236" s="5"/>
    </row>
    <row r="237" spans="1:30" s="23" customFormat="1" x14ac:dyDescent="0.3">
      <c r="A237" s="47"/>
      <c r="B237" s="40" t="s">
        <v>43</v>
      </c>
      <c r="C237" s="149"/>
      <c r="D237" s="73"/>
      <c r="E237" s="73"/>
      <c r="F237" s="73"/>
      <c r="G237" s="73"/>
      <c r="H237" s="73"/>
      <c r="I237" s="73"/>
      <c r="J237" s="73"/>
      <c r="K237" s="73"/>
      <c r="L237" s="73"/>
      <c r="M237" s="73"/>
      <c r="N237" s="73"/>
      <c r="O237" s="73"/>
      <c r="P237" s="73"/>
      <c r="Q237" s="73"/>
      <c r="R237" s="73"/>
      <c r="S237" s="73"/>
      <c r="T237" s="73"/>
      <c r="U237" s="73"/>
      <c r="V237" s="73"/>
      <c r="W237" s="73"/>
      <c r="X237" s="73"/>
      <c r="Y237" s="73"/>
      <c r="Z237" s="67">
        <v>3.5749999999999997E-2</v>
      </c>
      <c r="AA237" s="40"/>
      <c r="AB237" s="40"/>
      <c r="AC237" s="43"/>
      <c r="AD237" s="22"/>
    </row>
    <row r="238" spans="1:30" s="23" customFormat="1" x14ac:dyDescent="0.3">
      <c r="A238" s="47"/>
      <c r="B238" s="40" t="s">
        <v>132</v>
      </c>
      <c r="C238" s="149"/>
      <c r="D238" s="73"/>
      <c r="E238" s="73"/>
      <c r="F238" s="73"/>
      <c r="G238" s="73"/>
      <c r="H238" s="73"/>
      <c r="I238" s="73"/>
      <c r="J238" s="73"/>
      <c r="K238" s="73"/>
      <c r="L238" s="73"/>
      <c r="M238" s="73"/>
      <c r="N238" s="73"/>
      <c r="O238" s="73"/>
      <c r="P238" s="73"/>
      <c r="Q238" s="73"/>
      <c r="R238" s="73"/>
      <c r="S238" s="73"/>
      <c r="T238" s="73"/>
      <c r="U238" s="73"/>
      <c r="V238" s="73"/>
      <c r="W238" s="73"/>
      <c r="X238" s="73"/>
      <c r="Y238" s="73"/>
      <c r="Z238" s="67">
        <v>1.3036129402559968E-2</v>
      </c>
      <c r="AA238" s="40"/>
      <c r="AB238" s="40"/>
      <c r="AC238" s="43"/>
      <c r="AD238" s="22"/>
    </row>
    <row r="239" spans="1:30" s="23" customFormat="1" x14ac:dyDescent="0.3">
      <c r="A239" s="47"/>
      <c r="B239" s="40" t="s">
        <v>44</v>
      </c>
      <c r="C239" s="149"/>
      <c r="D239" s="73"/>
      <c r="E239" s="73"/>
      <c r="F239" s="73"/>
      <c r="G239" s="73"/>
      <c r="H239" s="73"/>
      <c r="I239" s="73"/>
      <c r="J239" s="73"/>
      <c r="K239" s="73"/>
      <c r="L239" s="73"/>
      <c r="M239" s="73"/>
      <c r="N239" s="73"/>
      <c r="O239" s="73"/>
      <c r="P239" s="73"/>
      <c r="Q239" s="73"/>
      <c r="R239" s="73"/>
      <c r="S239" s="73"/>
      <c r="T239" s="73"/>
      <c r="U239" s="73"/>
      <c r="V239" s="73"/>
      <c r="W239" s="73"/>
      <c r="X239" s="73"/>
      <c r="Y239" s="73"/>
      <c r="Z239" s="67">
        <f>Z237-Z238</f>
        <v>2.2713870597440029E-2</v>
      </c>
      <c r="AA239" s="40"/>
      <c r="AB239" s="40"/>
      <c r="AC239" s="43"/>
      <c r="AD239" s="22"/>
    </row>
    <row r="240" spans="1:30" s="23" customFormat="1" x14ac:dyDescent="0.3">
      <c r="A240" s="47"/>
      <c r="B240" s="40" t="s">
        <v>45</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3.712E-2</v>
      </c>
      <c r="AA240" s="40"/>
      <c r="AB240" s="40"/>
      <c r="AC240" s="43"/>
      <c r="AD240" s="22"/>
    </row>
    <row r="241" spans="1:30" s="23" customFormat="1" x14ac:dyDescent="0.3">
      <c r="A241" s="47"/>
      <c r="B241" s="40" t="s">
        <v>133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f>+AB35</f>
        <v>1.6973791431561868E-2</v>
      </c>
      <c r="AA241" s="40"/>
      <c r="AB241" s="40"/>
      <c r="AC241" s="43"/>
      <c r="AD241" s="22"/>
    </row>
    <row r="242" spans="1:30" s="23" customFormat="1" x14ac:dyDescent="0.3">
      <c r="A242" s="47"/>
      <c r="B242" s="40" t="s">
        <v>46</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2.0146208568438132E-2</v>
      </c>
      <c r="AA242" s="40"/>
      <c r="AB242" s="40"/>
      <c r="AC242" s="43"/>
      <c r="AD242" s="22"/>
    </row>
    <row r="243" spans="1:30" s="23" customFormat="1" x14ac:dyDescent="0.3">
      <c r="A243" s="47"/>
      <c r="B243" s="40" t="s">
        <v>119</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(+AB86+AB88)/R66</f>
        <v>1.099830319129478E-2</v>
      </c>
      <c r="AA243" s="40"/>
      <c r="AB243" s="40"/>
      <c r="AC243" s="43"/>
      <c r="AD243" s="22"/>
    </row>
    <row r="244" spans="1:30" s="23" customFormat="1" x14ac:dyDescent="0.3">
      <c r="A244" s="47"/>
      <c r="B244" s="40" t="s">
        <v>112</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150">
        <v>53797</v>
      </c>
      <c r="AA244" s="40"/>
      <c r="AB244" s="40"/>
      <c r="AC244" s="43"/>
      <c r="AD244" s="22"/>
    </row>
    <row r="245" spans="1:30" s="23" customFormat="1" x14ac:dyDescent="0.3">
      <c r="A245" s="47"/>
      <c r="B245" s="40" t="s">
        <v>148</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150">
        <v>53797</v>
      </c>
      <c r="AA245" s="40"/>
      <c r="AB245" s="40"/>
      <c r="AC245" s="43"/>
      <c r="AD245" s="22"/>
    </row>
    <row r="246" spans="1:30" s="23" customFormat="1" x14ac:dyDescent="0.3">
      <c r="A246" s="47"/>
      <c r="B246" s="40" t="s">
        <v>149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150">
        <v>53797</v>
      </c>
      <c r="AA246" s="40"/>
      <c r="AB246" s="40"/>
      <c r="AC246" s="43"/>
      <c r="AD246" s="22"/>
    </row>
    <row r="247" spans="1:30" s="23" customFormat="1" x14ac:dyDescent="0.3">
      <c r="A247" s="47"/>
      <c r="B247" s="40" t="s">
        <v>179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53797</v>
      </c>
      <c r="AA247" s="40"/>
      <c r="AB247" s="40"/>
      <c r="AC247" s="43"/>
      <c r="AD247" s="22"/>
    </row>
    <row r="248" spans="1:30" s="23" customFormat="1" x14ac:dyDescent="0.3">
      <c r="A248" s="47"/>
      <c r="B248" s="40" t="s">
        <v>166</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53797</v>
      </c>
      <c r="AA248" s="40"/>
      <c r="AB248" s="40"/>
      <c r="AC248" s="43"/>
      <c r="AD248" s="22"/>
    </row>
    <row r="249" spans="1:30" s="23" customFormat="1" x14ac:dyDescent="0.3">
      <c r="A249" s="47"/>
      <c r="B249" s="40" t="s">
        <v>194</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53797</v>
      </c>
      <c r="AA249" s="40"/>
      <c r="AB249" s="40"/>
      <c r="AC249" s="43"/>
      <c r="AD249" s="22"/>
    </row>
    <row r="250" spans="1:30" s="23" customFormat="1" x14ac:dyDescent="0.3">
      <c r="A250" s="47"/>
      <c r="B250" s="40" t="s">
        <v>195</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53797</v>
      </c>
      <c r="AA250" s="40"/>
      <c r="AB250" s="40"/>
      <c r="AC250" s="43"/>
      <c r="AD250" s="22"/>
    </row>
    <row r="251" spans="1:30" s="23" customFormat="1" x14ac:dyDescent="0.3">
      <c r="A251" s="47"/>
      <c r="B251" s="40" t="s">
        <v>47</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71">
        <v>21.18</v>
      </c>
      <c r="AA251" s="40" t="s">
        <v>76</v>
      </c>
      <c r="AB251" s="40"/>
      <c r="AC251" s="43"/>
      <c r="AD251" s="22"/>
    </row>
    <row r="252" spans="1:30" s="23" customFormat="1" x14ac:dyDescent="0.3">
      <c r="A252" s="47"/>
      <c r="B252" s="40" t="s">
        <v>48</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71">
        <v>19.3</v>
      </c>
      <c r="AA252" s="40" t="s">
        <v>76</v>
      </c>
      <c r="AB252" s="40"/>
      <c r="AC252" s="43"/>
      <c r="AD252" s="22"/>
    </row>
    <row r="253" spans="1:30" s="23" customFormat="1" x14ac:dyDescent="0.3">
      <c r="A253" s="47"/>
      <c r="B253" s="40" t="s">
        <v>49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67">
        <f>(+T57+V57+Z57)/(R57+R63+R64)</f>
        <v>3.6194364794174011E-2</v>
      </c>
      <c r="AA253" s="40"/>
      <c r="AB253" s="40"/>
      <c r="AC253" s="43"/>
      <c r="AD253" s="22"/>
    </row>
    <row r="254" spans="1:30" s="23" customFormat="1" x14ac:dyDescent="0.3">
      <c r="A254" s="47"/>
      <c r="B254" s="40" t="s">
        <v>50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67">
        <v>5.1700000000000003E-2</v>
      </c>
      <c r="AA254" s="40"/>
      <c r="AB254" s="40"/>
      <c r="AC254" s="43"/>
      <c r="AD254" s="22"/>
    </row>
    <row r="255" spans="1:30" x14ac:dyDescent="0.3">
      <c r="A255" s="145"/>
      <c r="B255" s="151"/>
      <c r="C255" s="151"/>
      <c r="D255" s="99"/>
      <c r="E255" s="99"/>
      <c r="F255" s="99"/>
      <c r="G255" s="99"/>
      <c r="H255" s="99"/>
      <c r="I255" s="99"/>
      <c r="J255" s="99"/>
      <c r="K255" s="99"/>
      <c r="L255" s="99"/>
      <c r="M255" s="99"/>
      <c r="N255" s="99"/>
      <c r="O255" s="99"/>
      <c r="P255" s="99"/>
      <c r="Q255" s="99"/>
      <c r="R255" s="99"/>
      <c r="S255" s="99"/>
      <c r="T255" s="99"/>
      <c r="U255" s="99"/>
      <c r="V255" s="99"/>
      <c r="W255" s="99"/>
      <c r="X255" s="99"/>
      <c r="Y255" s="99"/>
      <c r="Z255" s="126"/>
      <c r="AA255" s="99"/>
      <c r="AB255" s="152"/>
      <c r="AC255" s="10"/>
      <c r="AD255" s="5"/>
    </row>
    <row r="256" spans="1:30" x14ac:dyDescent="0.3">
      <c r="A256" s="153"/>
      <c r="B256" s="102" t="s">
        <v>51</v>
      </c>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t="s">
        <v>69</v>
      </c>
      <c r="Z256" s="154" t="s">
        <v>74</v>
      </c>
      <c r="AA256" s="34"/>
      <c r="AB256" s="34"/>
      <c r="AC256" s="36"/>
      <c r="AD256" s="5"/>
    </row>
    <row r="257" spans="1:30" s="23" customFormat="1" x14ac:dyDescent="0.3">
      <c r="A257" s="155"/>
      <c r="B257" s="37" t="s">
        <v>52</v>
      </c>
      <c r="C257" s="10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v>0</v>
      </c>
      <c r="Z257" s="157">
        <v>0</v>
      </c>
      <c r="AA257" s="37"/>
      <c r="AB257" s="158"/>
      <c r="AC257" s="159"/>
      <c r="AD257" s="22"/>
    </row>
    <row r="258" spans="1:30" s="23" customFormat="1" x14ac:dyDescent="0.3">
      <c r="A258" s="160"/>
      <c r="B258" s="40" t="s">
        <v>97</v>
      </c>
      <c r="C258" s="97"/>
      <c r="D258" s="48"/>
      <c r="E258" s="48"/>
      <c r="F258" s="48"/>
      <c r="G258" s="48"/>
      <c r="H258" s="48"/>
      <c r="I258" s="48"/>
      <c r="J258" s="48"/>
      <c r="K258" s="48"/>
      <c r="L258" s="48"/>
      <c r="M258" s="48"/>
      <c r="N258" s="48"/>
      <c r="O258" s="48"/>
      <c r="P258" s="48"/>
      <c r="Q258" s="48"/>
      <c r="R258" s="48"/>
      <c r="S258" s="48"/>
      <c r="T258" s="48"/>
      <c r="U258" s="48"/>
      <c r="V258" s="48"/>
      <c r="W258" s="48"/>
      <c r="X258" s="48"/>
      <c r="Y258" s="161">
        <f>+X310</f>
        <v>0</v>
      </c>
      <c r="Z258" s="162">
        <f>+Z310</f>
        <v>0</v>
      </c>
      <c r="AA258" s="40"/>
      <c r="AB258" s="163"/>
      <c r="AC258" s="164"/>
      <c r="AD258" s="22"/>
    </row>
    <row r="259" spans="1:30" s="23" customFormat="1" x14ac:dyDescent="0.3">
      <c r="A259" s="160"/>
      <c r="B259" s="40" t="s">
        <v>53</v>
      </c>
      <c r="C259" s="97"/>
      <c r="D259" s="48"/>
      <c r="E259" s="48"/>
      <c r="F259" s="48"/>
      <c r="G259" s="48"/>
      <c r="H259" s="48"/>
      <c r="I259" s="48"/>
      <c r="J259" s="48"/>
      <c r="K259" s="48"/>
      <c r="L259" s="48"/>
      <c r="M259" s="48"/>
      <c r="N259" s="48"/>
      <c r="O259" s="48"/>
      <c r="P259" s="48"/>
      <c r="Q259" s="48"/>
      <c r="R259" s="48"/>
      <c r="S259" s="48"/>
      <c r="T259" s="48"/>
      <c r="U259" s="48"/>
      <c r="V259" s="48"/>
      <c r="W259" s="48"/>
      <c r="X259" s="48"/>
      <c r="Y259" s="161">
        <f>+X332</f>
        <v>0</v>
      </c>
      <c r="Z259" s="162">
        <f>+Z332</f>
        <v>0</v>
      </c>
      <c r="AA259" s="40"/>
      <c r="AB259" s="163"/>
      <c r="AC259" s="164"/>
      <c r="AD259" s="22"/>
    </row>
    <row r="260" spans="1:30" x14ac:dyDescent="0.3">
      <c r="A260" s="165"/>
      <c r="B260" s="166" t="s">
        <v>167</v>
      </c>
      <c r="C260" s="167"/>
      <c r="D260" s="59"/>
      <c r="E260" s="59"/>
      <c r="F260" s="59"/>
      <c r="G260" s="59"/>
      <c r="H260" s="59"/>
      <c r="I260" s="59"/>
      <c r="J260" s="59"/>
      <c r="K260" s="59"/>
      <c r="L260" s="59"/>
      <c r="M260" s="59"/>
      <c r="N260" s="59"/>
      <c r="O260" s="59"/>
      <c r="P260" s="59"/>
      <c r="Q260" s="59"/>
      <c r="R260" s="59"/>
      <c r="S260" s="59"/>
      <c r="T260" s="59"/>
      <c r="U260" s="59"/>
      <c r="V260" s="59"/>
      <c r="W260" s="59"/>
      <c r="X260" s="59"/>
      <c r="Y260" s="112"/>
      <c r="Z260" s="162">
        <f>Z57</f>
        <v>0</v>
      </c>
      <c r="AA260" s="59"/>
      <c r="AB260" s="168"/>
      <c r="AC260" s="169"/>
      <c r="AD260" s="5"/>
    </row>
    <row r="261" spans="1:30" x14ac:dyDescent="0.3">
      <c r="A261" s="165"/>
      <c r="B261" s="166" t="s">
        <v>261</v>
      </c>
      <c r="C261" s="167"/>
      <c r="D261" s="59"/>
      <c r="E261" s="59"/>
      <c r="F261" s="59"/>
      <c r="G261" s="59"/>
      <c r="H261" s="59"/>
      <c r="I261" s="59"/>
      <c r="J261" s="59"/>
      <c r="K261" s="59"/>
      <c r="L261" s="59"/>
      <c r="M261" s="59"/>
      <c r="N261" s="59"/>
      <c r="O261" s="59"/>
      <c r="P261" s="59"/>
      <c r="Q261" s="59"/>
      <c r="R261" s="59"/>
      <c r="S261" s="59"/>
      <c r="T261" s="59"/>
      <c r="U261" s="59"/>
      <c r="V261" s="59"/>
      <c r="W261" s="59"/>
      <c r="X261" s="59"/>
      <c r="Y261" s="112"/>
      <c r="Z261" s="162">
        <f>-T63</f>
        <v>0</v>
      </c>
      <c r="AA261" s="59"/>
      <c r="AB261" s="168"/>
      <c r="AC261" s="169"/>
      <c r="AD261" s="5"/>
    </row>
    <row r="262" spans="1:30" x14ac:dyDescent="0.3">
      <c r="A262" s="170"/>
      <c r="B262" s="166" t="s">
        <v>54</v>
      </c>
      <c r="C262" s="171"/>
      <c r="D262" s="59"/>
      <c r="E262" s="59"/>
      <c r="F262" s="59"/>
      <c r="G262" s="59"/>
      <c r="H262" s="59"/>
      <c r="I262" s="59"/>
      <c r="J262" s="59"/>
      <c r="K262" s="59"/>
      <c r="L262" s="59"/>
      <c r="M262" s="59"/>
      <c r="N262" s="59"/>
      <c r="O262" s="59"/>
      <c r="P262" s="59"/>
      <c r="Q262" s="59"/>
      <c r="R262" s="59"/>
      <c r="S262" s="59"/>
      <c r="T262" s="59"/>
      <c r="U262" s="59"/>
      <c r="V262" s="59"/>
      <c r="W262" s="59"/>
      <c r="X262" s="59"/>
      <c r="Y262" s="112"/>
      <c r="Z262" s="172"/>
      <c r="AA262" s="59"/>
      <c r="AB262" s="168"/>
      <c r="AC262" s="173"/>
      <c r="AD262" s="5"/>
    </row>
    <row r="263" spans="1:30" s="23" customFormat="1" x14ac:dyDescent="0.3">
      <c r="A263" s="174"/>
      <c r="B263" s="40" t="s">
        <v>55</v>
      </c>
      <c r="C263" s="40"/>
      <c r="D263" s="40"/>
      <c r="E263" s="40"/>
      <c r="F263" s="40"/>
      <c r="G263" s="40"/>
      <c r="H263" s="40"/>
      <c r="I263" s="40"/>
      <c r="J263" s="40"/>
      <c r="K263" s="40"/>
      <c r="L263" s="40"/>
      <c r="M263" s="40"/>
      <c r="N263" s="40"/>
      <c r="O263" s="40"/>
      <c r="P263" s="40"/>
      <c r="Q263" s="40"/>
      <c r="R263" s="40"/>
      <c r="S263" s="40"/>
      <c r="T263" s="40"/>
      <c r="U263" s="40"/>
      <c r="V263" s="40"/>
      <c r="W263" s="40"/>
      <c r="X263" s="40"/>
      <c r="Y263" s="48"/>
      <c r="Z263" s="162">
        <f>AB166</f>
        <v>2</v>
      </c>
      <c r="AA263" s="40"/>
      <c r="AB263" s="163"/>
      <c r="AC263" s="175"/>
      <c r="AD263" s="22"/>
    </row>
    <row r="264" spans="1:30" s="23" customFormat="1" x14ac:dyDescent="0.3">
      <c r="A264" s="160"/>
      <c r="B264" s="40" t="s">
        <v>56</v>
      </c>
      <c r="C264" s="97"/>
      <c r="D264" s="40"/>
      <c r="E264" s="40"/>
      <c r="F264" s="40"/>
      <c r="G264" s="40"/>
      <c r="H264" s="40"/>
      <c r="I264" s="40"/>
      <c r="J264" s="40"/>
      <c r="K264" s="40"/>
      <c r="L264" s="40"/>
      <c r="M264" s="40"/>
      <c r="N264" s="40"/>
      <c r="O264" s="40"/>
      <c r="P264" s="40"/>
      <c r="Q264" s="40"/>
      <c r="R264" s="40"/>
      <c r="S264" s="40"/>
      <c r="T264" s="40"/>
      <c r="U264" s="40"/>
      <c r="V264" s="40"/>
      <c r="W264" s="40"/>
      <c r="X264" s="40"/>
      <c r="Y264" s="48"/>
      <c r="Z264" s="162">
        <f>Z263+'December 2021'!Z264</f>
        <v>5</v>
      </c>
      <c r="AA264" s="40"/>
      <c r="AB264" s="163"/>
      <c r="AC264" s="175"/>
      <c r="AD264" s="22"/>
    </row>
    <row r="265" spans="1:30" x14ac:dyDescent="0.3">
      <c r="A265" s="170"/>
      <c r="B265" s="166" t="s">
        <v>125</v>
      </c>
      <c r="C265" s="171"/>
      <c r="D265" s="59"/>
      <c r="E265" s="59"/>
      <c r="F265" s="59"/>
      <c r="G265" s="59"/>
      <c r="H265" s="59"/>
      <c r="I265" s="59"/>
      <c r="J265" s="59"/>
      <c r="K265" s="59"/>
      <c r="L265" s="59"/>
      <c r="M265" s="59"/>
      <c r="N265" s="59"/>
      <c r="O265" s="59"/>
      <c r="P265" s="59"/>
      <c r="Q265" s="59"/>
      <c r="R265" s="59"/>
      <c r="S265" s="59"/>
      <c r="T265" s="59"/>
      <c r="U265" s="59"/>
      <c r="V265" s="59"/>
      <c r="W265" s="59"/>
      <c r="X265" s="59"/>
      <c r="Y265" s="176"/>
      <c r="Z265" s="172"/>
      <c r="AA265" s="59"/>
      <c r="AB265" s="168"/>
      <c r="AC265" s="173"/>
      <c r="AD265" s="5"/>
    </row>
    <row r="266" spans="1:30" s="23" customFormat="1" x14ac:dyDescent="0.3">
      <c r="A266" s="174"/>
      <c r="B266" s="40" t="s">
        <v>134</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v>0</v>
      </c>
      <c r="Z266" s="162">
        <v>0</v>
      </c>
      <c r="AA266" s="40"/>
      <c r="AB266" s="163"/>
      <c r="AC266" s="175"/>
      <c r="AD266" s="22"/>
    </row>
    <row r="267" spans="1:30" s="23" customFormat="1" x14ac:dyDescent="0.3">
      <c r="A267" s="160"/>
      <c r="B267" s="40" t="s">
        <v>57</v>
      </c>
      <c r="C267" s="70"/>
      <c r="D267" s="40"/>
      <c r="E267" s="40"/>
      <c r="F267" s="40"/>
      <c r="G267" s="40"/>
      <c r="H267" s="40"/>
      <c r="I267" s="40"/>
      <c r="J267" s="40"/>
      <c r="K267" s="40"/>
      <c r="L267" s="40"/>
      <c r="M267" s="40"/>
      <c r="N267" s="40"/>
      <c r="O267" s="40"/>
      <c r="P267" s="40"/>
      <c r="Q267" s="40"/>
      <c r="R267" s="40"/>
      <c r="S267" s="40"/>
      <c r="T267" s="40"/>
      <c r="U267" s="40"/>
      <c r="V267" s="40"/>
      <c r="W267" s="40"/>
      <c r="X267" s="40"/>
      <c r="Y267" s="40"/>
      <c r="Z267" s="177">
        <v>0</v>
      </c>
      <c r="AA267" s="40"/>
      <c r="AB267" s="163"/>
      <c r="AC267" s="175"/>
      <c r="AD267" s="22"/>
    </row>
    <row r="268" spans="1:30" s="23" customFormat="1" x14ac:dyDescent="0.3">
      <c r="A268" s="160"/>
      <c r="B268" s="40" t="s">
        <v>58</v>
      </c>
      <c r="C268" s="70"/>
      <c r="D268" s="40"/>
      <c r="E268" s="40"/>
      <c r="F268" s="40"/>
      <c r="G268" s="40"/>
      <c r="H268" s="40"/>
      <c r="I268" s="40"/>
      <c r="J268" s="40"/>
      <c r="K268" s="40"/>
      <c r="L268" s="40"/>
      <c r="M268" s="40"/>
      <c r="N268" s="40"/>
      <c r="O268" s="40"/>
      <c r="P268" s="40"/>
      <c r="Q268" s="40"/>
      <c r="R268" s="40"/>
      <c r="S268" s="40"/>
      <c r="T268" s="40"/>
      <c r="U268" s="40"/>
      <c r="V268" s="40"/>
      <c r="W268" s="40"/>
      <c r="X268" s="40"/>
      <c r="Y268" s="40"/>
      <c r="Z268" s="177">
        <v>0</v>
      </c>
      <c r="AA268" s="40"/>
      <c r="AB268" s="163"/>
      <c r="AC268" s="175"/>
      <c r="AD268" s="22"/>
    </row>
    <row r="269" spans="1:30" x14ac:dyDescent="0.3">
      <c r="A269" s="165"/>
      <c r="B269" s="166" t="s">
        <v>116</v>
      </c>
      <c r="C269" s="178"/>
      <c r="D269" s="59"/>
      <c r="E269" s="59"/>
      <c r="F269" s="59"/>
      <c r="G269" s="59"/>
      <c r="H269" s="59"/>
      <c r="I269" s="59"/>
      <c r="J269" s="59"/>
      <c r="K269" s="59"/>
      <c r="L269" s="59"/>
      <c r="M269" s="59"/>
      <c r="N269" s="59"/>
      <c r="O269" s="59"/>
      <c r="P269" s="59"/>
      <c r="Q269" s="59"/>
      <c r="R269" s="59"/>
      <c r="S269" s="59"/>
      <c r="T269" s="59"/>
      <c r="U269" s="59"/>
      <c r="V269" s="59"/>
      <c r="W269" s="59"/>
      <c r="X269" s="59"/>
      <c r="Y269" s="112"/>
      <c r="Z269" s="179"/>
      <c r="AA269" s="59"/>
      <c r="AB269" s="168"/>
      <c r="AC269" s="173"/>
      <c r="AD269" s="5"/>
    </row>
    <row r="270" spans="1:30" s="23" customFormat="1" x14ac:dyDescent="0.3">
      <c r="A270" s="160"/>
      <c r="B270" s="40" t="s">
        <v>134</v>
      </c>
      <c r="C270" s="7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0" s="23" customFormat="1" x14ac:dyDescent="0.3">
      <c r="A271" s="160"/>
      <c r="B271" s="40" t="s">
        <v>117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71"/>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x14ac:dyDescent="0.3">
      <c r="A273" s="165"/>
      <c r="B273" s="171"/>
      <c r="C273" s="178"/>
      <c r="D273" s="59"/>
      <c r="E273" s="59"/>
      <c r="F273" s="59"/>
      <c r="G273" s="59"/>
      <c r="H273" s="59"/>
      <c r="I273" s="59"/>
      <c r="J273" s="59"/>
      <c r="K273" s="59"/>
      <c r="L273" s="59"/>
      <c r="M273" s="59"/>
      <c r="N273" s="59"/>
      <c r="O273" s="59"/>
      <c r="P273" s="59"/>
      <c r="Q273" s="59"/>
      <c r="R273" s="59"/>
      <c r="S273" s="59"/>
      <c r="T273" s="59"/>
      <c r="U273" s="59"/>
      <c r="V273" s="59"/>
      <c r="W273" s="59"/>
      <c r="X273" s="59"/>
      <c r="Y273" s="59"/>
      <c r="Z273" s="180"/>
      <c r="AA273" s="59"/>
      <c r="AB273" s="168"/>
      <c r="AC273" s="173"/>
      <c r="AD273" s="5"/>
    </row>
    <row r="274" spans="1:30" ht="18" x14ac:dyDescent="0.35">
      <c r="A274" s="165"/>
      <c r="B274" s="181" t="s">
        <v>109</v>
      </c>
      <c r="C274" s="178"/>
      <c r="D274" s="59"/>
      <c r="E274" s="59"/>
      <c r="F274" s="59"/>
      <c r="G274" s="59"/>
      <c r="H274" s="59"/>
      <c r="I274" s="59"/>
      <c r="J274" s="59"/>
      <c r="K274" s="59"/>
      <c r="L274" s="182"/>
      <c r="M274" s="182"/>
      <c r="N274" s="182"/>
      <c r="O274" s="182"/>
      <c r="P274" s="261" t="s">
        <v>168</v>
      </c>
      <c r="Q274" s="182"/>
      <c r="R274" s="182"/>
      <c r="S274" s="182"/>
      <c r="T274" s="182"/>
      <c r="U274" s="182"/>
      <c r="V274" s="182"/>
      <c r="W274" s="59"/>
      <c r="X274" s="183"/>
      <c r="Y274" s="182"/>
      <c r="Z274" s="180"/>
      <c r="AA274" s="59"/>
      <c r="AB274" s="168"/>
      <c r="AC274" s="173"/>
      <c r="AD274" s="5"/>
    </row>
    <row r="275" spans="1:30" ht="18" x14ac:dyDescent="0.35">
      <c r="A275" s="184"/>
      <c r="B275" s="185"/>
      <c r="C275" s="186"/>
      <c r="D275" s="99"/>
      <c r="E275" s="99"/>
      <c r="F275" s="99"/>
      <c r="G275" s="99"/>
      <c r="H275" s="99"/>
      <c r="I275" s="99"/>
      <c r="J275" s="99"/>
      <c r="K275" s="99"/>
      <c r="L275" s="187"/>
      <c r="M275" s="187"/>
      <c r="N275" s="187"/>
      <c r="O275" s="187"/>
      <c r="P275" s="187"/>
      <c r="Q275" s="187"/>
      <c r="R275" s="187"/>
      <c r="S275" s="187"/>
      <c r="T275" s="187"/>
      <c r="U275" s="187"/>
      <c r="V275" s="187"/>
      <c r="W275" s="99"/>
      <c r="X275" s="99"/>
      <c r="Y275" s="99"/>
      <c r="Z275" s="188"/>
      <c r="AA275" s="99"/>
      <c r="AB275" s="152"/>
      <c r="AC275" s="189"/>
      <c r="AD275" s="5"/>
    </row>
    <row r="276" spans="1:30" x14ac:dyDescent="0.3">
      <c r="A276" s="33"/>
      <c r="B276" s="102" t="s">
        <v>126</v>
      </c>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54" t="s">
        <v>69</v>
      </c>
      <c r="Y276" s="103" t="s">
        <v>70</v>
      </c>
      <c r="Z276" s="154" t="s">
        <v>75</v>
      </c>
      <c r="AA276" s="103" t="s">
        <v>70</v>
      </c>
      <c r="AB276" s="34"/>
      <c r="AC276" s="190"/>
      <c r="AD276" s="5"/>
    </row>
    <row r="277" spans="1:30" s="23" customFormat="1" x14ac:dyDescent="0.3">
      <c r="A277" s="18"/>
      <c r="B277" s="106" t="s">
        <v>59</v>
      </c>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06">
        <f t="shared" ref="X277:X284" si="0">+X289+X301+X323</f>
        <v>3663</v>
      </c>
      <c r="Y277" s="192">
        <f>X277/$X$286</f>
        <v>0.99972707423580787</v>
      </c>
      <c r="Z277" s="107">
        <f t="shared" ref="Z277:Z284" si="1">+Z289+Z301+Z323</f>
        <v>684899</v>
      </c>
      <c r="AA277" s="192">
        <f>Z277/$Z$286</f>
        <v>0.99982628193711698</v>
      </c>
      <c r="AB277" s="158"/>
      <c r="AC277" s="193"/>
      <c r="AD277" s="22"/>
    </row>
    <row r="278" spans="1:30" s="23" customFormat="1" x14ac:dyDescent="0.3">
      <c r="A278" s="47"/>
      <c r="B278" s="97" t="s">
        <v>60</v>
      </c>
      <c r="C278" s="194"/>
      <c r="D278" s="194"/>
      <c r="E278" s="194"/>
      <c r="F278" s="194"/>
      <c r="G278" s="194"/>
      <c r="H278" s="194"/>
      <c r="I278" s="194"/>
      <c r="J278" s="194"/>
      <c r="K278" s="194"/>
      <c r="L278" s="194"/>
      <c r="M278" s="194"/>
      <c r="N278" s="194"/>
      <c r="O278" s="194"/>
      <c r="P278" s="194"/>
      <c r="Q278" s="194"/>
      <c r="R278" s="194"/>
      <c r="S278" s="194"/>
      <c r="T278" s="194"/>
      <c r="U278" s="194"/>
      <c r="V278" s="194"/>
      <c r="W278" s="194"/>
      <c r="X278" s="195">
        <f t="shared" si="0"/>
        <v>1</v>
      </c>
      <c r="Y278" s="196">
        <f t="shared" ref="Y278:Y284" si="2">X278/$X$286</f>
        <v>2.7292576419213972E-4</v>
      </c>
      <c r="Z278" s="197">
        <f t="shared" si="1"/>
        <v>119</v>
      </c>
      <c r="AA278" s="198">
        <f>Z278/$Z$286</f>
        <v>1.7371806288301914E-4</v>
      </c>
      <c r="AB278" s="163"/>
      <c r="AC278" s="175"/>
      <c r="AD278" s="22"/>
    </row>
    <row r="279" spans="1:30" s="23" customFormat="1" x14ac:dyDescent="0.3">
      <c r="A279" s="47"/>
      <c r="B279" s="97" t="s">
        <v>61</v>
      </c>
      <c r="C279" s="194"/>
      <c r="D279" s="194"/>
      <c r="E279" s="194"/>
      <c r="F279" s="194"/>
      <c r="G279" s="194"/>
      <c r="H279" s="194"/>
      <c r="I279" s="194"/>
      <c r="J279" s="194"/>
      <c r="K279" s="194"/>
      <c r="L279" s="194"/>
      <c r="M279" s="194"/>
      <c r="N279" s="194"/>
      <c r="O279" s="194"/>
      <c r="P279" s="194"/>
      <c r="Q279" s="194"/>
      <c r="R279" s="194"/>
      <c r="S279" s="194"/>
      <c r="T279" s="194"/>
      <c r="U279" s="194"/>
      <c r="V279" s="194"/>
      <c r="W279" s="194"/>
      <c r="X279" s="199">
        <f t="shared" si="0"/>
        <v>0</v>
      </c>
      <c r="Y279" s="200">
        <f t="shared" si="2"/>
        <v>0</v>
      </c>
      <c r="Z279" s="131">
        <f t="shared" si="1"/>
        <v>0</v>
      </c>
      <c r="AA279" s="198">
        <f t="shared" ref="AA279:AA284" si="3">Z279/$Z$286</f>
        <v>0</v>
      </c>
      <c r="AB279" s="163"/>
      <c r="AC279" s="175"/>
      <c r="AD279" s="22"/>
    </row>
    <row r="280" spans="1:30" s="23" customFormat="1" x14ac:dyDescent="0.3">
      <c r="A280" s="47"/>
      <c r="B280" s="97" t="s">
        <v>100</v>
      </c>
      <c r="C280" s="194"/>
      <c r="D280" s="194"/>
      <c r="E280" s="194"/>
      <c r="F280" s="194"/>
      <c r="G280" s="194"/>
      <c r="H280" s="194"/>
      <c r="I280" s="194"/>
      <c r="J280" s="194"/>
      <c r="K280" s="194"/>
      <c r="L280" s="194"/>
      <c r="M280" s="194"/>
      <c r="N280" s="194"/>
      <c r="O280" s="194"/>
      <c r="P280" s="194"/>
      <c r="Q280" s="194"/>
      <c r="R280" s="194"/>
      <c r="S280" s="194"/>
      <c r="T280" s="194"/>
      <c r="U280" s="194"/>
      <c r="V280" s="194"/>
      <c r="W280" s="194"/>
      <c r="X280" s="199">
        <f t="shared" si="0"/>
        <v>0</v>
      </c>
      <c r="Y280" s="200">
        <f t="shared" si="2"/>
        <v>0</v>
      </c>
      <c r="Z280" s="131">
        <f t="shared" si="1"/>
        <v>0</v>
      </c>
      <c r="AA280" s="198">
        <f t="shared" si="3"/>
        <v>0</v>
      </c>
      <c r="AB280" s="163"/>
      <c r="AC280" s="175"/>
      <c r="AD280" s="22"/>
    </row>
    <row r="281" spans="1:30" s="23" customFormat="1" x14ac:dyDescent="0.3">
      <c r="A281" s="47"/>
      <c r="B281" s="97" t="s">
        <v>101</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9">
        <f t="shared" si="0"/>
        <v>0</v>
      </c>
      <c r="Y281" s="200">
        <f t="shared" si="2"/>
        <v>0</v>
      </c>
      <c r="Z281" s="131">
        <f t="shared" si="1"/>
        <v>0</v>
      </c>
      <c r="AA281" s="198">
        <f t="shared" si="3"/>
        <v>0</v>
      </c>
      <c r="AB281" s="163"/>
      <c r="AC281" s="175"/>
      <c r="AD281" s="22"/>
    </row>
    <row r="282" spans="1:30" s="23" customFormat="1" x14ac:dyDescent="0.3">
      <c r="A282" s="47"/>
      <c r="B282" s="97" t="s">
        <v>102</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0"/>
        <v>0</v>
      </c>
      <c r="Y282" s="200">
        <f t="shared" si="2"/>
        <v>0</v>
      </c>
      <c r="Z282" s="131">
        <f t="shared" si="1"/>
        <v>0</v>
      </c>
      <c r="AA282" s="198">
        <f t="shared" si="3"/>
        <v>0</v>
      </c>
      <c r="AB282" s="163"/>
      <c r="AC282" s="175"/>
      <c r="AD282" s="22"/>
    </row>
    <row r="283" spans="1:30" s="23" customFormat="1" x14ac:dyDescent="0.3">
      <c r="A283" s="47"/>
      <c r="B283" s="97" t="s">
        <v>103</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201">
        <f t="shared" si="0"/>
        <v>0</v>
      </c>
      <c r="Y283" s="202">
        <f t="shared" si="2"/>
        <v>0</v>
      </c>
      <c r="Z283" s="203">
        <f t="shared" si="1"/>
        <v>0</v>
      </c>
      <c r="AA283" s="198">
        <f t="shared" si="3"/>
        <v>0</v>
      </c>
      <c r="AB283" s="163"/>
      <c r="AC283" s="175"/>
      <c r="AD283" s="22"/>
    </row>
    <row r="284" spans="1:30" s="23" customFormat="1" x14ac:dyDescent="0.3">
      <c r="A284" s="47"/>
      <c r="B284" s="97" t="s">
        <v>104</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06">
        <f t="shared" si="0"/>
        <v>0</v>
      </c>
      <c r="Y284" s="198">
        <f t="shared" si="2"/>
        <v>0</v>
      </c>
      <c r="Z284" s="107">
        <f t="shared" si="1"/>
        <v>0</v>
      </c>
      <c r="AA284" s="198">
        <f t="shared" si="3"/>
        <v>0</v>
      </c>
      <c r="AB284" s="163"/>
      <c r="AC284" s="175"/>
      <c r="AD284" s="22"/>
    </row>
    <row r="285" spans="1:30" s="23" customFormat="1" x14ac:dyDescent="0.3">
      <c r="A285" s="47"/>
      <c r="B285" s="97"/>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97"/>
      <c r="Y285" s="198"/>
      <c r="Z285" s="98"/>
      <c r="AA285" s="198"/>
      <c r="AB285" s="163"/>
      <c r="AC285" s="175"/>
      <c r="AD285" s="22"/>
    </row>
    <row r="286" spans="1:30" s="23" customFormat="1" x14ac:dyDescent="0.3">
      <c r="A286" s="47"/>
      <c r="B286" s="40" t="s">
        <v>80</v>
      </c>
      <c r="C286" s="40"/>
      <c r="D286" s="204"/>
      <c r="E286" s="204"/>
      <c r="F286" s="204"/>
      <c r="G286" s="204"/>
      <c r="H286" s="204"/>
      <c r="I286" s="204"/>
      <c r="J286" s="204"/>
      <c r="K286" s="204"/>
      <c r="L286" s="204"/>
      <c r="M286" s="204"/>
      <c r="N286" s="204"/>
      <c r="O286" s="204"/>
      <c r="P286" s="204"/>
      <c r="Q286" s="204"/>
      <c r="R286" s="204"/>
      <c r="S286" s="204"/>
      <c r="T286" s="204"/>
      <c r="U286" s="204"/>
      <c r="V286" s="204"/>
      <c r="W286" s="204"/>
      <c r="X286" s="97">
        <f>SUM(X277:X285)</f>
        <v>3664</v>
      </c>
      <c r="Y286" s="198">
        <f>SUM(Y277:Y285)</f>
        <v>1</v>
      </c>
      <c r="Z286" s="98">
        <f>SUM(Z277:Z285)</f>
        <v>685018</v>
      </c>
      <c r="AA286" s="198">
        <f>SUM(AA277:AA285)</f>
        <v>1</v>
      </c>
      <c r="AB286" s="40"/>
      <c r="AC286" s="43"/>
      <c r="AD286" s="22"/>
    </row>
    <row r="287" spans="1:30" x14ac:dyDescent="0.3">
      <c r="A287" s="7"/>
      <c r="B287" s="151"/>
      <c r="C287" s="186"/>
      <c r="D287" s="99"/>
      <c r="E287" s="99"/>
      <c r="F287" s="99"/>
      <c r="G287" s="99"/>
      <c r="H287" s="99"/>
      <c r="I287" s="99"/>
      <c r="J287" s="99"/>
      <c r="K287" s="99"/>
      <c r="L287" s="99"/>
      <c r="M287" s="99"/>
      <c r="N287" s="99"/>
      <c r="O287" s="99"/>
      <c r="P287" s="99"/>
      <c r="Q287" s="99"/>
      <c r="R287" s="99"/>
      <c r="S287" s="99"/>
      <c r="T287" s="99"/>
      <c r="U287" s="99"/>
      <c r="V287" s="99"/>
      <c r="W287" s="99"/>
      <c r="X287" s="99"/>
      <c r="Y287" s="99"/>
      <c r="Z287" s="188"/>
      <c r="AA287" s="99"/>
      <c r="AB287" s="99"/>
      <c r="AC287" s="10"/>
      <c r="AD287" s="5"/>
    </row>
    <row r="288" spans="1:30" x14ac:dyDescent="0.3">
      <c r="A288" s="33"/>
      <c r="B288" s="102" t="s">
        <v>105</v>
      </c>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54" t="s">
        <v>69</v>
      </c>
      <c r="Y288" s="103" t="s">
        <v>70</v>
      </c>
      <c r="Z288" s="154" t="s">
        <v>75</v>
      </c>
      <c r="AA288" s="103" t="s">
        <v>70</v>
      </c>
      <c r="AB288" s="34"/>
      <c r="AC288" s="190"/>
      <c r="AD288" s="5"/>
    </row>
    <row r="289" spans="1:31" s="23" customFormat="1" x14ac:dyDescent="0.3">
      <c r="A289" s="18"/>
      <c r="B289" s="106" t="s">
        <v>59</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06">
        <v>3663</v>
      </c>
      <c r="Y289" s="192">
        <f>X289/$X$298</f>
        <v>0.99972707423580787</v>
      </c>
      <c r="Z289" s="107">
        <v>684899</v>
      </c>
      <c r="AA289" s="192">
        <f>Z289/$Z$298</f>
        <v>0.99982628193711698</v>
      </c>
      <c r="AB289" s="158"/>
      <c r="AC289" s="193"/>
      <c r="AD289" s="22"/>
    </row>
    <row r="290" spans="1:31" s="23" customFormat="1" x14ac:dyDescent="0.3">
      <c r="A290" s="47"/>
      <c r="B290" s="97" t="s">
        <v>60</v>
      </c>
      <c r="C290" s="194"/>
      <c r="D290" s="194"/>
      <c r="E290" s="194"/>
      <c r="F290" s="194"/>
      <c r="G290" s="194"/>
      <c r="H290" s="194"/>
      <c r="I290" s="194"/>
      <c r="J290" s="194"/>
      <c r="K290" s="194"/>
      <c r="L290" s="194"/>
      <c r="M290" s="194"/>
      <c r="N290" s="194"/>
      <c r="O290" s="194"/>
      <c r="P290" s="194"/>
      <c r="Q290" s="194"/>
      <c r="R290" s="194"/>
      <c r="S290" s="194"/>
      <c r="T290" s="194"/>
      <c r="U290" s="194"/>
      <c r="V290" s="194"/>
      <c r="W290" s="194"/>
      <c r="X290" s="97">
        <v>1</v>
      </c>
      <c r="Y290" s="198">
        <f t="shared" ref="Y290:Y296" si="4">X290/$X$298</f>
        <v>2.7292576419213972E-4</v>
      </c>
      <c r="Z290" s="98">
        <v>119</v>
      </c>
      <c r="AA290" s="198">
        <f t="shared" ref="AA290:AA296" si="5">Z290/$Z$298</f>
        <v>1.7371806288301914E-4</v>
      </c>
      <c r="AB290" s="163"/>
      <c r="AC290" s="175"/>
      <c r="AD290" s="22"/>
      <c r="AE290" s="115"/>
    </row>
    <row r="291" spans="1:31" s="23" customFormat="1" x14ac:dyDescent="0.3">
      <c r="A291" s="47"/>
      <c r="B291" s="97" t="s">
        <v>61</v>
      </c>
      <c r="C291" s="194"/>
      <c r="D291" s="194"/>
      <c r="E291" s="194"/>
      <c r="F291" s="194"/>
      <c r="G291" s="194"/>
      <c r="H291" s="194"/>
      <c r="I291" s="194"/>
      <c r="J291" s="194"/>
      <c r="K291" s="194"/>
      <c r="L291" s="194"/>
      <c r="M291" s="194"/>
      <c r="N291" s="194"/>
      <c r="O291" s="194"/>
      <c r="P291" s="194"/>
      <c r="Q291" s="194"/>
      <c r="R291" s="194"/>
      <c r="S291" s="194"/>
      <c r="T291" s="194"/>
      <c r="U291" s="194"/>
      <c r="V291" s="194"/>
      <c r="W291" s="194"/>
      <c r="X291" s="97">
        <v>0</v>
      </c>
      <c r="Y291" s="198">
        <f t="shared" si="4"/>
        <v>0</v>
      </c>
      <c r="Z291" s="98">
        <v>0</v>
      </c>
      <c r="AA291" s="198">
        <f t="shared" si="5"/>
        <v>0</v>
      </c>
      <c r="AB291" s="163"/>
      <c r="AC291" s="175"/>
      <c r="AD291" s="22"/>
    </row>
    <row r="292" spans="1:31" s="23" customFormat="1" x14ac:dyDescent="0.3">
      <c r="A292" s="47"/>
      <c r="B292" s="97" t="s">
        <v>100</v>
      </c>
      <c r="C292" s="194"/>
      <c r="D292" s="194"/>
      <c r="E292" s="194"/>
      <c r="F292" s="194"/>
      <c r="G292" s="194"/>
      <c r="H292" s="194"/>
      <c r="I292" s="194"/>
      <c r="J292" s="194"/>
      <c r="K292" s="194"/>
      <c r="L292" s="194"/>
      <c r="M292" s="194"/>
      <c r="N292" s="194"/>
      <c r="O292" s="194"/>
      <c r="P292" s="194"/>
      <c r="Q292" s="194"/>
      <c r="R292" s="194"/>
      <c r="S292" s="194"/>
      <c r="T292" s="194"/>
      <c r="U292" s="194"/>
      <c r="V292" s="194"/>
      <c r="W292" s="194"/>
      <c r="X292" s="97">
        <v>0</v>
      </c>
      <c r="Y292" s="198">
        <f t="shared" si="4"/>
        <v>0</v>
      </c>
      <c r="Z292" s="98">
        <v>0</v>
      </c>
      <c r="AA292" s="198">
        <f t="shared" si="5"/>
        <v>0</v>
      </c>
      <c r="AB292" s="163"/>
      <c r="AC292" s="175"/>
      <c r="AD292" s="22"/>
      <c r="AE292" s="115"/>
    </row>
    <row r="293" spans="1:31" s="23" customFormat="1" x14ac:dyDescent="0.3">
      <c r="A293" s="47"/>
      <c r="B293" s="97" t="s">
        <v>101</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0</v>
      </c>
      <c r="Y293" s="198">
        <f t="shared" si="4"/>
        <v>0</v>
      </c>
      <c r="Z293" s="98">
        <v>0</v>
      </c>
      <c r="AA293" s="198">
        <f t="shared" si="5"/>
        <v>0</v>
      </c>
      <c r="AB293" s="163"/>
      <c r="AC293" s="175"/>
      <c r="AD293" s="22"/>
    </row>
    <row r="294" spans="1:31" s="23" customFormat="1" x14ac:dyDescent="0.3">
      <c r="A294" s="47"/>
      <c r="B294" s="97" t="s">
        <v>102</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4"/>
        <v>0</v>
      </c>
      <c r="Z294" s="98">
        <v>0</v>
      </c>
      <c r="AA294" s="198">
        <f t="shared" si="5"/>
        <v>0</v>
      </c>
      <c r="AB294" s="163"/>
      <c r="AC294" s="175"/>
      <c r="AD294" s="22"/>
      <c r="AE294" s="115"/>
    </row>
    <row r="295" spans="1:31" s="23" customFormat="1" x14ac:dyDescent="0.3">
      <c r="A295" s="47"/>
      <c r="B295" s="97" t="s">
        <v>103</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0</v>
      </c>
      <c r="Y295" s="198">
        <f>X295/$X$298</f>
        <v>0</v>
      </c>
      <c r="Z295" s="98">
        <v>0</v>
      </c>
      <c r="AA295" s="198">
        <f t="shared" si="5"/>
        <v>0</v>
      </c>
      <c r="AB295" s="163"/>
      <c r="AC295" s="175"/>
      <c r="AD295" s="22"/>
    </row>
    <row r="296" spans="1:31" s="23" customFormat="1" x14ac:dyDescent="0.3">
      <c r="A296" s="47"/>
      <c r="B296" s="97" t="s">
        <v>104</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4"/>
        <v>0</v>
      </c>
      <c r="Z296" s="98">
        <v>0</v>
      </c>
      <c r="AA296" s="198">
        <f t="shared" si="5"/>
        <v>0</v>
      </c>
      <c r="AB296" s="163"/>
      <c r="AC296" s="175"/>
      <c r="AD296" s="22"/>
      <c r="AE296" s="115"/>
    </row>
    <row r="297" spans="1:31" s="23" customFormat="1" x14ac:dyDescent="0.3">
      <c r="A297" s="47"/>
      <c r="B297" s="97"/>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c r="Y297" s="198"/>
      <c r="Z297" s="98"/>
      <c r="AA297" s="198"/>
      <c r="AB297" s="163"/>
      <c r="AC297" s="175"/>
      <c r="AD297" s="22"/>
    </row>
    <row r="298" spans="1:31" s="23" customFormat="1" x14ac:dyDescent="0.3">
      <c r="A298" s="47"/>
      <c r="B298" s="40" t="s">
        <v>80</v>
      </c>
      <c r="C298" s="40"/>
      <c r="D298" s="204"/>
      <c r="E298" s="204"/>
      <c r="F298" s="204"/>
      <c r="G298" s="204"/>
      <c r="H298" s="204"/>
      <c r="I298" s="204"/>
      <c r="J298" s="204"/>
      <c r="K298" s="204"/>
      <c r="L298" s="204"/>
      <c r="M298" s="204"/>
      <c r="N298" s="204"/>
      <c r="O298" s="204"/>
      <c r="P298" s="204"/>
      <c r="Q298" s="204"/>
      <c r="R298" s="204"/>
      <c r="S298" s="204"/>
      <c r="T298" s="204"/>
      <c r="U298" s="204"/>
      <c r="V298" s="204"/>
      <c r="W298" s="204"/>
      <c r="X298" s="97">
        <f>SUM(X289:X297)</f>
        <v>3664</v>
      </c>
      <c r="Y298" s="198">
        <f>SUM(Y289:Y297)</f>
        <v>1</v>
      </c>
      <c r="Z298" s="98">
        <f>SUM(Z289:Z297)</f>
        <v>685018</v>
      </c>
      <c r="AA298" s="198">
        <f>SUM(AA289:AA297)</f>
        <v>1</v>
      </c>
      <c r="AB298" s="40"/>
      <c r="AC298" s="43"/>
      <c r="AD298" s="22"/>
    </row>
    <row r="299" spans="1:31" x14ac:dyDescent="0.3">
      <c r="A299" s="7"/>
      <c r="B299" s="99"/>
      <c r="C299" s="99"/>
      <c r="D299" s="205"/>
      <c r="E299" s="205"/>
      <c r="F299" s="205"/>
      <c r="G299" s="205"/>
      <c r="H299" s="205"/>
      <c r="I299" s="205"/>
      <c r="J299" s="205"/>
      <c r="K299" s="205"/>
      <c r="L299" s="205"/>
      <c r="M299" s="205"/>
      <c r="N299" s="205"/>
      <c r="O299" s="205"/>
      <c r="P299" s="205"/>
      <c r="Q299" s="205"/>
      <c r="R299" s="205"/>
      <c r="S299" s="205"/>
      <c r="T299" s="205"/>
      <c r="U299" s="205"/>
      <c r="V299" s="205"/>
      <c r="W299" s="205"/>
      <c r="X299" s="100"/>
      <c r="Y299" s="206"/>
      <c r="Z299" s="207"/>
      <c r="AA299" s="206"/>
      <c r="AB299" s="99"/>
      <c r="AC299" s="10"/>
      <c r="AD299" s="5"/>
    </row>
    <row r="300" spans="1:31" x14ac:dyDescent="0.3">
      <c r="A300" s="33"/>
      <c r="B300" s="102" t="s">
        <v>121</v>
      </c>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54" t="s">
        <v>69</v>
      </c>
      <c r="Y300" s="103" t="s">
        <v>70</v>
      </c>
      <c r="Z300" s="154" t="s">
        <v>75</v>
      </c>
      <c r="AA300" s="103" t="s">
        <v>70</v>
      </c>
      <c r="AB300" s="34"/>
      <c r="AC300" s="36"/>
      <c r="AD300" s="5"/>
    </row>
    <row r="301" spans="1:31" s="23" customFormat="1" x14ac:dyDescent="0.3">
      <c r="A301" s="18"/>
      <c r="B301" s="106" t="s">
        <v>59</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06">
        <v>0</v>
      </c>
      <c r="Y301" s="192">
        <v>0</v>
      </c>
      <c r="Z301" s="107">
        <v>0</v>
      </c>
      <c r="AA301" s="192">
        <v>0</v>
      </c>
      <c r="AB301" s="37"/>
      <c r="AC301" s="21"/>
      <c r="AD301" s="22"/>
    </row>
    <row r="302" spans="1:31" s="23" customFormat="1" x14ac:dyDescent="0.3">
      <c r="A302" s="47"/>
      <c r="B302" s="97" t="s">
        <v>60</v>
      </c>
      <c r="C302" s="194"/>
      <c r="D302" s="194"/>
      <c r="E302" s="194"/>
      <c r="F302" s="194"/>
      <c r="G302" s="194"/>
      <c r="H302" s="194"/>
      <c r="I302" s="194"/>
      <c r="J302" s="194"/>
      <c r="K302" s="194"/>
      <c r="L302" s="194"/>
      <c r="M302" s="194"/>
      <c r="N302" s="194"/>
      <c r="O302" s="194"/>
      <c r="P302" s="194"/>
      <c r="Q302" s="194"/>
      <c r="R302" s="194"/>
      <c r="S302" s="194"/>
      <c r="T302" s="194"/>
      <c r="U302" s="194"/>
      <c r="V302" s="194"/>
      <c r="W302" s="194"/>
      <c r="X302" s="97">
        <v>0</v>
      </c>
      <c r="Y302" s="198">
        <v>0</v>
      </c>
      <c r="Z302" s="98">
        <v>0</v>
      </c>
      <c r="AA302" s="198">
        <v>0</v>
      </c>
      <c r="AB302" s="40"/>
      <c r="AC302" s="43"/>
      <c r="AD302" s="22"/>
    </row>
    <row r="303" spans="1:31" s="23" customFormat="1" x14ac:dyDescent="0.3">
      <c r="A303" s="47"/>
      <c r="B303" s="97" t="s">
        <v>61</v>
      </c>
      <c r="C303" s="194"/>
      <c r="D303" s="194"/>
      <c r="E303" s="194"/>
      <c r="F303" s="194"/>
      <c r="G303" s="194"/>
      <c r="H303" s="194"/>
      <c r="I303" s="194"/>
      <c r="J303" s="194"/>
      <c r="K303" s="194"/>
      <c r="L303" s="194"/>
      <c r="M303" s="194"/>
      <c r="N303" s="194"/>
      <c r="O303" s="194"/>
      <c r="P303" s="194"/>
      <c r="Q303" s="194"/>
      <c r="R303" s="194"/>
      <c r="S303" s="194"/>
      <c r="T303" s="194"/>
      <c r="U303" s="194"/>
      <c r="V303" s="194"/>
      <c r="W303" s="194"/>
      <c r="X303" s="97">
        <v>0</v>
      </c>
      <c r="Y303" s="198">
        <v>0</v>
      </c>
      <c r="Z303" s="98">
        <v>0</v>
      </c>
      <c r="AA303" s="198">
        <v>0</v>
      </c>
      <c r="AB303" s="40"/>
      <c r="AC303" s="43"/>
      <c r="AD303" s="22"/>
    </row>
    <row r="304" spans="1:31" s="23" customFormat="1" x14ac:dyDescent="0.3">
      <c r="A304" s="47"/>
      <c r="B304" s="97" t="s">
        <v>100</v>
      </c>
      <c r="C304" s="194"/>
      <c r="D304" s="194"/>
      <c r="E304" s="194"/>
      <c r="F304" s="194"/>
      <c r="G304" s="194"/>
      <c r="H304" s="194"/>
      <c r="I304" s="194"/>
      <c r="J304" s="194"/>
      <c r="K304" s="194"/>
      <c r="L304" s="194"/>
      <c r="M304" s="194"/>
      <c r="N304" s="194"/>
      <c r="O304" s="194"/>
      <c r="P304" s="194"/>
      <c r="Q304" s="194"/>
      <c r="R304" s="194"/>
      <c r="S304" s="194"/>
      <c r="T304" s="194"/>
      <c r="U304" s="194"/>
      <c r="V304" s="194"/>
      <c r="W304" s="194"/>
      <c r="X304" s="97">
        <v>0</v>
      </c>
      <c r="Y304" s="198">
        <v>0</v>
      </c>
      <c r="Z304" s="98">
        <v>0</v>
      </c>
      <c r="AA304" s="198">
        <v>0</v>
      </c>
      <c r="AB304" s="40"/>
      <c r="AC304" s="43"/>
      <c r="AD304" s="22"/>
    </row>
    <row r="305" spans="1:30" s="23" customFormat="1" x14ac:dyDescent="0.3">
      <c r="A305" s="47"/>
      <c r="B305" s="97" t="s">
        <v>101</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102</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103</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104</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c r="Y309" s="198"/>
      <c r="Z309" s="98"/>
      <c r="AA309" s="198"/>
      <c r="AB309" s="40"/>
      <c r="AC309" s="43"/>
      <c r="AD309" s="22"/>
    </row>
    <row r="310" spans="1:30" s="23" customFormat="1" x14ac:dyDescent="0.3">
      <c r="A310" s="47"/>
      <c r="B310" s="40" t="s">
        <v>80</v>
      </c>
      <c r="C310" s="40"/>
      <c r="D310" s="204"/>
      <c r="E310" s="204"/>
      <c r="F310" s="204"/>
      <c r="G310" s="204"/>
      <c r="H310" s="204"/>
      <c r="I310" s="204"/>
      <c r="J310" s="204"/>
      <c r="K310" s="204"/>
      <c r="L310" s="204"/>
      <c r="M310" s="204"/>
      <c r="N310" s="204"/>
      <c r="O310" s="204"/>
      <c r="P310" s="204"/>
      <c r="Q310" s="204"/>
      <c r="R310" s="204"/>
      <c r="S310" s="204"/>
      <c r="T310" s="204"/>
      <c r="U310" s="204"/>
      <c r="V310" s="204"/>
      <c r="W310" s="204"/>
      <c r="X310" s="97">
        <f>SUM(X301:X309)</f>
        <v>0</v>
      </c>
      <c r="Y310" s="198">
        <f>SUM(Y301:Y309)</f>
        <v>0</v>
      </c>
      <c r="Z310" s="98">
        <f>SUM(Z301:Z309)</f>
        <v>0</v>
      </c>
      <c r="AA310" s="198">
        <f>SUM(AA301:AA309)</f>
        <v>0</v>
      </c>
      <c r="AB310" s="40"/>
      <c r="AC310" s="43"/>
      <c r="AD310" s="22"/>
    </row>
    <row r="311" spans="1:30" s="23" customFormat="1" x14ac:dyDescent="0.3">
      <c r="A311" s="47"/>
      <c r="B311" s="40"/>
      <c r="C311" s="40"/>
      <c r="D311" s="204"/>
      <c r="E311" s="204"/>
      <c r="F311" s="204"/>
      <c r="G311" s="204"/>
      <c r="H311" s="204"/>
      <c r="I311" s="204"/>
      <c r="J311" s="204"/>
      <c r="K311" s="204"/>
      <c r="L311" s="204"/>
      <c r="M311" s="204"/>
      <c r="N311" s="204"/>
      <c r="O311" s="204"/>
      <c r="P311" s="204"/>
      <c r="Q311" s="204"/>
      <c r="R311" s="204"/>
      <c r="S311" s="204"/>
      <c r="T311" s="204"/>
      <c r="U311" s="204"/>
      <c r="V311" s="204"/>
      <c r="W311" s="204"/>
      <c r="X311" s="97"/>
      <c r="Y311" s="198"/>
      <c r="Z311" s="98"/>
      <c r="AA311" s="198"/>
      <c r="AB311" s="40"/>
      <c r="AC311" s="43"/>
      <c r="AD311" s="22"/>
    </row>
    <row r="312" spans="1:30" s="23" customFormat="1" x14ac:dyDescent="0.3">
      <c r="A312" s="242"/>
      <c r="B312" s="243" t="s">
        <v>299</v>
      </c>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62" t="s">
        <v>69</v>
      </c>
      <c r="Y312" s="263" t="s">
        <v>70</v>
      </c>
      <c r="Z312" s="262" t="s">
        <v>75</v>
      </c>
      <c r="AA312" s="263" t="s">
        <v>70</v>
      </c>
      <c r="AB312" s="243"/>
      <c r="AC312" s="243"/>
      <c r="AD312" s="22"/>
    </row>
    <row r="313" spans="1:30" s="23" customFormat="1" x14ac:dyDescent="0.3">
      <c r="A313" s="272"/>
      <c r="B313" s="273" t="s">
        <v>295</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275">
        <v>0</v>
      </c>
      <c r="Y313" s="276">
        <v>0</v>
      </c>
      <c r="Z313" s="277">
        <v>0</v>
      </c>
      <c r="AA313" s="276">
        <v>0</v>
      </c>
      <c r="AB313" s="40"/>
      <c r="AC313" s="43"/>
      <c r="AD313" s="22"/>
    </row>
    <row r="314" spans="1:30" s="23" customFormat="1" x14ac:dyDescent="0.3">
      <c r="A314" s="272"/>
      <c r="B314" s="273" t="s">
        <v>296</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275">
        <v>0</v>
      </c>
      <c r="Y314" s="276">
        <v>0</v>
      </c>
      <c r="Z314" s="277">
        <v>0</v>
      </c>
      <c r="AA314" s="276">
        <v>0</v>
      </c>
      <c r="AB314" s="40"/>
      <c r="AC314" s="43"/>
      <c r="AD314" s="22"/>
    </row>
    <row r="315" spans="1:30" s="23" customFormat="1" x14ac:dyDescent="0.3">
      <c r="A315" s="272"/>
      <c r="B315" s="273" t="s">
        <v>297</v>
      </c>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275">
        <v>0</v>
      </c>
      <c r="Y315" s="276">
        <v>0</v>
      </c>
      <c r="Z315" s="277">
        <v>0</v>
      </c>
      <c r="AA315" s="276">
        <v>0</v>
      </c>
      <c r="AB315" s="40"/>
      <c r="AC315" s="43"/>
      <c r="AD315" s="22"/>
    </row>
    <row r="316" spans="1:30" s="23" customFormat="1" x14ac:dyDescent="0.3">
      <c r="A316" s="272"/>
      <c r="B316" s="273" t="s">
        <v>298</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5">
        <v>0</v>
      </c>
      <c r="Y316" s="276">
        <v>0</v>
      </c>
      <c r="Z316" s="277">
        <v>0</v>
      </c>
      <c r="AA316" s="276">
        <v>0</v>
      </c>
      <c r="AB316" s="40"/>
      <c r="AC316" s="43"/>
      <c r="AD316" s="22"/>
    </row>
    <row r="317" spans="1:30" s="23" customFormat="1" x14ac:dyDescent="0.3">
      <c r="A317" s="272"/>
      <c r="B317" s="273" t="s">
        <v>368</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5">
        <v>0</v>
      </c>
      <c r="Y317" s="276">
        <v>0</v>
      </c>
      <c r="Z317" s="277">
        <v>0</v>
      </c>
      <c r="AA317" s="276">
        <v>0</v>
      </c>
      <c r="AB317" s="40"/>
      <c r="AC317" s="43"/>
      <c r="AD317" s="22"/>
    </row>
    <row r="318" spans="1:30" s="23" customFormat="1" x14ac:dyDescent="0.3">
      <c r="A318" s="272"/>
      <c r="B318" s="274" t="s">
        <v>300</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5">
        <v>0</v>
      </c>
      <c r="Y318" s="276">
        <v>0</v>
      </c>
      <c r="Z318" s="277">
        <v>0</v>
      </c>
      <c r="AA318" s="276">
        <v>0</v>
      </c>
      <c r="AB318" s="40"/>
      <c r="AC318" s="43"/>
      <c r="AD318" s="22"/>
    </row>
    <row r="319" spans="1:30" s="23" customFormat="1" x14ac:dyDescent="0.3">
      <c r="A319" s="272"/>
      <c r="B319" s="273"/>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5"/>
      <c r="Y319" s="276"/>
      <c r="Z319" s="277"/>
      <c r="AA319" s="276"/>
      <c r="AB319" s="40"/>
      <c r="AC319" s="43"/>
      <c r="AD319" s="22"/>
    </row>
    <row r="320" spans="1:30" s="23" customFormat="1" x14ac:dyDescent="0.3">
      <c r="A320" s="272"/>
      <c r="B320" s="273" t="s">
        <v>80</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5">
        <f>SUM(X313:X319)</f>
        <v>0</v>
      </c>
      <c r="Y320" s="276">
        <f>SUM(Y313:Y318)</f>
        <v>0</v>
      </c>
      <c r="Z320" s="277">
        <f>SUM(Z313:Z318)</f>
        <v>0</v>
      </c>
      <c r="AA320" s="276">
        <f>SUM(AA313:AA319)</f>
        <v>0</v>
      </c>
      <c r="AB320" s="40"/>
      <c r="AC320" s="43"/>
      <c r="AD320" s="22"/>
    </row>
    <row r="321" spans="1:30" x14ac:dyDescent="0.3">
      <c r="A321" s="7"/>
      <c r="B321" s="99"/>
      <c r="C321" s="99"/>
      <c r="D321" s="205"/>
      <c r="E321" s="205"/>
      <c r="F321" s="205"/>
      <c r="G321" s="205"/>
      <c r="H321" s="205"/>
      <c r="I321" s="205"/>
      <c r="J321" s="205"/>
      <c r="K321" s="205"/>
      <c r="L321" s="205"/>
      <c r="M321" s="205"/>
      <c r="N321" s="205"/>
      <c r="O321" s="205"/>
      <c r="P321" s="205"/>
      <c r="Q321" s="205"/>
      <c r="R321" s="205"/>
      <c r="S321" s="205"/>
      <c r="T321" s="205"/>
      <c r="U321" s="205"/>
      <c r="V321" s="205"/>
      <c r="W321" s="205"/>
      <c r="X321" s="100"/>
      <c r="Y321" s="206"/>
      <c r="Z321" s="207"/>
      <c r="AA321" s="206"/>
      <c r="AB321" s="99"/>
      <c r="AC321" s="10"/>
      <c r="AD321" s="5"/>
    </row>
    <row r="322" spans="1:30" x14ac:dyDescent="0.3">
      <c r="A322" s="33"/>
      <c r="B322" s="102" t="s">
        <v>106</v>
      </c>
      <c r="C322" s="34"/>
      <c r="D322" s="208"/>
      <c r="E322" s="208"/>
      <c r="F322" s="208"/>
      <c r="G322" s="208"/>
      <c r="H322" s="208"/>
      <c r="I322" s="208"/>
      <c r="J322" s="208"/>
      <c r="K322" s="208"/>
      <c r="L322" s="208"/>
      <c r="M322" s="208"/>
      <c r="N322" s="208"/>
      <c r="O322" s="208"/>
      <c r="P322" s="208"/>
      <c r="Q322" s="208"/>
      <c r="R322" s="208"/>
      <c r="S322" s="208"/>
      <c r="T322" s="208"/>
      <c r="U322" s="208"/>
      <c r="V322" s="208"/>
      <c r="W322" s="208"/>
      <c r="X322" s="154" t="s">
        <v>69</v>
      </c>
      <c r="Y322" s="103" t="s">
        <v>70</v>
      </c>
      <c r="Z322" s="154" t="s">
        <v>75</v>
      </c>
      <c r="AA322" s="103" t="s">
        <v>70</v>
      </c>
      <c r="AB322" s="34"/>
      <c r="AC322" s="36"/>
      <c r="AD322" s="5"/>
    </row>
    <row r="323" spans="1:30" s="23" customFormat="1" x14ac:dyDescent="0.3">
      <c r="A323" s="18"/>
      <c r="B323" s="106" t="s">
        <v>59</v>
      </c>
      <c r="C323" s="37"/>
      <c r="D323" s="209"/>
      <c r="E323" s="209"/>
      <c r="F323" s="209"/>
      <c r="G323" s="209"/>
      <c r="H323" s="209"/>
      <c r="I323" s="209"/>
      <c r="J323" s="209"/>
      <c r="K323" s="209"/>
      <c r="L323" s="209"/>
      <c r="M323" s="209"/>
      <c r="N323" s="209"/>
      <c r="O323" s="209"/>
      <c r="P323" s="209"/>
      <c r="Q323" s="209"/>
      <c r="R323" s="209"/>
      <c r="S323" s="209"/>
      <c r="T323" s="209"/>
      <c r="U323" s="209"/>
      <c r="V323" s="209"/>
      <c r="W323" s="209"/>
      <c r="X323" s="106">
        <v>0</v>
      </c>
      <c r="Y323" s="192">
        <v>0</v>
      </c>
      <c r="Z323" s="107">
        <v>0</v>
      </c>
      <c r="AA323" s="192">
        <v>0</v>
      </c>
      <c r="AB323" s="37"/>
      <c r="AC323" s="21"/>
      <c r="AD323" s="22"/>
    </row>
    <row r="324" spans="1:30" s="23" customFormat="1" x14ac:dyDescent="0.3">
      <c r="A324" s="47"/>
      <c r="B324" s="97" t="s">
        <v>60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97">
        <v>0</v>
      </c>
      <c r="Y324" s="198">
        <v>0</v>
      </c>
      <c r="Z324" s="98">
        <v>0</v>
      </c>
      <c r="AA324" s="198">
        <v>0</v>
      </c>
      <c r="AB324" s="40"/>
      <c r="AC324" s="43"/>
      <c r="AD324" s="22"/>
    </row>
    <row r="325" spans="1:30" s="23" customFormat="1" x14ac:dyDescent="0.3">
      <c r="A325" s="47"/>
      <c r="B325" s="97" t="s">
        <v>61</v>
      </c>
      <c r="C325" s="40"/>
      <c r="D325" s="204"/>
      <c r="E325" s="204"/>
      <c r="F325" s="204"/>
      <c r="G325" s="204"/>
      <c r="H325" s="204"/>
      <c r="I325" s="204"/>
      <c r="J325" s="204"/>
      <c r="K325" s="204"/>
      <c r="L325" s="204"/>
      <c r="M325" s="204"/>
      <c r="N325" s="204"/>
      <c r="O325" s="204"/>
      <c r="P325" s="204"/>
      <c r="Q325" s="204"/>
      <c r="R325" s="204"/>
      <c r="S325" s="204"/>
      <c r="T325" s="204"/>
      <c r="U325" s="204"/>
      <c r="V325" s="204"/>
      <c r="W325" s="204"/>
      <c r="X325" s="97">
        <v>0</v>
      </c>
      <c r="Y325" s="198">
        <v>0</v>
      </c>
      <c r="Z325" s="98">
        <v>0</v>
      </c>
      <c r="AA325" s="198">
        <v>0</v>
      </c>
      <c r="AB325" s="40"/>
      <c r="AC325" s="43"/>
      <c r="AD325" s="22"/>
    </row>
    <row r="326" spans="1:30" s="23" customFormat="1" x14ac:dyDescent="0.3">
      <c r="A326" s="47"/>
      <c r="B326" s="97" t="s">
        <v>100</v>
      </c>
      <c r="C326" s="40"/>
      <c r="D326" s="204"/>
      <c r="E326" s="204"/>
      <c r="F326" s="204"/>
      <c r="G326" s="204"/>
      <c r="H326" s="204"/>
      <c r="I326" s="204"/>
      <c r="J326" s="204"/>
      <c r="K326" s="204"/>
      <c r="L326" s="204"/>
      <c r="M326" s="204"/>
      <c r="N326" s="204"/>
      <c r="O326" s="204"/>
      <c r="P326" s="204"/>
      <c r="Q326" s="204"/>
      <c r="R326" s="204"/>
      <c r="S326" s="204"/>
      <c r="T326" s="204"/>
      <c r="U326" s="204"/>
      <c r="V326" s="204"/>
      <c r="W326" s="204"/>
      <c r="X326" s="97">
        <v>0</v>
      </c>
      <c r="Y326" s="198">
        <v>0</v>
      </c>
      <c r="Z326" s="98">
        <v>0</v>
      </c>
      <c r="AA326" s="198">
        <v>0</v>
      </c>
      <c r="AB326" s="40"/>
      <c r="AC326" s="43"/>
      <c r="AD326" s="22"/>
    </row>
    <row r="327" spans="1:30" s="23" customFormat="1" x14ac:dyDescent="0.3">
      <c r="A327" s="47"/>
      <c r="B327" s="97" t="s">
        <v>101</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102</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103</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104</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c r="Y331" s="198"/>
      <c r="Z331" s="98"/>
      <c r="AA331" s="198"/>
      <c r="AB331" s="40"/>
      <c r="AC331" s="43"/>
      <c r="AD331" s="22"/>
    </row>
    <row r="332" spans="1:30" s="23" customFormat="1" x14ac:dyDescent="0.3">
      <c r="A332" s="47"/>
      <c r="B332" s="40" t="s">
        <v>80</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f>SUM(X323:X330)</f>
        <v>0</v>
      </c>
      <c r="Y332" s="198">
        <f>SUM(Y323:Y330)</f>
        <v>0</v>
      </c>
      <c r="Z332" s="98">
        <f>SUM(Z323:Z330)</f>
        <v>0</v>
      </c>
      <c r="AA332" s="198">
        <f>SUM(AA323:AA330)</f>
        <v>0</v>
      </c>
      <c r="AB332" s="40"/>
      <c r="AC332" s="43"/>
      <c r="AD332" s="22"/>
    </row>
    <row r="333" spans="1:30" s="23" customFormat="1" x14ac:dyDescent="0.3">
      <c r="A333" s="47"/>
      <c r="B333" s="40"/>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c r="Y333" s="198"/>
      <c r="Z333" s="98"/>
      <c r="AA333" s="198"/>
      <c r="AB333" s="40"/>
      <c r="AC333" s="43"/>
      <c r="AD333" s="22"/>
    </row>
    <row r="334" spans="1:30" s="23" customFormat="1" x14ac:dyDescent="0.3">
      <c r="A334" s="47"/>
      <c r="B334" s="44" t="s">
        <v>139</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210">
        <f>X332+X310+X298</f>
        <v>3664</v>
      </c>
      <c r="Y334" s="198"/>
      <c r="Z334" s="211">
        <f>+Z332+Z310+Z298</f>
        <v>685018</v>
      </c>
      <c r="AA334" s="198"/>
      <c r="AB334" s="40"/>
      <c r="AC334" s="43"/>
      <c r="AD334" s="22"/>
    </row>
    <row r="335" spans="1:30" s="23" customFormat="1" x14ac:dyDescent="0.3">
      <c r="A335" s="47"/>
      <c r="B335" s="44" t="s">
        <v>280</v>
      </c>
      <c r="C335" s="44"/>
      <c r="D335" s="212"/>
      <c r="E335" s="212"/>
      <c r="F335" s="212"/>
      <c r="G335" s="212"/>
      <c r="H335" s="212"/>
      <c r="I335" s="212"/>
      <c r="J335" s="212"/>
      <c r="K335" s="212"/>
      <c r="L335" s="212"/>
      <c r="M335" s="212"/>
      <c r="N335" s="212"/>
      <c r="O335" s="212"/>
      <c r="P335" s="212"/>
      <c r="Q335" s="212"/>
      <c r="R335" s="212"/>
      <c r="S335" s="212"/>
      <c r="T335" s="212"/>
      <c r="U335" s="212"/>
      <c r="V335" s="212"/>
      <c r="W335" s="212"/>
      <c r="X335" s="210"/>
      <c r="Y335" s="213"/>
      <c r="Z335" s="211">
        <f>+AB64+AB63</f>
        <v>3</v>
      </c>
      <c r="AA335" s="198"/>
      <c r="AB335" s="40"/>
      <c r="AC335" s="43"/>
      <c r="AD335" s="22"/>
    </row>
    <row r="336" spans="1:30" s="23" customFormat="1" x14ac:dyDescent="0.3">
      <c r="A336" s="47"/>
      <c r="B336" s="44" t="s">
        <v>107</v>
      </c>
      <c r="C336" s="44"/>
      <c r="D336" s="212"/>
      <c r="E336" s="212"/>
      <c r="F336" s="212"/>
      <c r="G336" s="212"/>
      <c r="H336" s="212"/>
      <c r="I336" s="212"/>
      <c r="J336" s="212"/>
      <c r="K336" s="212"/>
      <c r="L336" s="212"/>
      <c r="M336" s="212"/>
      <c r="N336" s="212"/>
      <c r="O336" s="212"/>
      <c r="P336" s="212"/>
      <c r="Q336" s="212"/>
      <c r="R336" s="212"/>
      <c r="S336" s="212"/>
      <c r="T336" s="212"/>
      <c r="U336" s="212"/>
      <c r="V336" s="212"/>
      <c r="W336" s="212"/>
      <c r="X336" s="210"/>
      <c r="Y336" s="213"/>
      <c r="Z336" s="211">
        <f>+Z334+Z335</f>
        <v>685021</v>
      </c>
      <c r="AA336" s="198"/>
      <c r="AB336" s="40"/>
      <c r="AC336" s="43"/>
      <c r="AD336" s="22"/>
    </row>
    <row r="337" spans="1:30" s="23" customFormat="1" x14ac:dyDescent="0.3">
      <c r="A337" s="47"/>
      <c r="B337" s="44" t="s">
        <v>245</v>
      </c>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210"/>
      <c r="Y337" s="198"/>
      <c r="Z337" s="211">
        <f>+AB66</f>
        <v>685021</v>
      </c>
      <c r="AA337" s="198"/>
      <c r="AB337" s="40"/>
      <c r="AC337" s="43"/>
      <c r="AD337" s="22"/>
    </row>
    <row r="338" spans="1:30" s="23" customFormat="1" x14ac:dyDescent="0.3">
      <c r="A338" s="47"/>
      <c r="B338" s="44"/>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c r="Y338" s="198"/>
      <c r="Z338" s="211"/>
      <c r="AA338" s="198"/>
      <c r="AB338" s="40"/>
      <c r="AC338" s="43"/>
      <c r="AD338" s="22"/>
    </row>
    <row r="339" spans="1:30" s="23" customFormat="1" x14ac:dyDescent="0.3">
      <c r="A339" s="47"/>
      <c r="B339" s="44" t="s">
        <v>327</v>
      </c>
      <c r="C339" s="40"/>
      <c r="D339" s="204"/>
      <c r="E339" s="204"/>
      <c r="F339" s="204"/>
      <c r="G339" s="204"/>
      <c r="H339" s="204"/>
      <c r="I339" s="204"/>
      <c r="J339" s="204"/>
      <c r="K339" s="204"/>
      <c r="L339" s="204"/>
      <c r="M339" s="204"/>
      <c r="N339" s="204"/>
      <c r="O339" s="204"/>
      <c r="P339" s="204"/>
      <c r="Q339" s="204"/>
      <c r="R339" s="204"/>
      <c r="S339" s="204"/>
      <c r="T339" s="204"/>
      <c r="U339" s="204"/>
      <c r="V339" s="204"/>
      <c r="W339" s="204"/>
      <c r="X339" s="210"/>
      <c r="Y339" s="198"/>
      <c r="Z339" s="236">
        <f>(F31+H31+J31+L31+N31)/AB31</f>
        <v>1.000001459810224</v>
      </c>
      <c r="AA339" s="198"/>
      <c r="AB339" s="40"/>
      <c r="AC339" s="43"/>
      <c r="AD339" s="22"/>
    </row>
    <row r="340" spans="1:30" s="23" customFormat="1" x14ac:dyDescent="0.3">
      <c r="A340" s="18"/>
      <c r="B340" s="20"/>
      <c r="C340" s="20"/>
      <c r="D340" s="214"/>
      <c r="E340" s="214"/>
      <c r="F340" s="214"/>
      <c r="G340" s="214"/>
      <c r="H340" s="214"/>
      <c r="I340" s="214"/>
      <c r="J340" s="214"/>
      <c r="K340" s="214"/>
      <c r="L340" s="214"/>
      <c r="M340" s="214"/>
      <c r="N340" s="214"/>
      <c r="O340" s="214"/>
      <c r="P340" s="214"/>
      <c r="Q340" s="214"/>
      <c r="R340" s="214"/>
      <c r="S340" s="214"/>
      <c r="T340" s="214"/>
      <c r="U340" s="214"/>
      <c r="V340" s="214"/>
      <c r="W340" s="214"/>
      <c r="X340" s="214"/>
      <c r="Y340" s="214"/>
      <c r="Z340" s="215"/>
      <c r="AA340" s="214"/>
      <c r="AB340" s="20"/>
      <c r="AC340" s="21"/>
      <c r="AD340" s="22"/>
    </row>
    <row r="341" spans="1:30" s="23" customFormat="1" x14ac:dyDescent="0.3">
      <c r="A341" s="18"/>
      <c r="B341" s="19" t="s">
        <v>62</v>
      </c>
      <c r="C341" s="20"/>
      <c r="D341" s="216" t="s">
        <v>66</v>
      </c>
      <c r="E341" s="19"/>
      <c r="F341" s="19" t="s">
        <v>67</v>
      </c>
      <c r="G341" s="20"/>
      <c r="H341" s="19"/>
      <c r="I341" s="20"/>
      <c r="J341" s="20"/>
      <c r="K341" s="20"/>
      <c r="L341" s="20"/>
      <c r="M341" s="20"/>
      <c r="N341" s="20"/>
      <c r="O341" s="20"/>
      <c r="P341" s="20"/>
      <c r="Q341" s="20"/>
      <c r="R341" s="20"/>
      <c r="S341" s="20"/>
      <c r="T341" s="20"/>
      <c r="U341" s="20"/>
      <c r="V341" s="20"/>
      <c r="W341" s="20"/>
      <c r="X341" s="20"/>
      <c r="Y341" s="20"/>
      <c r="Z341" s="20"/>
      <c r="AA341" s="20"/>
      <c r="AB341" s="20"/>
      <c r="AC341" s="21"/>
      <c r="AD341" s="22"/>
    </row>
    <row r="342" spans="1:30" s="23" customFormat="1" x14ac:dyDescent="0.3">
      <c r="A342" s="18"/>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1"/>
      <c r="AD342" s="22"/>
    </row>
    <row r="343" spans="1:30" s="23" customFormat="1" x14ac:dyDescent="0.3">
      <c r="A343" s="18"/>
      <c r="B343" s="19" t="s">
        <v>152</v>
      </c>
      <c r="C343" s="19"/>
      <c r="D343" s="217" t="s">
        <v>122</v>
      </c>
      <c r="E343" s="19"/>
      <c r="F343" s="19" t="s">
        <v>169</v>
      </c>
      <c r="G343" s="19"/>
      <c r="H343" s="19"/>
      <c r="I343" s="20"/>
      <c r="J343" s="20"/>
      <c r="K343" s="20"/>
      <c r="L343" s="20"/>
      <c r="M343" s="20"/>
      <c r="N343" s="20"/>
      <c r="O343" s="20"/>
      <c r="P343" s="20"/>
      <c r="Q343" s="20"/>
      <c r="R343" s="20"/>
      <c r="S343" s="20"/>
      <c r="T343" s="20"/>
      <c r="U343" s="20"/>
      <c r="V343" s="20"/>
      <c r="W343" s="20"/>
      <c r="X343" s="20"/>
      <c r="Y343" s="20"/>
      <c r="Z343" s="20"/>
      <c r="AA343" s="20"/>
      <c r="AB343" s="20"/>
      <c r="AC343" s="21"/>
      <c r="AD343" s="22"/>
    </row>
    <row r="344" spans="1:30" s="23" customFormat="1" x14ac:dyDescent="0.3">
      <c r="A344" s="18"/>
      <c r="B344" s="19" t="s">
        <v>153</v>
      </c>
      <c r="C344" s="19"/>
      <c r="D344" s="217" t="s">
        <v>98</v>
      </c>
      <c r="E344" s="19"/>
      <c r="F344" s="19" t="s">
        <v>170</v>
      </c>
      <c r="G344" s="19"/>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s="23" customFormat="1" x14ac:dyDescent="0.3">
      <c r="A345" s="18"/>
      <c r="B345" s="19"/>
      <c r="C345" s="19"/>
      <c r="D345" s="217"/>
      <c r="E345" s="19"/>
      <c r="F345" s="19"/>
      <c r="G345" s="19"/>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ht="18" x14ac:dyDescent="0.35">
      <c r="A346" s="218"/>
      <c r="B346" s="259" t="s">
        <v>109</v>
      </c>
      <c r="C346" s="219"/>
      <c r="D346" s="220"/>
      <c r="E346" s="220"/>
      <c r="F346" s="220"/>
      <c r="G346" s="220"/>
      <c r="H346" s="220"/>
      <c r="I346" s="220"/>
      <c r="J346" s="220"/>
      <c r="K346" s="220"/>
      <c r="L346" s="220"/>
      <c r="M346" s="220"/>
      <c r="N346" s="220"/>
      <c r="O346" s="220"/>
      <c r="P346" s="260" t="s">
        <v>168</v>
      </c>
      <c r="Q346" s="220"/>
      <c r="R346" s="220"/>
      <c r="S346" s="220"/>
      <c r="T346" s="220"/>
      <c r="U346" s="220"/>
      <c r="V346" s="220"/>
      <c r="W346" s="220"/>
      <c r="X346" s="220"/>
      <c r="Y346" s="220"/>
      <c r="Z346" s="220"/>
      <c r="AA346" s="220"/>
      <c r="AB346" s="220"/>
      <c r="AC346" s="221"/>
      <c r="AD346" s="5"/>
    </row>
    <row r="347" spans="1:30" ht="18" x14ac:dyDescent="0.35">
      <c r="A347" s="218"/>
      <c r="B347" s="259"/>
      <c r="C347" s="219"/>
      <c r="D347" s="220"/>
      <c r="E347" s="220"/>
      <c r="F347" s="220"/>
      <c r="G347" s="220"/>
      <c r="H347" s="220"/>
      <c r="I347" s="220"/>
      <c r="J347" s="220"/>
      <c r="K347" s="220"/>
      <c r="L347" s="220"/>
      <c r="M347" s="220"/>
      <c r="N347" s="220"/>
      <c r="O347" s="220"/>
      <c r="P347" s="260"/>
      <c r="Q347" s="220"/>
      <c r="R347" s="220"/>
      <c r="S347" s="220"/>
      <c r="T347" s="220"/>
      <c r="U347" s="220"/>
      <c r="V347" s="220"/>
      <c r="W347" s="220"/>
      <c r="X347" s="220"/>
      <c r="Y347" s="220"/>
      <c r="Z347" s="220"/>
      <c r="AA347" s="220"/>
      <c r="AB347" s="220"/>
      <c r="AC347" s="221"/>
      <c r="AD347" s="5"/>
    </row>
    <row r="348" spans="1:30" ht="18.600000000000001" thickBot="1" x14ac:dyDescent="0.4">
      <c r="A348" s="218"/>
      <c r="B348" s="222" t="str">
        <f>B234</f>
        <v>PM27 INVESTOR REPORT QUARTER ENDING MARCH 2022</v>
      </c>
      <c r="C348" s="219"/>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c r="AA348" s="220"/>
      <c r="AB348" s="220"/>
      <c r="AC348" s="223"/>
      <c r="AD348" s="5"/>
    </row>
    <row r="349" spans="1:30" x14ac:dyDescent="0.3">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c r="Y349" s="224"/>
      <c r="Z349" s="224"/>
      <c r="AA349" s="224"/>
      <c r="AB349" s="224"/>
      <c r="AC349" s="224"/>
    </row>
    <row r="350" spans="1:30" x14ac:dyDescent="0.3">
      <c r="B350" s="278" t="s">
        <v>351</v>
      </c>
    </row>
    <row r="351" spans="1:30" x14ac:dyDescent="0.3">
      <c r="B351" s="270" t="s">
        <v>352</v>
      </c>
    </row>
    <row r="352" spans="1:30" x14ac:dyDescent="0.3">
      <c r="B352" s="298" t="s">
        <v>353</v>
      </c>
    </row>
  </sheetData>
  <hyperlinks>
    <hyperlink ref="K9" r:id="rId1" display="http://www.paragon-group.co.uk" xr:uid="{5266623B-FAB9-4BEB-B537-CAEDB8FD71BF}"/>
    <hyperlink ref="P346" r:id="rId2" xr:uid="{21CF3E22-1022-402F-8C63-B45E29189C21}"/>
    <hyperlink ref="P274" r:id="rId3" xr:uid="{5B3B3B2F-743D-40B1-95AF-610DCCB5F636}"/>
    <hyperlink ref="B352" r:id="rId4" display="https://investorreporting.paragonbankinggroup.co.uk/bondinvestor_viewer/resources/bondinvestor/pdf/investornews/2021/libor-mortgages-transition-july-19" xr:uid="{E03A8940-D0BD-42AC-8A30-35CFB8FFE9FC}"/>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1" max="18" man="1"/>
    <brk id="234" max="18" man="1"/>
  </rowBreaks>
  <colBreaks count="1" manualBreakCount="1">
    <brk id="29" max="299" man="1"/>
  </colBreaks>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6885-6BD5-4A1A-86BA-AD4A39D1A96F}">
  <sheetPr>
    <tabColor rgb="FF89CB31"/>
  </sheetPr>
  <dimension ref="A1:JB352"/>
  <sheetViews>
    <sheetView showGridLines="0" showOutlineSymbols="0" zoomScale="70" zoomScaleNormal="70" workbookViewId="0"/>
  </sheetViews>
  <sheetFormatPr defaultColWidth="9.81640625" defaultRowHeight="15.6" x14ac:dyDescent="0.3"/>
  <cols>
    <col min="1" max="1" width="4" style="6" customWidth="1"/>
    <col min="2" max="2" width="71.08984375" style="6" customWidth="1"/>
    <col min="3" max="3" width="2.08984375" style="6" customWidth="1"/>
    <col min="4" max="4" width="16.08984375" style="6" customWidth="1"/>
    <col min="5" max="5" width="2.81640625" style="6" customWidth="1"/>
    <col min="6" max="6" width="16.08984375" style="6" customWidth="1"/>
    <col min="7" max="7" width="2.08984375" style="6" customWidth="1"/>
    <col min="8" max="8" width="17.81640625" style="6" customWidth="1"/>
    <col min="9" max="9" width="2.08984375" style="6" customWidth="1"/>
    <col min="10" max="10" width="14.81640625" style="6" customWidth="1"/>
    <col min="11" max="11" width="2.08984375" style="6" customWidth="1"/>
    <col min="12" max="12" width="15.54296875" style="6" customWidth="1"/>
    <col min="13" max="13" width="2.08984375" style="6" customWidth="1"/>
    <col min="14" max="14" width="15.54296875" style="6" customWidth="1"/>
    <col min="15" max="15" width="2.08984375" style="6" customWidth="1"/>
    <col min="16" max="16" width="15.54296875" style="6" customWidth="1"/>
    <col min="17" max="17" width="2.08984375" style="6" customWidth="1"/>
    <col min="18" max="18" width="15.54296875" style="6" customWidth="1"/>
    <col min="19" max="19" width="2.08984375" style="6" customWidth="1"/>
    <col min="20" max="20" width="15.54296875" style="6" customWidth="1"/>
    <col min="21" max="21" width="2.08984375" style="6" customWidth="1"/>
    <col min="22" max="22" width="15.54296875" style="6" customWidth="1"/>
    <col min="23" max="23" width="2.08984375" style="6" customWidth="1"/>
    <col min="24" max="24" width="15.54296875" style="6" customWidth="1"/>
    <col min="25" max="25" width="12.81640625" style="6" customWidth="1"/>
    <col min="26" max="26" width="18.08984375" style="6" customWidth="1"/>
    <col min="27" max="27" width="8.81640625" style="6" bestFit="1" customWidth="1"/>
    <col min="28" max="28" width="14.81640625" style="6" customWidth="1"/>
    <col min="29" max="29" width="11.81640625" style="6" customWidth="1"/>
    <col min="30" max="16384" width="9.81640625" style="6"/>
  </cols>
  <sheetData>
    <row r="1" spans="1:30" ht="21" x14ac:dyDescent="0.4">
      <c r="A1" s="1"/>
      <c r="B1" s="2" t="s">
        <v>302</v>
      </c>
      <c r="C1" s="3"/>
      <c r="D1" s="3"/>
      <c r="E1" s="3"/>
      <c r="F1" s="3"/>
      <c r="G1" s="3"/>
      <c r="H1" s="3"/>
      <c r="I1" s="3"/>
      <c r="J1" s="3"/>
      <c r="K1" s="3"/>
      <c r="L1" s="3"/>
      <c r="M1" s="3"/>
      <c r="N1" s="3"/>
      <c r="O1" s="3"/>
      <c r="P1" s="3"/>
      <c r="Q1" s="3"/>
      <c r="R1" s="3"/>
      <c r="S1" s="3"/>
      <c r="T1" s="3"/>
      <c r="U1" s="3"/>
      <c r="V1" s="3"/>
      <c r="W1" s="3"/>
      <c r="X1" s="3"/>
      <c r="Y1" s="3"/>
      <c r="Z1" s="3"/>
      <c r="AA1" s="3"/>
      <c r="AB1" s="3"/>
      <c r="AC1" s="4"/>
      <c r="AD1" s="5"/>
    </row>
    <row r="2" spans="1:30" x14ac:dyDescent="0.3">
      <c r="A2" s="7"/>
      <c r="B2" s="8"/>
      <c r="C2" s="9"/>
      <c r="D2" s="9"/>
      <c r="E2" s="9"/>
      <c r="F2" s="9"/>
      <c r="G2" s="9"/>
      <c r="H2" s="9"/>
      <c r="I2" s="9"/>
      <c r="J2" s="9"/>
      <c r="K2" s="9"/>
      <c r="L2" s="9"/>
      <c r="M2" s="9"/>
      <c r="N2" s="9"/>
      <c r="O2" s="9"/>
      <c r="P2" s="9"/>
      <c r="Q2" s="9"/>
      <c r="R2" s="9"/>
      <c r="S2" s="9"/>
      <c r="T2" s="9"/>
      <c r="U2" s="9"/>
      <c r="V2" s="9"/>
      <c r="W2" s="9"/>
      <c r="X2" s="9"/>
      <c r="Y2" s="9"/>
      <c r="Z2" s="9"/>
      <c r="AA2" s="9"/>
      <c r="AB2" s="9"/>
      <c r="AC2" s="10"/>
      <c r="AD2" s="5"/>
    </row>
    <row r="3" spans="1:30" x14ac:dyDescent="0.3">
      <c r="A3" s="11"/>
      <c r="B3" s="12" t="s">
        <v>303</v>
      </c>
      <c r="C3" s="9"/>
      <c r="D3" s="9"/>
      <c r="E3" s="9"/>
      <c r="F3" s="9"/>
      <c r="G3" s="9"/>
      <c r="H3" s="9"/>
      <c r="I3" s="9"/>
      <c r="J3" s="9"/>
      <c r="K3" s="9"/>
      <c r="L3" s="9"/>
      <c r="M3" s="9"/>
      <c r="N3" s="9"/>
      <c r="O3" s="9"/>
      <c r="P3" s="9"/>
      <c r="Q3" s="9"/>
      <c r="R3" s="9"/>
      <c r="S3" s="9"/>
      <c r="T3" s="9"/>
      <c r="U3" s="9"/>
      <c r="V3" s="9"/>
      <c r="W3" s="9"/>
      <c r="X3" s="9"/>
      <c r="Y3" s="9"/>
      <c r="Z3" s="9"/>
      <c r="AA3" s="9"/>
      <c r="AB3" s="9"/>
      <c r="AC3" s="10"/>
      <c r="AD3" s="5"/>
    </row>
    <row r="4" spans="1:30" x14ac:dyDescent="0.3">
      <c r="A4" s="7"/>
      <c r="B4" s="8"/>
      <c r="C4" s="9"/>
      <c r="D4" s="9"/>
      <c r="E4" s="9"/>
      <c r="F4" s="9"/>
      <c r="G4" s="9"/>
      <c r="H4" s="9"/>
      <c r="I4" s="9"/>
      <c r="J4" s="9"/>
      <c r="K4" s="9"/>
      <c r="L4" s="9"/>
      <c r="M4" s="9"/>
      <c r="N4" s="9"/>
      <c r="O4" s="9"/>
      <c r="P4" s="9"/>
      <c r="Q4" s="9"/>
      <c r="R4" s="9"/>
      <c r="S4" s="9"/>
      <c r="T4" s="9"/>
      <c r="U4" s="9"/>
      <c r="V4" s="9"/>
      <c r="W4" s="9"/>
      <c r="X4" s="9"/>
      <c r="Y4" s="9"/>
      <c r="Z4" s="9"/>
      <c r="AA4" s="9"/>
      <c r="AB4" s="9"/>
      <c r="AC4" s="10"/>
      <c r="AD4" s="5"/>
    </row>
    <row r="5" spans="1:30" x14ac:dyDescent="0.3">
      <c r="A5" s="7"/>
      <c r="B5" s="13" t="s">
        <v>94</v>
      </c>
      <c r="C5" s="9"/>
      <c r="D5" s="9"/>
      <c r="E5" s="9"/>
      <c r="F5" s="9"/>
      <c r="G5" s="9"/>
      <c r="H5" s="9"/>
      <c r="I5" s="9"/>
      <c r="J5" s="9"/>
      <c r="K5" s="9"/>
      <c r="L5" s="9"/>
      <c r="M5" s="9"/>
      <c r="N5" s="9"/>
      <c r="O5" s="9"/>
      <c r="P5" s="9"/>
      <c r="Q5" s="9"/>
      <c r="R5" s="9"/>
      <c r="S5" s="9"/>
      <c r="T5" s="9"/>
      <c r="U5" s="9"/>
      <c r="V5" s="9"/>
      <c r="W5" s="9"/>
      <c r="X5" s="9"/>
      <c r="Y5" s="9"/>
      <c r="Z5" s="9"/>
      <c r="AA5" s="9"/>
      <c r="AB5" s="9"/>
      <c r="AC5" s="10"/>
      <c r="AD5" s="5"/>
    </row>
    <row r="6" spans="1:30" x14ac:dyDescent="0.3">
      <c r="A6" s="7"/>
      <c r="B6" s="13" t="s">
        <v>96</v>
      </c>
      <c r="C6" s="9"/>
      <c r="D6" s="9"/>
      <c r="E6" s="9"/>
      <c r="F6" s="9"/>
      <c r="G6" s="9"/>
      <c r="H6" s="9"/>
      <c r="I6" s="9"/>
      <c r="J6" s="9"/>
      <c r="K6" s="9"/>
      <c r="L6" s="9"/>
      <c r="M6" s="9"/>
      <c r="N6" s="9"/>
      <c r="O6" s="9"/>
      <c r="P6" s="9"/>
      <c r="Q6" s="9"/>
      <c r="R6" s="9"/>
      <c r="S6" s="9"/>
      <c r="T6" s="9"/>
      <c r="U6" s="9"/>
      <c r="V6" s="9"/>
      <c r="W6" s="9"/>
      <c r="X6" s="9"/>
      <c r="Y6" s="9"/>
      <c r="Z6" s="9"/>
      <c r="AA6" s="9"/>
      <c r="AB6" s="9"/>
      <c r="AC6" s="10"/>
      <c r="AD6" s="5"/>
    </row>
    <row r="7" spans="1:30" x14ac:dyDescent="0.3">
      <c r="A7" s="7"/>
      <c r="B7" s="13" t="s">
        <v>95</v>
      </c>
      <c r="C7" s="9"/>
      <c r="D7" s="9"/>
      <c r="E7" s="9"/>
      <c r="F7" s="9"/>
      <c r="G7" s="9"/>
      <c r="H7" s="9"/>
      <c r="I7" s="9"/>
      <c r="J7" s="9"/>
      <c r="K7" s="9"/>
      <c r="L7" s="9"/>
      <c r="M7" s="9"/>
      <c r="N7" s="9"/>
      <c r="O7" s="9"/>
      <c r="P7" s="9"/>
      <c r="Q7" s="9"/>
      <c r="R7" s="9"/>
      <c r="S7" s="9"/>
      <c r="T7" s="9"/>
      <c r="U7" s="9"/>
      <c r="V7" s="9"/>
      <c r="W7" s="9"/>
      <c r="X7" s="9"/>
      <c r="Y7" s="9"/>
      <c r="Z7" s="9"/>
      <c r="AA7" s="9"/>
      <c r="AB7" s="9"/>
      <c r="AC7" s="10"/>
      <c r="AD7" s="5"/>
    </row>
    <row r="8" spans="1:30" x14ac:dyDescent="0.3">
      <c r="A8" s="7"/>
      <c r="B8" s="14"/>
      <c r="C8" s="9"/>
      <c r="D8" s="9"/>
      <c r="E8" s="9"/>
      <c r="F8" s="9"/>
      <c r="G8" s="9"/>
      <c r="H8" s="9"/>
      <c r="I8" s="9"/>
      <c r="J8" s="9"/>
      <c r="K8" s="9"/>
      <c r="L8" s="9"/>
      <c r="M8" s="9"/>
      <c r="N8" s="9"/>
      <c r="O8" s="9"/>
      <c r="P8" s="9"/>
      <c r="Q8" s="9"/>
      <c r="R8" s="9"/>
      <c r="S8" s="9"/>
      <c r="T8" s="9"/>
      <c r="U8" s="9"/>
      <c r="V8" s="9"/>
      <c r="W8" s="9"/>
      <c r="X8" s="9"/>
      <c r="Y8" s="9"/>
      <c r="Z8" s="9"/>
      <c r="AA8" s="9"/>
      <c r="AB8" s="9"/>
      <c r="AC8" s="10"/>
      <c r="AD8" s="5"/>
    </row>
    <row r="9" spans="1:30" ht="18" x14ac:dyDescent="0.35">
      <c r="A9" s="7"/>
      <c r="B9" s="12" t="s">
        <v>108</v>
      </c>
      <c r="C9" s="9"/>
      <c r="D9" s="9"/>
      <c r="E9" s="15"/>
      <c r="F9" s="9"/>
      <c r="G9" s="9"/>
      <c r="H9" s="15"/>
      <c r="I9" s="9"/>
      <c r="J9" s="15"/>
      <c r="K9" s="16" t="s">
        <v>168</v>
      </c>
      <c r="L9" s="15"/>
      <c r="M9" s="15"/>
      <c r="N9" s="15"/>
      <c r="O9" s="15"/>
      <c r="P9" s="15"/>
      <c r="Q9" s="15"/>
      <c r="R9" s="15"/>
      <c r="S9" s="15"/>
      <c r="T9" s="15"/>
      <c r="U9" s="15"/>
      <c r="V9" s="15"/>
      <c r="W9" s="9"/>
      <c r="X9" s="9"/>
      <c r="Y9" s="9"/>
      <c r="Z9" s="9"/>
      <c r="AA9" s="9"/>
      <c r="AB9" s="9"/>
      <c r="AC9" s="10"/>
      <c r="AD9" s="5"/>
    </row>
    <row r="10" spans="1:30" x14ac:dyDescent="0.3">
      <c r="A10" s="7"/>
      <c r="B10" s="14"/>
      <c r="C10" s="17"/>
      <c r="D10" s="9"/>
      <c r="E10" s="9"/>
      <c r="F10" s="9"/>
      <c r="G10" s="9"/>
      <c r="H10" s="9"/>
      <c r="I10" s="9"/>
      <c r="J10" s="9"/>
      <c r="K10" s="9"/>
      <c r="L10" s="9"/>
      <c r="M10" s="9"/>
      <c r="N10" s="9"/>
      <c r="O10" s="9"/>
      <c r="P10" s="9"/>
      <c r="Q10" s="9"/>
      <c r="R10" s="9"/>
      <c r="S10" s="9"/>
      <c r="T10" s="9"/>
      <c r="U10" s="9"/>
      <c r="V10" s="9"/>
      <c r="W10" s="9"/>
      <c r="X10" s="9"/>
      <c r="Y10" s="9"/>
      <c r="Z10" s="9"/>
      <c r="AA10" s="9"/>
      <c r="AB10" s="279"/>
      <c r="AC10" s="10"/>
      <c r="AD10" s="5"/>
    </row>
    <row r="11" spans="1:30" s="23" customFormat="1" x14ac:dyDescent="0.3">
      <c r="A11" s="18"/>
      <c r="B11" s="19" t="s">
        <v>0</v>
      </c>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1"/>
      <c r="AD11" s="22"/>
    </row>
    <row r="12" spans="1:30" s="23" customFormat="1" ht="16.2" thickBot="1" x14ac:dyDescent="0.35">
      <c r="A12" s="18"/>
      <c r="B12" s="19"/>
      <c r="C12" s="20"/>
      <c r="D12" s="20"/>
      <c r="E12" s="20"/>
      <c r="F12" s="20"/>
      <c r="G12" s="20"/>
      <c r="H12" s="20"/>
      <c r="I12" s="20"/>
      <c r="J12" s="20"/>
      <c r="K12" s="20"/>
      <c r="L12" s="20"/>
      <c r="M12" s="20"/>
      <c r="N12" s="20"/>
      <c r="O12" s="20"/>
      <c r="P12" s="20"/>
      <c r="Q12" s="20"/>
      <c r="R12" s="20"/>
      <c r="S12" s="20"/>
      <c r="T12" s="20"/>
      <c r="U12" s="20"/>
      <c r="V12" s="20"/>
      <c r="W12" s="20"/>
      <c r="X12" s="20"/>
      <c r="Y12" s="20"/>
      <c r="Z12" s="20"/>
      <c r="AA12" s="20"/>
      <c r="AB12" s="20"/>
      <c r="AC12" s="21"/>
      <c r="AD12" s="22"/>
    </row>
    <row r="13" spans="1:30" s="23" customFormat="1" x14ac:dyDescent="0.3">
      <c r="A13" s="24"/>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6"/>
      <c r="AD13" s="22"/>
    </row>
    <row r="14" spans="1:30" s="23" customFormat="1" x14ac:dyDescent="0.3">
      <c r="A14" s="18"/>
      <c r="B14" s="19" t="s">
        <v>1</v>
      </c>
      <c r="C14" s="20"/>
      <c r="D14" s="20"/>
      <c r="E14" s="20"/>
      <c r="F14" s="20"/>
      <c r="G14" s="20"/>
      <c r="H14" s="20"/>
      <c r="I14" s="20"/>
      <c r="J14" s="20"/>
      <c r="K14" s="20"/>
      <c r="L14" s="20"/>
      <c r="M14" s="20"/>
      <c r="N14" s="20"/>
      <c r="O14" s="20"/>
      <c r="P14" s="20"/>
      <c r="Q14" s="20"/>
      <c r="R14" s="20"/>
      <c r="S14" s="20"/>
      <c r="T14" s="20"/>
      <c r="U14" s="20"/>
      <c r="V14" s="20"/>
      <c r="W14" s="20"/>
      <c r="X14" s="20"/>
      <c r="Y14" s="20"/>
      <c r="Z14" s="20"/>
      <c r="AA14" s="20"/>
      <c r="AB14" s="239" t="s">
        <v>301</v>
      </c>
      <c r="AC14" s="21"/>
      <c r="AD14" s="22"/>
    </row>
    <row r="15" spans="1:30" s="23" customFormat="1" x14ac:dyDescent="0.3">
      <c r="A15" s="18"/>
      <c r="B15" s="19" t="s">
        <v>278</v>
      </c>
      <c r="C15" s="20"/>
      <c r="D15" s="20"/>
      <c r="E15" s="20"/>
      <c r="F15" s="20"/>
      <c r="G15" s="20"/>
      <c r="H15" s="20"/>
      <c r="I15" s="20"/>
      <c r="J15" s="20"/>
      <c r="K15" s="20"/>
      <c r="L15" s="20"/>
      <c r="M15" s="20"/>
      <c r="N15" s="20"/>
      <c r="O15" s="20"/>
      <c r="P15" s="20"/>
      <c r="Q15" s="20"/>
      <c r="R15" s="20"/>
      <c r="S15" s="20"/>
      <c r="T15" s="20"/>
      <c r="U15" s="20"/>
      <c r="V15" s="20"/>
      <c r="W15" s="20"/>
      <c r="X15" s="20"/>
      <c r="Y15" s="20"/>
      <c r="Z15" s="20"/>
      <c r="AA15" s="20"/>
      <c r="AB15" s="17" t="s">
        <v>323</v>
      </c>
      <c r="AC15" s="21"/>
      <c r="AD15" s="22"/>
    </row>
    <row r="16" spans="1:30" s="23" customFormat="1" x14ac:dyDescent="0.3">
      <c r="A16" s="18"/>
      <c r="B16" s="19" t="s">
        <v>2</v>
      </c>
      <c r="C16" s="20"/>
      <c r="D16" s="28"/>
      <c r="E16" s="28"/>
      <c r="F16" s="28"/>
      <c r="G16" s="28"/>
      <c r="H16" s="28"/>
      <c r="I16" s="28"/>
      <c r="J16" s="28"/>
      <c r="K16" s="28"/>
      <c r="L16" s="28"/>
      <c r="M16" s="28"/>
      <c r="N16" s="28"/>
      <c r="O16" s="28"/>
      <c r="P16" s="28"/>
      <c r="Q16" s="28"/>
      <c r="R16" s="28"/>
      <c r="S16" s="28"/>
      <c r="T16" s="28"/>
      <c r="U16" s="28"/>
      <c r="V16" s="28"/>
      <c r="W16" s="28"/>
      <c r="X16" s="29" t="s">
        <v>128</v>
      </c>
      <c r="Y16" s="29">
        <v>3.6400000000000002E-2</v>
      </c>
      <c r="Z16" s="29" t="s">
        <v>264</v>
      </c>
      <c r="AA16" s="29">
        <v>0.96360000000000001</v>
      </c>
      <c r="AB16" s="27"/>
      <c r="AC16" s="21"/>
      <c r="AD16" s="22"/>
    </row>
    <row r="17" spans="1:33" s="23" customFormat="1" x14ac:dyDescent="0.3">
      <c r="A17" s="18"/>
      <c r="B17" s="19" t="s">
        <v>3</v>
      </c>
      <c r="C17" s="20"/>
      <c r="D17" s="28"/>
      <c r="E17" s="28"/>
      <c r="F17" s="28"/>
      <c r="G17" s="28"/>
      <c r="H17" s="28"/>
      <c r="I17" s="28"/>
      <c r="J17" s="28"/>
      <c r="K17" s="28"/>
      <c r="L17" s="28"/>
      <c r="M17" s="28"/>
      <c r="N17" s="28"/>
      <c r="O17" s="28"/>
      <c r="P17" s="28"/>
      <c r="Q17" s="28"/>
      <c r="R17" s="28"/>
      <c r="S17" s="28"/>
      <c r="T17" s="28"/>
      <c r="U17" s="28"/>
      <c r="V17" s="28"/>
      <c r="W17" s="28"/>
      <c r="X17" s="29" t="s">
        <v>128</v>
      </c>
      <c r="Y17" s="29">
        <v>3.0998102399067903E-2</v>
      </c>
      <c r="Z17" s="29" t="s">
        <v>264</v>
      </c>
      <c r="AA17" s="29">
        <v>0.96900189760093214</v>
      </c>
      <c r="AB17" s="27"/>
      <c r="AC17" s="21"/>
      <c r="AD17" s="22"/>
    </row>
    <row r="18" spans="1:33" s="23" customFormat="1" x14ac:dyDescent="0.3">
      <c r="A18" s="18"/>
      <c r="B18" s="19" t="s">
        <v>4</v>
      </c>
      <c r="C18" s="20"/>
      <c r="D18" s="20"/>
      <c r="E18" s="20"/>
      <c r="F18" s="20"/>
      <c r="G18" s="20"/>
      <c r="H18" s="20"/>
      <c r="I18" s="20"/>
      <c r="J18" s="20"/>
      <c r="K18" s="20"/>
      <c r="L18" s="20"/>
      <c r="M18" s="20"/>
      <c r="N18" s="20"/>
      <c r="O18" s="20"/>
      <c r="P18" s="20"/>
      <c r="Q18" s="20"/>
      <c r="R18" s="20"/>
      <c r="S18" s="20"/>
      <c r="T18" s="20"/>
      <c r="U18" s="20"/>
      <c r="V18" s="20"/>
      <c r="W18" s="20"/>
      <c r="X18" s="20"/>
      <c r="Y18" s="20"/>
      <c r="Z18" s="20"/>
      <c r="AA18" s="20"/>
      <c r="AB18" s="226">
        <v>43951</v>
      </c>
      <c r="AC18" s="21"/>
      <c r="AD18" s="22"/>
    </row>
    <row r="19" spans="1:33" s="23" customFormat="1" x14ac:dyDescent="0.3">
      <c r="A19" s="18"/>
      <c r="B19" s="19" t="s">
        <v>5</v>
      </c>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26">
        <v>44757</v>
      </c>
      <c r="AC19" s="21"/>
      <c r="AD19" s="22"/>
    </row>
    <row r="20" spans="1:33" s="23" customFormat="1" x14ac:dyDescent="0.3">
      <c r="A20" s="18"/>
      <c r="B20" s="20"/>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30"/>
      <c r="AC20" s="21"/>
      <c r="AD20" s="22"/>
    </row>
    <row r="21" spans="1:33" s="23" customFormat="1" x14ac:dyDescent="0.3">
      <c r="A21" s="18"/>
      <c r="B21" s="31" t="s">
        <v>6</v>
      </c>
      <c r="C21" s="20"/>
      <c r="D21" s="20"/>
      <c r="E21" s="20"/>
      <c r="F21" s="20"/>
      <c r="G21" s="20"/>
      <c r="H21" s="20"/>
      <c r="I21" s="20"/>
      <c r="J21" s="20"/>
      <c r="K21" s="20"/>
      <c r="L21" s="20"/>
      <c r="M21" s="20"/>
      <c r="N21" s="20"/>
      <c r="O21" s="20"/>
      <c r="P21" s="20"/>
      <c r="Q21" s="20"/>
      <c r="R21" s="20"/>
      <c r="S21" s="20"/>
      <c r="T21" s="20"/>
      <c r="U21" s="20"/>
      <c r="V21" s="20"/>
      <c r="W21" s="20"/>
      <c r="X21" s="20"/>
      <c r="Y21" s="20"/>
      <c r="Z21" s="30" t="s">
        <v>71</v>
      </c>
      <c r="AA21" s="20"/>
      <c r="AB21" s="20"/>
      <c r="AC21" s="21"/>
      <c r="AD21" s="22"/>
    </row>
    <row r="22" spans="1:33" x14ac:dyDescent="0.3">
      <c r="A22" s="7"/>
      <c r="B22" s="9"/>
      <c r="C22" s="9"/>
      <c r="D22" s="9"/>
      <c r="E22" s="9"/>
      <c r="F22" s="9"/>
      <c r="G22" s="9"/>
      <c r="H22" s="9"/>
      <c r="I22" s="9"/>
      <c r="J22" s="9"/>
      <c r="K22" s="9"/>
      <c r="L22" s="9"/>
      <c r="M22" s="9"/>
      <c r="N22" s="9"/>
      <c r="O22" s="9"/>
      <c r="P22" s="9"/>
      <c r="Q22" s="9"/>
      <c r="R22" s="9"/>
      <c r="S22" s="9"/>
      <c r="T22" s="9"/>
      <c r="U22" s="9"/>
      <c r="V22" s="9"/>
      <c r="W22" s="9"/>
      <c r="X22" s="9"/>
      <c r="Y22" s="9"/>
      <c r="Z22" s="9"/>
      <c r="AA22" s="9"/>
      <c r="AB22" s="32"/>
      <c r="AC22" s="10"/>
      <c r="AD22" s="5"/>
    </row>
    <row r="23" spans="1:33" ht="46.8" x14ac:dyDescent="0.3">
      <c r="A23" s="33"/>
      <c r="B23" s="34"/>
      <c r="C23" s="35"/>
      <c r="D23" s="35"/>
      <c r="E23" s="35"/>
      <c r="F23" s="35" t="s">
        <v>304</v>
      </c>
      <c r="G23" s="35"/>
      <c r="H23" s="35" t="s">
        <v>140</v>
      </c>
      <c r="I23" s="35"/>
      <c r="J23" s="35" t="s">
        <v>141</v>
      </c>
      <c r="K23" s="35"/>
      <c r="L23" s="35" t="s">
        <v>171</v>
      </c>
      <c r="M23" s="35"/>
      <c r="N23" s="35" t="s">
        <v>161</v>
      </c>
      <c r="O23" s="35"/>
      <c r="P23" s="35" t="s">
        <v>181</v>
      </c>
      <c r="Q23" s="35"/>
      <c r="R23" s="35" t="s">
        <v>182</v>
      </c>
      <c r="S23" s="35"/>
      <c r="T23" s="35" t="s">
        <v>183</v>
      </c>
      <c r="U23" s="35"/>
      <c r="V23" s="35" t="s">
        <v>184</v>
      </c>
      <c r="W23" s="35"/>
      <c r="X23" s="35" t="s">
        <v>185</v>
      </c>
      <c r="Y23" s="35" t="s">
        <v>186</v>
      </c>
      <c r="Z23" s="35"/>
      <c r="AA23" s="34"/>
      <c r="AB23" s="34"/>
      <c r="AC23" s="36"/>
      <c r="AD23" s="5"/>
    </row>
    <row r="24" spans="1:33" s="23" customFormat="1" x14ac:dyDescent="0.3">
      <c r="A24" s="18"/>
      <c r="B24" s="37" t="s">
        <v>158</v>
      </c>
      <c r="C24" s="38"/>
      <c r="D24" s="228"/>
      <c r="E24" s="228"/>
      <c r="F24" s="228" t="s">
        <v>220</v>
      </c>
      <c r="G24" s="228"/>
      <c r="H24" s="228" t="s">
        <v>221</v>
      </c>
      <c r="I24" s="228"/>
      <c r="J24" s="228" t="s">
        <v>269</v>
      </c>
      <c r="K24" s="228"/>
      <c r="L24" s="228" t="s">
        <v>271</v>
      </c>
      <c r="M24" s="38"/>
      <c r="N24" s="38" t="s">
        <v>127</v>
      </c>
      <c r="O24" s="38"/>
      <c r="P24" s="38" t="s">
        <v>127</v>
      </c>
      <c r="Q24" s="38"/>
      <c r="R24" s="38" t="s">
        <v>127</v>
      </c>
      <c r="S24" s="38"/>
      <c r="T24" s="38" t="s">
        <v>127</v>
      </c>
      <c r="U24" s="38"/>
      <c r="V24" s="38" t="s">
        <v>127</v>
      </c>
      <c r="W24" s="38"/>
      <c r="X24" s="38" t="s">
        <v>127</v>
      </c>
      <c r="Y24" s="38" t="s">
        <v>127</v>
      </c>
      <c r="Z24" s="38"/>
      <c r="AA24" s="37"/>
      <c r="AB24" s="37"/>
      <c r="AC24" s="21"/>
      <c r="AD24" s="22"/>
    </row>
    <row r="25" spans="1:33" s="23" customFormat="1" x14ac:dyDescent="0.3">
      <c r="A25" s="39"/>
      <c r="B25" s="40" t="s">
        <v>154</v>
      </c>
      <c r="C25" s="41"/>
      <c r="D25" s="227"/>
      <c r="E25" s="227"/>
      <c r="F25" s="227" t="s">
        <v>222</v>
      </c>
      <c r="G25" s="227"/>
      <c r="H25" s="227" t="s">
        <v>223</v>
      </c>
      <c r="I25" s="227"/>
      <c r="J25" s="227" t="s">
        <v>270</v>
      </c>
      <c r="K25" s="227"/>
      <c r="L25" s="227" t="s">
        <v>324</v>
      </c>
      <c r="M25" s="42"/>
      <c r="N25" s="42" t="s">
        <v>127</v>
      </c>
      <c r="O25" s="42"/>
      <c r="P25" s="42" t="s">
        <v>127</v>
      </c>
      <c r="Q25" s="42"/>
      <c r="R25" s="42" t="s">
        <v>127</v>
      </c>
      <c r="S25" s="42"/>
      <c r="T25" s="42" t="s">
        <v>127</v>
      </c>
      <c r="U25" s="42"/>
      <c r="V25" s="42" t="s">
        <v>127</v>
      </c>
      <c r="W25" s="42"/>
      <c r="X25" s="42" t="s">
        <v>127</v>
      </c>
      <c r="Y25" s="42" t="s">
        <v>127</v>
      </c>
      <c r="Z25" s="42"/>
      <c r="AA25" s="40"/>
      <c r="AB25" s="40"/>
      <c r="AC25" s="43"/>
      <c r="AD25" s="22"/>
    </row>
    <row r="26" spans="1:33" s="23" customFormat="1" x14ac:dyDescent="0.3">
      <c r="A26" s="39"/>
      <c r="B26" s="44" t="s">
        <v>159</v>
      </c>
      <c r="C26" s="41"/>
      <c r="D26" s="229"/>
      <c r="E26" s="229"/>
      <c r="F26" s="229" t="s">
        <v>220</v>
      </c>
      <c r="G26" s="229"/>
      <c r="H26" s="229" t="s">
        <v>354</v>
      </c>
      <c r="I26" s="229"/>
      <c r="J26" s="229" t="s">
        <v>355</v>
      </c>
      <c r="K26" s="229"/>
      <c r="L26" s="229" t="s">
        <v>356</v>
      </c>
      <c r="M26" s="41"/>
      <c r="N26" s="41" t="s">
        <v>127</v>
      </c>
      <c r="O26" s="41"/>
      <c r="P26" s="41" t="s">
        <v>127</v>
      </c>
      <c r="Q26" s="41"/>
      <c r="R26" s="41" t="s">
        <v>127</v>
      </c>
      <c r="S26" s="41"/>
      <c r="T26" s="41" t="s">
        <v>127</v>
      </c>
      <c r="U26" s="41"/>
      <c r="V26" s="41" t="s">
        <v>127</v>
      </c>
      <c r="W26" s="41"/>
      <c r="X26" s="41" t="s">
        <v>127</v>
      </c>
      <c r="Y26" s="41" t="s">
        <v>127</v>
      </c>
      <c r="Z26" s="41"/>
      <c r="AA26" s="40"/>
      <c r="AB26" s="40"/>
      <c r="AC26" s="43"/>
      <c r="AD26" s="22"/>
      <c r="AE26" s="45"/>
      <c r="AG26" s="46"/>
    </row>
    <row r="27" spans="1:33" s="23" customFormat="1" x14ac:dyDescent="0.3">
      <c r="A27" s="47"/>
      <c r="B27" s="44" t="s">
        <v>155</v>
      </c>
      <c r="C27" s="42"/>
      <c r="D27" s="229"/>
      <c r="E27" s="229"/>
      <c r="F27" s="229" t="s">
        <v>222</v>
      </c>
      <c r="G27" s="229"/>
      <c r="H27" s="229" t="s">
        <v>223</v>
      </c>
      <c r="I27" s="229"/>
      <c r="J27" s="229" t="s">
        <v>270</v>
      </c>
      <c r="K27" s="229"/>
      <c r="L27" s="229" t="s">
        <v>324</v>
      </c>
      <c r="M27" s="41"/>
      <c r="N27" s="41" t="s">
        <v>127</v>
      </c>
      <c r="O27" s="41"/>
      <c r="P27" s="41" t="s">
        <v>127</v>
      </c>
      <c r="Q27" s="41"/>
      <c r="R27" s="41" t="s">
        <v>127</v>
      </c>
      <c r="S27" s="41"/>
      <c r="T27" s="41" t="s">
        <v>127</v>
      </c>
      <c r="U27" s="41"/>
      <c r="V27" s="41" t="s">
        <v>127</v>
      </c>
      <c r="W27" s="41"/>
      <c r="X27" s="41" t="s">
        <v>127</v>
      </c>
      <c r="Y27" s="41" t="s">
        <v>127</v>
      </c>
      <c r="Z27" s="41"/>
      <c r="AA27" s="40"/>
      <c r="AB27" s="40"/>
      <c r="AC27" s="43"/>
      <c r="AD27" s="22"/>
      <c r="AE27" s="45"/>
      <c r="AG27" s="46"/>
    </row>
    <row r="28" spans="1:33" s="23" customFormat="1" x14ac:dyDescent="0.3">
      <c r="A28" s="47"/>
      <c r="B28" s="59" t="s">
        <v>7</v>
      </c>
      <c r="C28" s="49"/>
      <c r="D28" s="227"/>
      <c r="E28" s="227"/>
      <c r="F28" s="227" t="s">
        <v>313</v>
      </c>
      <c r="G28" s="227"/>
      <c r="H28" s="227" t="s">
        <v>314</v>
      </c>
      <c r="I28" s="227"/>
      <c r="J28" s="227" t="s">
        <v>315</v>
      </c>
      <c r="K28" s="227"/>
      <c r="L28" s="227" t="s">
        <v>316</v>
      </c>
      <c r="M28" s="227"/>
      <c r="N28" s="227" t="s">
        <v>317</v>
      </c>
      <c r="O28" s="227"/>
      <c r="P28" s="227" t="s">
        <v>318</v>
      </c>
      <c r="Q28" s="227"/>
      <c r="R28" s="227" t="s">
        <v>83</v>
      </c>
      <c r="S28" s="227"/>
      <c r="T28" s="227" t="s">
        <v>319</v>
      </c>
      <c r="U28" s="227"/>
      <c r="V28" s="227" t="s">
        <v>320</v>
      </c>
      <c r="W28" s="227"/>
      <c r="X28" s="227" t="s">
        <v>321</v>
      </c>
      <c r="Y28" s="227" t="s">
        <v>322</v>
      </c>
      <c r="Z28" s="227"/>
      <c r="AA28" s="49"/>
      <c r="AB28" s="50"/>
      <c r="AC28" s="51"/>
      <c r="AD28" s="22"/>
      <c r="AE28" s="45"/>
      <c r="AG28" s="46"/>
    </row>
    <row r="29" spans="1:33" s="23" customFormat="1" x14ac:dyDescent="0.3">
      <c r="A29" s="39"/>
      <c r="B29" s="40" t="s">
        <v>91</v>
      </c>
      <c r="C29" s="52"/>
      <c r="D29" s="54"/>
      <c r="E29" s="53"/>
      <c r="F29" s="54">
        <v>648307</v>
      </c>
      <c r="G29" s="55"/>
      <c r="H29" s="54">
        <v>41826</v>
      </c>
      <c r="I29" s="55"/>
      <c r="J29" s="54">
        <v>22814</v>
      </c>
      <c r="K29" s="55"/>
      <c r="L29" s="54">
        <v>22814</v>
      </c>
      <c r="M29" s="50"/>
      <c r="N29" s="54">
        <v>24717</v>
      </c>
      <c r="O29" s="54"/>
      <c r="P29" s="231">
        <v>11637</v>
      </c>
      <c r="Q29" s="231"/>
      <c r="R29" s="231">
        <v>4175</v>
      </c>
      <c r="S29" s="54"/>
      <c r="T29" s="54" t="s">
        <v>83</v>
      </c>
      <c r="U29" s="54"/>
      <c r="V29" s="54" t="s">
        <v>83</v>
      </c>
      <c r="W29" s="54"/>
      <c r="X29" s="54" t="s">
        <v>83</v>
      </c>
      <c r="Y29" s="54" t="s">
        <v>83</v>
      </c>
      <c r="Z29" s="54"/>
      <c r="AA29" s="52"/>
      <c r="AB29" s="50">
        <f>SUM(F29:N29)</f>
        <v>760478</v>
      </c>
      <c r="AC29" s="51"/>
      <c r="AD29" s="22"/>
    </row>
    <row r="30" spans="1:33" s="23" customFormat="1" x14ac:dyDescent="0.3">
      <c r="A30" s="47"/>
      <c r="B30" s="40" t="s">
        <v>90</v>
      </c>
      <c r="C30" s="49"/>
      <c r="D30" s="54"/>
      <c r="E30" s="54"/>
      <c r="F30" s="54">
        <f>F29*F33</f>
        <v>572850.54827000003</v>
      </c>
      <c r="G30" s="54"/>
      <c r="H30" s="54">
        <f>H29</f>
        <v>41826</v>
      </c>
      <c r="I30" s="54"/>
      <c r="J30" s="54">
        <f>J29</f>
        <v>22814</v>
      </c>
      <c r="K30" s="54"/>
      <c r="L30" s="54">
        <f>L29</f>
        <v>22814</v>
      </c>
      <c r="M30" s="54"/>
      <c r="N30" s="54">
        <f>N29</f>
        <v>24717</v>
      </c>
      <c r="O30" s="54"/>
      <c r="P30" s="54">
        <f>P29*P33</f>
        <v>10290.017249999999</v>
      </c>
      <c r="Q30" s="54"/>
      <c r="R30" s="54">
        <f>'December 2020'!R31</f>
        <v>0</v>
      </c>
      <c r="S30" s="54"/>
      <c r="T30" s="54" t="s">
        <v>83</v>
      </c>
      <c r="U30" s="54"/>
      <c r="V30" s="54" t="s">
        <v>83</v>
      </c>
      <c r="W30" s="54"/>
      <c r="X30" s="54" t="s">
        <v>83</v>
      </c>
      <c r="Y30" s="54" t="s">
        <v>83</v>
      </c>
      <c r="Z30" s="54"/>
      <c r="AA30" s="49"/>
      <c r="AB30" s="50">
        <f>SUM(F30:N30)-1</f>
        <v>685020.54827000003</v>
      </c>
      <c r="AC30" s="51"/>
      <c r="AD30" s="22"/>
    </row>
    <row r="31" spans="1:33" s="23" customFormat="1" x14ac:dyDescent="0.3">
      <c r="A31" s="47"/>
      <c r="B31" s="44" t="s">
        <v>92</v>
      </c>
      <c r="C31" s="49"/>
      <c r="D31" s="57"/>
      <c r="E31" s="57"/>
      <c r="F31" s="57">
        <f>F29*F32</f>
        <v>560305.80781999999</v>
      </c>
      <c r="G31" s="57"/>
      <c r="H31" s="57">
        <f>H29</f>
        <v>41826</v>
      </c>
      <c r="I31" s="57"/>
      <c r="J31" s="57">
        <f>J29</f>
        <v>22814</v>
      </c>
      <c r="K31" s="57"/>
      <c r="L31" s="57">
        <f>L29</f>
        <v>22814</v>
      </c>
      <c r="M31" s="57"/>
      <c r="N31" s="57">
        <f>N29</f>
        <v>24717</v>
      </c>
      <c r="O31" s="57"/>
      <c r="P31" s="57">
        <f>P29*P32</f>
        <v>9904.1343300000008</v>
      </c>
      <c r="Q31" s="57"/>
      <c r="R31" s="57">
        <v>0</v>
      </c>
      <c r="S31" s="57"/>
      <c r="T31" s="57" t="s">
        <v>83</v>
      </c>
      <c r="U31" s="57"/>
      <c r="V31" s="57" t="s">
        <v>83</v>
      </c>
      <c r="W31" s="57"/>
      <c r="X31" s="57" t="s">
        <v>83</v>
      </c>
      <c r="Y31" s="57" t="s">
        <v>83</v>
      </c>
      <c r="Z31" s="57"/>
      <c r="AA31" s="49"/>
      <c r="AB31" s="56">
        <f>SUM(F31:N31)</f>
        <v>672476.80781999999</v>
      </c>
      <c r="AC31" s="51"/>
      <c r="AD31" s="22"/>
      <c r="AE31" s="235"/>
    </row>
    <row r="32" spans="1:33" s="65" customFormat="1" x14ac:dyDescent="0.3">
      <c r="A32" s="58"/>
      <c r="B32" s="166" t="s">
        <v>88</v>
      </c>
      <c r="C32" s="61"/>
      <c r="D32" s="60"/>
      <c r="E32" s="60"/>
      <c r="F32" s="60">
        <v>0.86426000000000003</v>
      </c>
      <c r="G32" s="60"/>
      <c r="H32" s="60">
        <v>1</v>
      </c>
      <c r="I32" s="60"/>
      <c r="J32" s="60">
        <v>1</v>
      </c>
      <c r="K32" s="60"/>
      <c r="L32" s="60">
        <v>1</v>
      </c>
      <c r="M32" s="60"/>
      <c r="N32" s="60">
        <v>1</v>
      </c>
      <c r="O32" s="60"/>
      <c r="P32" s="60">
        <v>0.85109000000000001</v>
      </c>
      <c r="Q32" s="60"/>
      <c r="R32" s="60">
        <v>0</v>
      </c>
      <c r="S32" s="60"/>
      <c r="T32" s="60" t="s">
        <v>83</v>
      </c>
      <c r="U32" s="60"/>
      <c r="V32" s="60" t="s">
        <v>83</v>
      </c>
      <c r="W32" s="60"/>
      <c r="X32" s="60" t="s">
        <v>83</v>
      </c>
      <c r="Y32" s="60" t="s">
        <v>83</v>
      </c>
      <c r="Z32" s="60"/>
      <c r="AA32" s="61"/>
      <c r="AB32" s="62"/>
      <c r="AC32" s="63"/>
      <c r="AD32" s="64"/>
    </row>
    <row r="33" spans="1:30" s="65" customFormat="1" x14ac:dyDescent="0.3">
      <c r="A33" s="58"/>
      <c r="B33" s="61" t="s">
        <v>89</v>
      </c>
      <c r="C33" s="61"/>
      <c r="D33" s="60"/>
      <c r="E33" s="225"/>
      <c r="F33" s="60">
        <v>0.88361000000000001</v>
      </c>
      <c r="G33" s="60"/>
      <c r="H33" s="60">
        <v>1</v>
      </c>
      <c r="I33" s="60"/>
      <c r="J33" s="60">
        <v>1</v>
      </c>
      <c r="K33" s="60"/>
      <c r="L33" s="60">
        <v>1</v>
      </c>
      <c r="M33" s="60"/>
      <c r="N33" s="60">
        <v>1</v>
      </c>
      <c r="O33" s="60"/>
      <c r="P33" s="60">
        <v>0.88424999999999998</v>
      </c>
      <c r="Q33" s="225"/>
      <c r="R33" s="225">
        <v>0</v>
      </c>
      <c r="S33" s="225"/>
      <c r="T33" s="225" t="s">
        <v>83</v>
      </c>
      <c r="U33" s="225"/>
      <c r="V33" s="225" t="s">
        <v>83</v>
      </c>
      <c r="W33" s="225"/>
      <c r="X33" s="225" t="s">
        <v>83</v>
      </c>
      <c r="Y33" s="60" t="s">
        <v>83</v>
      </c>
      <c r="Z33" s="60"/>
      <c r="AA33" s="61"/>
      <c r="AB33" s="66"/>
      <c r="AC33" s="63"/>
      <c r="AD33" s="64"/>
    </row>
    <row r="34" spans="1:30" s="23" customFormat="1" x14ac:dyDescent="0.3">
      <c r="A34" s="47"/>
      <c r="B34" s="40" t="s">
        <v>8</v>
      </c>
      <c r="C34" s="40"/>
      <c r="D34" s="48"/>
      <c r="E34" s="48"/>
      <c r="F34" s="48" t="s">
        <v>305</v>
      </c>
      <c r="G34" s="48"/>
      <c r="H34" s="48" t="s">
        <v>306</v>
      </c>
      <c r="I34" s="48"/>
      <c r="J34" s="48" t="s">
        <v>273</v>
      </c>
      <c r="K34" s="48"/>
      <c r="L34" s="48" t="s">
        <v>307</v>
      </c>
      <c r="M34" s="48"/>
      <c r="N34" s="48" t="s">
        <v>308</v>
      </c>
      <c r="O34" s="48"/>
      <c r="P34" s="48" t="s">
        <v>254</v>
      </c>
      <c r="Q34" s="48"/>
      <c r="R34" s="48" t="s">
        <v>254</v>
      </c>
      <c r="S34" s="48"/>
      <c r="T34" s="48" t="s">
        <v>83</v>
      </c>
      <c r="U34" s="48"/>
      <c r="V34" s="48" t="s">
        <v>83</v>
      </c>
      <c r="W34" s="48"/>
      <c r="X34" s="48" t="s">
        <v>83</v>
      </c>
      <c r="Y34" s="48" t="s">
        <v>83</v>
      </c>
      <c r="Z34" s="48"/>
      <c r="AA34" s="40"/>
      <c r="AB34" s="40"/>
      <c r="AC34" s="43"/>
      <c r="AD34" s="22"/>
    </row>
    <row r="35" spans="1:30" s="23" customFormat="1" x14ac:dyDescent="0.3">
      <c r="A35" s="47"/>
      <c r="B35" s="40" t="s">
        <v>9</v>
      </c>
      <c r="C35" s="69"/>
      <c r="D35" s="241"/>
      <c r="E35" s="241"/>
      <c r="F35" s="241">
        <v>2.0378400000000001E-2</v>
      </c>
      <c r="G35" s="241"/>
      <c r="H35" s="241">
        <v>2.4378400000000001E-2</v>
      </c>
      <c r="I35" s="241"/>
      <c r="J35" s="241">
        <v>2.7378400000000001E-2</v>
      </c>
      <c r="K35" s="241"/>
      <c r="L35" s="241">
        <v>3.03784E-2</v>
      </c>
      <c r="M35" s="241"/>
      <c r="N35" s="241">
        <v>4.0378400000000002E-2</v>
      </c>
      <c r="O35" s="241"/>
      <c r="P35" s="241">
        <v>4.9378400000000003E-2</v>
      </c>
      <c r="Q35" s="241"/>
      <c r="R35" s="241">
        <v>4.9378400000000003E-2</v>
      </c>
      <c r="S35" s="68"/>
      <c r="T35" s="68" t="s">
        <v>83</v>
      </c>
      <c r="U35" s="68"/>
      <c r="V35" s="68" t="s">
        <v>83</v>
      </c>
      <c r="W35" s="68"/>
      <c r="X35" s="68" t="s">
        <v>83</v>
      </c>
      <c r="Y35" s="68" t="s">
        <v>83</v>
      </c>
      <c r="Z35" s="68"/>
      <c r="AA35" s="40"/>
      <c r="AB35" s="67">
        <f>SUMPRODUCT(D35:N35,D30:N30)/AB30</f>
        <v>2.1910474302078219E-2</v>
      </c>
      <c r="AC35" s="43"/>
      <c r="AD35" s="22"/>
    </row>
    <row r="36" spans="1:30" s="23" customFormat="1" x14ac:dyDescent="0.3">
      <c r="A36" s="47"/>
      <c r="B36" s="40" t="s">
        <v>10</v>
      </c>
      <c r="C36" s="69"/>
      <c r="D36" s="241"/>
      <c r="E36" s="241"/>
      <c r="F36" s="241">
        <v>1.5497199999999999E-2</v>
      </c>
      <c r="G36" s="241"/>
      <c r="H36" s="241">
        <v>1.9497199999999999E-2</v>
      </c>
      <c r="I36" s="241"/>
      <c r="J36" s="241">
        <v>2.2497199999999998E-2</v>
      </c>
      <c r="K36" s="241"/>
      <c r="L36" s="241">
        <v>2.5497200000000001E-2</v>
      </c>
      <c r="M36" s="241"/>
      <c r="N36" s="241">
        <v>3.54972E-2</v>
      </c>
      <c r="O36" s="241"/>
      <c r="P36" s="241">
        <v>4.4497200000000001E-2</v>
      </c>
      <c r="Q36" s="241"/>
      <c r="R36" s="241">
        <v>4.4497200000000001E-2</v>
      </c>
      <c r="S36" s="68"/>
      <c r="T36" s="68" t="s">
        <v>83</v>
      </c>
      <c r="U36" s="68"/>
      <c r="V36" s="68" t="s">
        <v>83</v>
      </c>
      <c r="W36" s="68"/>
      <c r="X36" s="68" t="s">
        <v>83</v>
      </c>
      <c r="Y36" s="68" t="s">
        <v>83</v>
      </c>
      <c r="Z36" s="68"/>
      <c r="AA36" s="40"/>
      <c r="AB36" s="40"/>
      <c r="AC36" s="43"/>
      <c r="AD36" s="22"/>
    </row>
    <row r="37" spans="1:30" s="23" customFormat="1" x14ac:dyDescent="0.3">
      <c r="A37" s="47"/>
      <c r="B37" s="40" t="s">
        <v>160</v>
      </c>
      <c r="C37" s="40"/>
      <c r="D37" s="69"/>
      <c r="E37" s="69"/>
      <c r="F37" s="69">
        <v>45945</v>
      </c>
      <c r="G37" s="69"/>
      <c r="H37" s="69">
        <v>45945</v>
      </c>
      <c r="I37" s="69"/>
      <c r="J37" s="69">
        <v>45945</v>
      </c>
      <c r="K37" s="69"/>
      <c r="L37" s="69">
        <v>45945</v>
      </c>
      <c r="M37" s="69"/>
      <c r="N37" s="69">
        <v>45945</v>
      </c>
      <c r="O37" s="69"/>
      <c r="P37" s="69">
        <v>45945</v>
      </c>
      <c r="Q37" s="69"/>
      <c r="R37" s="69">
        <v>45945</v>
      </c>
      <c r="S37" s="69"/>
      <c r="T37" s="69" t="s">
        <v>83</v>
      </c>
      <c r="U37" s="69"/>
      <c r="V37" s="69" t="s">
        <v>83</v>
      </c>
      <c r="W37" s="69"/>
      <c r="X37" s="69" t="s">
        <v>83</v>
      </c>
      <c r="Y37" s="69" t="s">
        <v>83</v>
      </c>
      <c r="Z37" s="69"/>
      <c r="AA37" s="40"/>
      <c r="AB37" s="40"/>
      <c r="AC37" s="43"/>
      <c r="AD37" s="22"/>
    </row>
    <row r="38" spans="1:30" s="23" customFormat="1" x14ac:dyDescent="0.3">
      <c r="A38" s="47"/>
      <c r="B38" s="40" t="s">
        <v>11</v>
      </c>
      <c r="C38" s="40"/>
      <c r="D38" s="69"/>
      <c r="E38" s="69"/>
      <c r="F38" s="69">
        <v>45945</v>
      </c>
      <c r="G38" s="48"/>
      <c r="H38" s="69">
        <v>45945</v>
      </c>
      <c r="I38" s="48"/>
      <c r="J38" s="69">
        <v>45945</v>
      </c>
      <c r="K38" s="48"/>
      <c r="L38" s="69">
        <v>45945</v>
      </c>
      <c r="M38" s="48"/>
      <c r="N38" s="69" t="s">
        <v>83</v>
      </c>
      <c r="O38" s="69"/>
      <c r="P38" s="69" t="s">
        <v>83</v>
      </c>
      <c r="Q38" s="69"/>
      <c r="R38" s="69" t="s">
        <v>83</v>
      </c>
      <c r="S38" s="69"/>
      <c r="T38" s="69" t="s">
        <v>83</v>
      </c>
      <c r="U38" s="69"/>
      <c r="V38" s="69" t="s">
        <v>83</v>
      </c>
      <c r="W38" s="69"/>
      <c r="X38" s="69" t="s">
        <v>83</v>
      </c>
      <c r="Y38" s="69" t="s">
        <v>83</v>
      </c>
      <c r="Z38" s="69"/>
      <c r="AA38" s="40"/>
      <c r="AB38" s="40"/>
      <c r="AC38" s="43"/>
      <c r="AD38" s="22"/>
    </row>
    <row r="39" spans="1:30" s="23" customFormat="1" x14ac:dyDescent="0.3">
      <c r="A39" s="47"/>
      <c r="B39" s="40" t="s">
        <v>84</v>
      </c>
      <c r="C39" s="40"/>
      <c r="D39" s="48"/>
      <c r="E39" s="48"/>
      <c r="F39" s="48" t="s">
        <v>309</v>
      </c>
      <c r="G39" s="48"/>
      <c r="H39" s="48" t="s">
        <v>272</v>
      </c>
      <c r="I39" s="48"/>
      <c r="J39" s="48" t="s">
        <v>310</v>
      </c>
      <c r="K39" s="48"/>
      <c r="L39" s="48" t="s">
        <v>308</v>
      </c>
      <c r="M39" s="48"/>
      <c r="N39" s="69" t="s">
        <v>83</v>
      </c>
      <c r="O39" s="69"/>
      <c r="P39" s="69" t="s">
        <v>83</v>
      </c>
      <c r="Q39" s="69"/>
      <c r="R39" s="69" t="s">
        <v>83</v>
      </c>
      <c r="S39" s="48"/>
      <c r="T39" s="48" t="s">
        <v>83</v>
      </c>
      <c r="U39" s="48"/>
      <c r="V39" s="48" t="s">
        <v>83</v>
      </c>
      <c r="W39" s="48"/>
      <c r="X39" s="48" t="s">
        <v>83</v>
      </c>
      <c r="Y39" s="48" t="s">
        <v>83</v>
      </c>
      <c r="Z39" s="48"/>
      <c r="AA39" s="70"/>
      <c r="AB39" s="70"/>
      <c r="AC39" s="43"/>
      <c r="AD39" s="22"/>
    </row>
    <row r="40" spans="1:30" s="23" customFormat="1" x14ac:dyDescent="0.3">
      <c r="A40" s="47"/>
      <c r="B40" s="40"/>
      <c r="C40" s="40"/>
      <c r="D40" s="48"/>
      <c r="E40" s="48"/>
      <c r="F40" s="48"/>
      <c r="G40" s="48"/>
      <c r="H40" s="48"/>
      <c r="I40" s="48"/>
      <c r="J40" s="48"/>
      <c r="K40" s="48"/>
      <c r="L40" s="48"/>
      <c r="M40" s="48"/>
      <c r="N40" s="48"/>
      <c r="O40" s="48"/>
      <c r="P40" s="48"/>
      <c r="Q40" s="48"/>
      <c r="R40" s="48"/>
      <c r="S40" s="48"/>
      <c r="T40" s="48"/>
      <c r="U40" s="48"/>
      <c r="V40" s="48"/>
      <c r="W40" s="48"/>
      <c r="X40" s="48"/>
      <c r="Y40" s="40"/>
      <c r="Z40" s="40"/>
      <c r="AA40" s="40"/>
      <c r="AB40" s="67" t="s">
        <v>110</v>
      </c>
      <c r="AC40" s="43"/>
      <c r="AD40" s="22"/>
    </row>
    <row r="41" spans="1:30" s="23" customFormat="1" x14ac:dyDescent="0.3">
      <c r="A41" s="47"/>
      <c r="B41" s="40" t="s">
        <v>253</v>
      </c>
      <c r="C41" s="40"/>
      <c r="D41" s="48"/>
      <c r="E41" s="48"/>
      <c r="F41" s="48"/>
      <c r="G41" s="48"/>
      <c r="H41" s="48"/>
      <c r="I41" s="48"/>
      <c r="J41" s="48"/>
      <c r="K41" s="48"/>
      <c r="L41" s="48"/>
      <c r="M41" s="48"/>
      <c r="N41" s="48"/>
      <c r="O41" s="48"/>
      <c r="P41" s="48"/>
      <c r="Q41" s="48"/>
      <c r="R41" s="48"/>
      <c r="S41" s="48"/>
      <c r="T41" s="48"/>
      <c r="U41" s="48"/>
      <c r="V41" s="48"/>
      <c r="W41" s="48"/>
      <c r="X41" s="48"/>
      <c r="Y41" s="40"/>
      <c r="Z41" s="40"/>
      <c r="AA41" s="40"/>
      <c r="AB41" s="232">
        <f>SUM(G29:N29)/F29</f>
        <v>0.17302142349226524</v>
      </c>
      <c r="AC41" s="43"/>
      <c r="AD41" s="22"/>
    </row>
    <row r="42" spans="1:30" s="23" customFormat="1" x14ac:dyDescent="0.3">
      <c r="A42" s="47"/>
      <c r="B42" s="40" t="s">
        <v>252</v>
      </c>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232">
        <f>SUM(G31:N31)/F31</f>
        <v>0.20019603301352051</v>
      </c>
      <c r="AC42" s="43"/>
      <c r="AD42" s="22"/>
    </row>
    <row r="43" spans="1:30" s="23" customFormat="1" x14ac:dyDescent="0.3">
      <c r="A43" s="47"/>
      <c r="B43" s="40" t="s">
        <v>197</v>
      </c>
      <c r="C43" s="40"/>
      <c r="D43" s="40"/>
      <c r="E43" s="40"/>
      <c r="F43" s="40"/>
      <c r="G43" s="40"/>
      <c r="H43" s="40"/>
      <c r="I43" s="40"/>
      <c r="J43" s="40"/>
      <c r="K43" s="40"/>
      <c r="L43" s="40"/>
      <c r="M43" s="40"/>
      <c r="N43" s="40"/>
      <c r="O43" s="40"/>
      <c r="P43" s="40"/>
      <c r="Q43" s="40"/>
      <c r="R43" s="40"/>
      <c r="S43" s="40"/>
      <c r="T43" s="40"/>
      <c r="U43" s="40"/>
      <c r="V43" s="40"/>
      <c r="W43" s="40"/>
      <c r="X43" s="40"/>
      <c r="Y43" s="40"/>
      <c r="Z43" s="48"/>
      <c r="AA43" s="48"/>
      <c r="AB43" s="50" t="s">
        <v>123</v>
      </c>
      <c r="AC43" s="43"/>
      <c r="AD43" s="22"/>
    </row>
    <row r="44" spans="1:30" s="23" customFormat="1" x14ac:dyDescent="0.3">
      <c r="A44" s="47"/>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71"/>
      <c r="AC44" s="43"/>
      <c r="AD44" s="22"/>
    </row>
    <row r="45" spans="1:30" s="23" customFormat="1" x14ac:dyDescent="0.3">
      <c r="A45" s="47"/>
      <c r="B45" s="40" t="s">
        <v>196</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72" t="s">
        <v>77</v>
      </c>
      <c r="AC45" s="43"/>
      <c r="AD45" s="22"/>
    </row>
    <row r="46" spans="1:30" s="23" customFormat="1" x14ac:dyDescent="0.3">
      <c r="A46" s="47"/>
      <c r="B46" s="44" t="s">
        <v>111</v>
      </c>
      <c r="C46" s="44"/>
      <c r="D46" s="44"/>
      <c r="E46" s="44"/>
      <c r="F46" s="44"/>
      <c r="G46" s="44"/>
      <c r="H46" s="44"/>
      <c r="I46" s="44"/>
      <c r="J46" s="44"/>
      <c r="K46" s="44"/>
      <c r="L46" s="44"/>
      <c r="M46" s="44"/>
      <c r="N46" s="44"/>
      <c r="O46" s="44"/>
      <c r="P46" s="44"/>
      <c r="Q46" s="44"/>
      <c r="R46" s="44"/>
      <c r="S46" s="44"/>
      <c r="T46" s="44"/>
      <c r="U46" s="44"/>
      <c r="V46" s="44"/>
      <c r="W46" s="44"/>
      <c r="X46" s="44"/>
      <c r="Y46" s="44"/>
      <c r="Z46" s="73"/>
      <c r="AA46" s="73"/>
      <c r="AB46" s="74">
        <v>44757</v>
      </c>
      <c r="AC46" s="43"/>
      <c r="AD46" s="22"/>
    </row>
    <row r="47" spans="1:30" s="23" customFormat="1" x14ac:dyDescent="0.3">
      <c r="A47" s="47"/>
      <c r="B47" s="40" t="s">
        <v>85</v>
      </c>
      <c r="C47" s="40"/>
      <c r="D47" s="75"/>
      <c r="E47" s="75"/>
      <c r="F47" s="75"/>
      <c r="G47" s="75"/>
      <c r="H47" s="75"/>
      <c r="I47" s="75"/>
      <c r="J47" s="75"/>
      <c r="K47" s="75"/>
      <c r="L47" s="75"/>
      <c r="M47" s="75"/>
      <c r="N47" s="75"/>
      <c r="O47" s="75"/>
      <c r="P47" s="75"/>
      <c r="Q47" s="75"/>
      <c r="R47" s="75"/>
      <c r="S47" s="75"/>
      <c r="T47" s="75"/>
      <c r="U47" s="75"/>
      <c r="V47" s="75"/>
      <c r="W47" s="75"/>
      <c r="X47" s="280">
        <f>+AB47-Z47+1</f>
        <v>92</v>
      </c>
      <c r="Y47" s="40"/>
      <c r="Z47" s="76">
        <v>44578</v>
      </c>
      <c r="AA47" s="77"/>
      <c r="AB47" s="76">
        <v>44669</v>
      </c>
      <c r="AC47" s="43"/>
      <c r="AD47" s="22"/>
    </row>
    <row r="48" spans="1:30" s="23" customFormat="1" x14ac:dyDescent="0.3">
      <c r="A48" s="47"/>
      <c r="B48" s="40" t="s">
        <v>86</v>
      </c>
      <c r="C48" s="40"/>
      <c r="D48" s="40"/>
      <c r="E48" s="40"/>
      <c r="F48" s="40"/>
      <c r="G48" s="40"/>
      <c r="H48" s="40"/>
      <c r="I48" s="40"/>
      <c r="J48" s="40"/>
      <c r="K48" s="40"/>
      <c r="L48" s="40"/>
      <c r="M48" s="40"/>
      <c r="N48" s="40"/>
      <c r="O48" s="40"/>
      <c r="P48" s="40"/>
      <c r="Q48" s="40"/>
      <c r="R48" s="40"/>
      <c r="S48" s="40"/>
      <c r="T48" s="40"/>
      <c r="U48" s="40"/>
      <c r="V48" s="40"/>
      <c r="W48" s="40"/>
      <c r="X48" s="280">
        <f>+AB48-Z48+1</f>
        <v>87</v>
      </c>
      <c r="Y48" s="40"/>
      <c r="Z48" s="76">
        <v>44670</v>
      </c>
      <c r="AA48" s="77"/>
      <c r="AB48" s="76">
        <v>44756</v>
      </c>
      <c r="AC48" s="43"/>
      <c r="AD48" s="22"/>
    </row>
    <row r="49" spans="1:31" s="23" customFormat="1" x14ac:dyDescent="0.3">
      <c r="A49" s="47"/>
      <c r="B49" s="40" t="s">
        <v>187</v>
      </c>
      <c r="C49" s="40"/>
      <c r="D49" s="40"/>
      <c r="E49" s="40"/>
      <c r="F49" s="40"/>
      <c r="G49" s="40"/>
      <c r="H49" s="40"/>
      <c r="I49" s="40"/>
      <c r="J49" s="40"/>
      <c r="K49" s="40"/>
      <c r="L49" s="40"/>
      <c r="M49" s="40"/>
      <c r="N49" s="40"/>
      <c r="O49" s="40"/>
      <c r="P49" s="40"/>
      <c r="Q49" s="40"/>
      <c r="R49" s="40"/>
      <c r="S49" s="40"/>
      <c r="T49" s="40"/>
      <c r="U49" s="40"/>
      <c r="V49" s="40"/>
      <c r="W49" s="40"/>
      <c r="X49" s="40"/>
      <c r="Y49" s="40"/>
      <c r="Z49" s="76"/>
      <c r="AA49" s="77"/>
      <c r="AB49" s="76" t="s">
        <v>99</v>
      </c>
      <c r="AC49" s="43"/>
      <c r="AD49" s="22"/>
      <c r="AE49" s="78"/>
    </row>
    <row r="50" spans="1:31" s="23" customFormat="1" x14ac:dyDescent="0.3">
      <c r="A50" s="47"/>
      <c r="B50" s="40" t="s">
        <v>12</v>
      </c>
      <c r="C50" s="40"/>
      <c r="D50" s="40"/>
      <c r="E50" s="40"/>
      <c r="F50" s="40"/>
      <c r="G50" s="40"/>
      <c r="H50" s="40"/>
      <c r="I50" s="40"/>
      <c r="J50" s="40"/>
      <c r="K50" s="40"/>
      <c r="L50" s="40"/>
      <c r="M50" s="40"/>
      <c r="N50" s="40"/>
      <c r="O50" s="40"/>
      <c r="P50" s="40"/>
      <c r="Q50" s="40"/>
      <c r="R50" s="40"/>
      <c r="S50" s="40"/>
      <c r="T50" s="40"/>
      <c r="U50" s="40"/>
      <c r="V50" s="40"/>
      <c r="W50" s="40"/>
      <c r="X50" s="40"/>
      <c r="Y50" s="40"/>
      <c r="Z50" s="76"/>
      <c r="AA50" s="77"/>
      <c r="AB50" s="76">
        <v>44756</v>
      </c>
      <c r="AC50" s="43"/>
      <c r="AD50" s="22"/>
    </row>
    <row r="51" spans="1:31" s="23" customFormat="1" x14ac:dyDescent="0.3">
      <c r="A51" s="18"/>
      <c r="B51" s="37"/>
      <c r="C51" s="37"/>
      <c r="D51" s="37"/>
      <c r="E51" s="37"/>
      <c r="F51" s="37"/>
      <c r="G51" s="37"/>
      <c r="H51" s="37"/>
      <c r="I51" s="37"/>
      <c r="J51" s="37"/>
      <c r="K51" s="37"/>
      <c r="L51" s="37"/>
      <c r="M51" s="37"/>
      <c r="N51" s="37"/>
      <c r="O51" s="37"/>
      <c r="P51" s="37"/>
      <c r="Q51" s="37"/>
      <c r="R51" s="37"/>
      <c r="S51" s="37"/>
      <c r="T51" s="37"/>
      <c r="U51" s="37"/>
      <c r="V51" s="37"/>
      <c r="W51" s="37"/>
      <c r="X51" s="37"/>
      <c r="Y51" s="37"/>
      <c r="Z51" s="79"/>
      <c r="AA51" s="80"/>
      <c r="AB51" s="79"/>
      <c r="AC51" s="21"/>
      <c r="AD51" s="22"/>
    </row>
    <row r="52" spans="1:31" s="23" customFormat="1" x14ac:dyDescent="0.3">
      <c r="A52" s="18"/>
      <c r="B52" s="20"/>
      <c r="C52" s="20"/>
      <c r="D52" s="20"/>
      <c r="E52" s="20"/>
      <c r="F52" s="20"/>
      <c r="G52" s="20"/>
      <c r="H52" s="20"/>
      <c r="I52" s="20"/>
      <c r="J52" s="20"/>
      <c r="K52" s="20"/>
      <c r="L52" s="20"/>
      <c r="M52" s="20"/>
      <c r="N52" s="20"/>
      <c r="O52" s="20"/>
      <c r="P52" s="20"/>
      <c r="Q52" s="20"/>
      <c r="R52" s="20"/>
      <c r="S52" s="20"/>
      <c r="T52" s="20"/>
      <c r="U52" s="20"/>
      <c r="V52" s="20"/>
      <c r="W52" s="20"/>
      <c r="X52" s="20"/>
      <c r="Y52" s="20"/>
      <c r="Z52" s="81"/>
      <c r="AA52" s="82"/>
      <c r="AB52" s="81"/>
      <c r="AC52" s="21"/>
      <c r="AD52" s="22"/>
    </row>
    <row r="53" spans="1:31" s="23" customFormat="1" ht="18.600000000000001" thickBot="1" x14ac:dyDescent="0.4">
      <c r="A53" s="83"/>
      <c r="B53" s="84" t="s">
        <v>359</v>
      </c>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6"/>
      <c r="AC53" s="87"/>
      <c r="AD53" s="22"/>
    </row>
    <row r="54" spans="1:31" x14ac:dyDescent="0.3">
      <c r="A54" s="33"/>
      <c r="B54" s="88" t="s">
        <v>13</v>
      </c>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90"/>
      <c r="AC54" s="89"/>
      <c r="AD54" s="5"/>
    </row>
    <row r="55" spans="1:31" x14ac:dyDescent="0.3">
      <c r="A55" s="7"/>
      <c r="B55" s="17"/>
      <c r="C55" s="9"/>
      <c r="D55" s="9"/>
      <c r="E55" s="9"/>
      <c r="F55" s="9"/>
      <c r="G55" s="9"/>
      <c r="H55" s="9"/>
      <c r="I55" s="9"/>
      <c r="J55" s="9"/>
      <c r="K55" s="9"/>
      <c r="L55" s="9"/>
      <c r="M55" s="9"/>
      <c r="N55" s="9"/>
      <c r="O55" s="9"/>
      <c r="P55" s="9"/>
      <c r="Q55" s="9"/>
      <c r="R55" s="9"/>
      <c r="S55" s="9"/>
      <c r="T55" s="9"/>
      <c r="U55" s="9"/>
      <c r="V55" s="9"/>
      <c r="W55" s="9"/>
      <c r="X55" s="9"/>
      <c r="Y55" s="9"/>
      <c r="Z55" s="9"/>
      <c r="AA55" s="9"/>
      <c r="AB55" s="91"/>
      <c r="AC55" s="10"/>
      <c r="AD55" s="5"/>
    </row>
    <row r="56" spans="1:31" s="65" customFormat="1" ht="46.8" x14ac:dyDescent="0.3">
      <c r="A56" s="92"/>
      <c r="B56" s="93" t="s">
        <v>14</v>
      </c>
      <c r="C56" s="94"/>
      <c r="D56" s="94"/>
      <c r="E56" s="94"/>
      <c r="F56" s="94"/>
      <c r="G56" s="94"/>
      <c r="H56" s="94"/>
      <c r="I56" s="94"/>
      <c r="J56" s="94"/>
      <c r="K56" s="94"/>
      <c r="L56" s="94"/>
      <c r="M56" s="94"/>
      <c r="N56" s="94"/>
      <c r="O56" s="94"/>
      <c r="P56" s="94" t="s">
        <v>63</v>
      </c>
      <c r="Q56" s="94"/>
      <c r="R56" s="94" t="s">
        <v>65</v>
      </c>
      <c r="S56" s="94"/>
      <c r="T56" s="94" t="s">
        <v>135</v>
      </c>
      <c r="U56" s="94"/>
      <c r="V56" s="94" t="s">
        <v>136</v>
      </c>
      <c r="W56" s="94"/>
      <c r="X56" s="94" t="s">
        <v>68</v>
      </c>
      <c r="Y56" s="94"/>
      <c r="Z56" s="94" t="s">
        <v>72</v>
      </c>
      <c r="AA56" s="94"/>
      <c r="AB56" s="95" t="s">
        <v>78</v>
      </c>
      <c r="AC56" s="96"/>
      <c r="AD56" s="64"/>
    </row>
    <row r="57" spans="1:31" s="23" customFormat="1" x14ac:dyDescent="0.3">
      <c r="A57" s="47"/>
      <c r="B57" s="40" t="s">
        <v>15</v>
      </c>
      <c r="C57" s="97"/>
      <c r="D57" s="97"/>
      <c r="E57" s="97"/>
      <c r="F57" s="97"/>
      <c r="G57" s="97"/>
      <c r="H57" s="98"/>
      <c r="I57" s="97"/>
      <c r="J57" s="98"/>
      <c r="K57" s="97"/>
      <c r="L57" s="97"/>
      <c r="M57" s="97"/>
      <c r="N57" s="97"/>
      <c r="O57" s="97"/>
      <c r="P57" s="238">
        <v>759666</v>
      </c>
      <c r="Q57" s="238"/>
      <c r="R57" s="237">
        <v>685018</v>
      </c>
      <c r="S57" s="238"/>
      <c r="T57" s="237">
        <f>328+19</f>
        <v>347</v>
      </c>
      <c r="U57" s="238"/>
      <c r="V57" s="238">
        <v>12196</v>
      </c>
      <c r="W57" s="238"/>
      <c r="X57" s="238">
        <v>0</v>
      </c>
      <c r="Y57" s="238"/>
      <c r="Z57" s="238">
        <v>0</v>
      </c>
      <c r="AA57" s="238"/>
      <c r="AB57" s="237">
        <f>R57-T57-V57+X57-Z57</f>
        <v>672475</v>
      </c>
      <c r="AC57" s="43"/>
      <c r="AD57" s="22"/>
      <c r="AE57" s="271"/>
    </row>
    <row r="58" spans="1:31" s="23" customFormat="1" x14ac:dyDescent="0.3">
      <c r="A58" s="47"/>
      <c r="B58" s="40" t="s">
        <v>16</v>
      </c>
      <c r="C58" s="97"/>
      <c r="D58" s="97"/>
      <c r="E58" s="97"/>
      <c r="F58" s="97"/>
      <c r="G58" s="97"/>
      <c r="H58" s="98"/>
      <c r="I58" s="97"/>
      <c r="J58" s="98"/>
      <c r="K58" s="97"/>
      <c r="L58" s="97"/>
      <c r="M58" s="97"/>
      <c r="N58" s="97"/>
      <c r="O58" s="97"/>
      <c r="P58" s="238">
        <v>0</v>
      </c>
      <c r="Q58" s="238"/>
      <c r="R58" s="237">
        <v>0</v>
      </c>
      <c r="S58" s="238"/>
      <c r="T58" s="237">
        <v>0</v>
      </c>
      <c r="U58" s="238"/>
      <c r="V58" s="238">
        <v>0</v>
      </c>
      <c r="W58" s="238"/>
      <c r="X58" s="238">
        <v>0</v>
      </c>
      <c r="Y58" s="238"/>
      <c r="Z58" s="238">
        <v>0</v>
      </c>
      <c r="AA58" s="238"/>
      <c r="AB58" s="237">
        <f>F58-J58-L58</f>
        <v>0</v>
      </c>
      <c r="AC58" s="43"/>
      <c r="AD58" s="22"/>
    </row>
    <row r="59" spans="1:31" s="23" customFormat="1" x14ac:dyDescent="0.3">
      <c r="A59" s="47"/>
      <c r="B59" s="40"/>
      <c r="C59" s="97"/>
      <c r="D59" s="97"/>
      <c r="E59" s="97"/>
      <c r="F59" s="97"/>
      <c r="G59" s="97"/>
      <c r="H59" s="98"/>
      <c r="I59" s="97"/>
      <c r="J59" s="98"/>
      <c r="K59" s="97"/>
      <c r="L59" s="97"/>
      <c r="M59" s="97"/>
      <c r="N59" s="97"/>
      <c r="O59" s="97"/>
      <c r="P59" s="238"/>
      <c r="Q59" s="238"/>
      <c r="R59" s="237"/>
      <c r="S59" s="238"/>
      <c r="T59" s="237"/>
      <c r="U59" s="238"/>
      <c r="V59" s="238"/>
      <c r="W59" s="238"/>
      <c r="X59" s="238"/>
      <c r="Y59" s="238"/>
      <c r="Z59" s="238"/>
      <c r="AA59" s="238"/>
      <c r="AB59" s="237"/>
      <c r="AC59" s="43"/>
      <c r="AD59" s="22"/>
    </row>
    <row r="60" spans="1:31" s="23" customFormat="1" x14ac:dyDescent="0.3">
      <c r="A60" s="47"/>
      <c r="B60" s="40" t="s">
        <v>17</v>
      </c>
      <c r="C60" s="97"/>
      <c r="D60" s="97"/>
      <c r="E60" s="97"/>
      <c r="F60" s="97"/>
      <c r="G60" s="97"/>
      <c r="H60" s="97"/>
      <c r="I60" s="97"/>
      <c r="J60" s="97"/>
      <c r="K60" s="97"/>
      <c r="L60" s="97"/>
      <c r="M60" s="97"/>
      <c r="N60" s="97"/>
      <c r="O60" s="97"/>
      <c r="P60" s="238">
        <f>SUM(P57:P59)</f>
        <v>759666</v>
      </c>
      <c r="Q60" s="238"/>
      <c r="R60" s="238">
        <f>R57+R58</f>
        <v>685018</v>
      </c>
      <c r="S60" s="238"/>
      <c r="T60" s="238">
        <f>T57+T58</f>
        <v>347</v>
      </c>
      <c r="U60" s="238"/>
      <c r="V60" s="238">
        <f>SUM(V57:V59)</f>
        <v>12196</v>
      </c>
      <c r="W60" s="238"/>
      <c r="X60" s="238">
        <f>SUM(X57:X59)</f>
        <v>0</v>
      </c>
      <c r="Y60" s="238"/>
      <c r="Z60" s="238">
        <f>SUM(Z57:Z59)</f>
        <v>0</v>
      </c>
      <c r="AA60" s="238"/>
      <c r="AB60" s="238">
        <f>SUM(AB57:AB59)</f>
        <v>672475</v>
      </c>
      <c r="AC60" s="43"/>
      <c r="AD60" s="22"/>
    </row>
    <row r="61" spans="1:31" s="23" customFormat="1" ht="32.1" customHeight="1" x14ac:dyDescent="0.3">
      <c r="A61" s="47"/>
      <c r="B61" s="40"/>
      <c r="C61" s="97"/>
      <c r="D61" s="97"/>
      <c r="E61" s="97"/>
      <c r="F61" s="97"/>
      <c r="G61" s="97"/>
      <c r="H61" s="97"/>
      <c r="I61" s="97"/>
      <c r="J61" s="97"/>
      <c r="K61" s="97"/>
      <c r="L61" s="97"/>
      <c r="M61" s="97"/>
      <c r="N61" s="97"/>
      <c r="O61" s="97"/>
      <c r="P61" s="238"/>
      <c r="Q61" s="238"/>
      <c r="R61" s="238"/>
      <c r="S61" s="238"/>
      <c r="T61" s="238"/>
      <c r="U61" s="238"/>
      <c r="V61" s="238"/>
      <c r="W61" s="238"/>
      <c r="X61" s="238"/>
      <c r="Y61" s="238"/>
      <c r="Z61" s="238"/>
      <c r="AA61" s="238"/>
      <c r="AB61" s="238"/>
      <c r="AC61" s="43"/>
      <c r="AD61" s="22"/>
    </row>
    <row r="62" spans="1:31" s="23" customFormat="1" x14ac:dyDescent="0.3">
      <c r="A62" s="47"/>
      <c r="B62" s="40" t="s">
        <v>18</v>
      </c>
      <c r="C62" s="97"/>
      <c r="D62" s="97"/>
      <c r="E62" s="97"/>
      <c r="F62" s="97"/>
      <c r="G62" s="97"/>
      <c r="H62" s="97"/>
      <c r="I62" s="97"/>
      <c r="J62" s="97"/>
      <c r="K62" s="97"/>
      <c r="L62" s="97"/>
      <c r="M62" s="97"/>
      <c r="N62" s="97"/>
      <c r="O62" s="97"/>
      <c r="P62" s="238">
        <v>0</v>
      </c>
      <c r="Q62" s="238"/>
      <c r="R62" s="238">
        <v>0</v>
      </c>
      <c r="S62" s="238"/>
      <c r="T62" s="238"/>
      <c r="U62" s="238"/>
      <c r="V62" s="238"/>
      <c r="W62" s="238"/>
      <c r="X62" s="238"/>
      <c r="Y62" s="238"/>
      <c r="Z62" s="238"/>
      <c r="AA62" s="238"/>
      <c r="AB62" s="237">
        <v>0</v>
      </c>
      <c r="AC62" s="43"/>
      <c r="AD62" s="22"/>
    </row>
    <row r="63" spans="1:31" s="23" customFormat="1" x14ac:dyDescent="0.3">
      <c r="A63" s="47"/>
      <c r="B63" s="40" t="s">
        <v>274</v>
      </c>
      <c r="C63" s="97"/>
      <c r="D63" s="97"/>
      <c r="E63" s="97"/>
      <c r="F63" s="97"/>
      <c r="G63" s="97"/>
      <c r="H63" s="97"/>
      <c r="I63" s="97"/>
      <c r="J63" s="97"/>
      <c r="K63" s="97"/>
      <c r="L63" s="97"/>
      <c r="M63" s="97"/>
      <c r="N63" s="97"/>
      <c r="O63" s="97"/>
      <c r="P63" s="238">
        <v>0</v>
      </c>
      <c r="Q63" s="238"/>
      <c r="R63" s="238">
        <v>3</v>
      </c>
      <c r="S63" s="238"/>
      <c r="T63" s="238">
        <v>0</v>
      </c>
      <c r="U63" s="238"/>
      <c r="V63" s="238">
        <v>-1</v>
      </c>
      <c r="W63" s="238"/>
      <c r="X63" s="238"/>
      <c r="Y63" s="238"/>
      <c r="Z63" s="238"/>
      <c r="AA63" s="238"/>
      <c r="AB63" s="238">
        <f>R63+V63</f>
        <v>2</v>
      </c>
      <c r="AC63" s="43"/>
      <c r="AD63" s="22"/>
    </row>
    <row r="64" spans="1:31" s="23" customFormat="1" x14ac:dyDescent="0.3">
      <c r="A64" s="47"/>
      <c r="B64" s="40" t="s">
        <v>172</v>
      </c>
      <c r="C64" s="97"/>
      <c r="D64" s="97"/>
      <c r="E64" s="97"/>
      <c r="F64" s="97"/>
      <c r="G64" s="97"/>
      <c r="H64" s="97"/>
      <c r="I64" s="97"/>
      <c r="J64" s="97"/>
      <c r="K64" s="97"/>
      <c r="L64" s="97"/>
      <c r="M64" s="97"/>
      <c r="N64" s="97"/>
      <c r="O64" s="97"/>
      <c r="P64" s="238">
        <v>812</v>
      </c>
      <c r="Q64" s="238"/>
      <c r="R64" s="238">
        <v>0</v>
      </c>
      <c r="S64" s="238"/>
      <c r="T64" s="238"/>
      <c r="U64" s="238"/>
      <c r="V64" s="238"/>
      <c r="W64" s="238"/>
      <c r="X64" s="238">
        <v>0</v>
      </c>
      <c r="Y64" s="238"/>
      <c r="Z64" s="238"/>
      <c r="AA64" s="238"/>
      <c r="AB64" s="238">
        <f>+R64+X64</f>
        <v>0</v>
      </c>
      <c r="AC64" s="43"/>
      <c r="AD64" s="22"/>
    </row>
    <row r="65" spans="1:30" s="23" customFormat="1" x14ac:dyDescent="0.3">
      <c r="A65" s="47"/>
      <c r="B65" s="40" t="s">
        <v>19</v>
      </c>
      <c r="C65" s="97"/>
      <c r="D65" s="97"/>
      <c r="E65" s="97"/>
      <c r="F65" s="97"/>
      <c r="G65" s="97"/>
      <c r="H65" s="97"/>
      <c r="I65" s="97"/>
      <c r="J65" s="97"/>
      <c r="K65" s="97"/>
      <c r="L65" s="97"/>
      <c r="M65" s="97"/>
      <c r="N65" s="97"/>
      <c r="O65" s="97"/>
      <c r="P65" s="238">
        <v>0</v>
      </c>
      <c r="Q65" s="238"/>
      <c r="R65" s="238">
        <v>0</v>
      </c>
      <c r="S65" s="238"/>
      <c r="T65" s="238"/>
      <c r="U65" s="238"/>
      <c r="V65" s="238"/>
      <c r="W65" s="238"/>
      <c r="X65" s="238"/>
      <c r="Y65" s="238"/>
      <c r="Z65" s="238"/>
      <c r="AA65" s="238"/>
      <c r="AB65" s="238">
        <v>0</v>
      </c>
      <c r="AC65" s="43"/>
      <c r="AD65" s="22"/>
    </row>
    <row r="66" spans="1:30" s="23" customFormat="1" x14ac:dyDescent="0.3">
      <c r="A66" s="47"/>
      <c r="B66" s="40" t="s">
        <v>20</v>
      </c>
      <c r="C66" s="97"/>
      <c r="D66" s="97"/>
      <c r="E66" s="97"/>
      <c r="F66" s="97"/>
      <c r="G66" s="97"/>
      <c r="H66" s="97"/>
      <c r="I66" s="97"/>
      <c r="J66" s="97"/>
      <c r="K66" s="97"/>
      <c r="L66" s="97"/>
      <c r="M66" s="97"/>
      <c r="N66" s="97"/>
      <c r="O66" s="97"/>
      <c r="P66" s="238">
        <f>SUM(P60:P65)</f>
        <v>760478</v>
      </c>
      <c r="Q66" s="238"/>
      <c r="R66" s="238">
        <f>SUM(R60:R65)</f>
        <v>685021</v>
      </c>
      <c r="S66" s="238"/>
      <c r="T66" s="238"/>
      <c r="U66" s="238"/>
      <c r="V66" s="238"/>
      <c r="W66" s="238"/>
      <c r="X66" s="238"/>
      <c r="Y66" s="238"/>
      <c r="Z66" s="238"/>
      <c r="AA66" s="238"/>
      <c r="AB66" s="238">
        <f>SUM(AB60:AB65)</f>
        <v>672477</v>
      </c>
      <c r="AC66" s="43"/>
      <c r="AD66" s="22"/>
    </row>
    <row r="67" spans="1:30" x14ac:dyDescent="0.3">
      <c r="A67" s="7"/>
      <c r="B67" s="99"/>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1"/>
      <c r="AC67" s="10"/>
      <c r="AD67" s="5"/>
    </row>
    <row r="68" spans="1:30" x14ac:dyDescent="0.3">
      <c r="A68" s="7"/>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10"/>
      <c r="AD68" s="5"/>
    </row>
    <row r="69" spans="1:30" x14ac:dyDescent="0.3">
      <c r="A69" s="33"/>
      <c r="B69" s="102" t="s">
        <v>21</v>
      </c>
      <c r="C69" s="102"/>
      <c r="D69" s="103"/>
      <c r="E69" s="103"/>
      <c r="F69" s="103"/>
      <c r="G69" s="103"/>
      <c r="H69" s="104"/>
      <c r="I69" s="103"/>
      <c r="J69" s="105"/>
      <c r="K69" s="103"/>
      <c r="L69" s="103"/>
      <c r="M69" s="103"/>
      <c r="N69" s="103"/>
      <c r="O69" s="103"/>
      <c r="P69" s="103"/>
      <c r="Q69" s="103"/>
      <c r="R69" s="104" t="s">
        <v>64</v>
      </c>
      <c r="S69" s="103"/>
      <c r="T69" s="105">
        <f>+Z235</f>
        <v>44742</v>
      </c>
      <c r="U69" s="103"/>
      <c r="V69" s="103"/>
      <c r="W69" s="103"/>
      <c r="X69" s="103"/>
      <c r="Y69" s="103"/>
      <c r="Z69" s="103" t="s">
        <v>73</v>
      </c>
      <c r="AA69" s="103"/>
      <c r="AB69" s="103" t="s">
        <v>79</v>
      </c>
      <c r="AC69" s="36"/>
      <c r="AD69" s="5"/>
    </row>
    <row r="70" spans="1:30" s="23" customFormat="1" x14ac:dyDescent="0.3">
      <c r="A70" s="18"/>
      <c r="B70" s="37" t="s">
        <v>22</v>
      </c>
      <c r="C70" s="37"/>
      <c r="D70" s="37"/>
      <c r="E70" s="37"/>
      <c r="F70" s="37"/>
      <c r="G70" s="37"/>
      <c r="H70" s="37"/>
      <c r="I70" s="37"/>
      <c r="J70" s="37"/>
      <c r="K70" s="37"/>
      <c r="L70" s="37"/>
      <c r="M70" s="37"/>
      <c r="N70" s="37"/>
      <c r="O70" s="37"/>
      <c r="P70" s="37"/>
      <c r="Q70" s="37"/>
      <c r="R70" s="37"/>
      <c r="S70" s="37"/>
      <c r="T70" s="37"/>
      <c r="U70" s="37"/>
      <c r="V70" s="37"/>
      <c r="W70" s="37"/>
      <c r="X70" s="37"/>
      <c r="Y70" s="37"/>
      <c r="Z70" s="100">
        <f>+R63</f>
        <v>3</v>
      </c>
      <c r="AA70" s="37"/>
      <c r="AB70" s="107">
        <v>0</v>
      </c>
      <c r="AC70" s="21"/>
      <c r="AD70" s="22"/>
    </row>
    <row r="71" spans="1:30" s="23" customFormat="1" x14ac:dyDescent="0.3">
      <c r="A71" s="47"/>
      <c r="B71" s="40" t="s">
        <v>218</v>
      </c>
      <c r="C71" s="40"/>
      <c r="D71" s="70"/>
      <c r="E71" s="70"/>
      <c r="F71" s="70"/>
      <c r="G71" s="108"/>
      <c r="H71" s="70"/>
      <c r="I71" s="40"/>
      <c r="J71" s="109"/>
      <c r="K71" s="40"/>
      <c r="L71" s="40"/>
      <c r="M71" s="40"/>
      <c r="N71" s="40"/>
      <c r="O71" s="40"/>
      <c r="P71" s="40"/>
      <c r="Q71" s="40"/>
      <c r="R71" s="40"/>
      <c r="S71" s="40"/>
      <c r="T71" s="40"/>
      <c r="U71" s="40"/>
      <c r="V71" s="40"/>
      <c r="W71" s="40"/>
      <c r="X71" s="40"/>
      <c r="Y71" s="40"/>
      <c r="Z71" s="238">
        <f>-X64</f>
        <v>0</v>
      </c>
      <c r="AA71" s="40"/>
      <c r="AB71" s="98"/>
      <c r="AC71" s="43"/>
      <c r="AD71" s="22"/>
    </row>
    <row r="72" spans="1:30" s="23" customFormat="1" x14ac:dyDescent="0.3">
      <c r="A72" s="47"/>
      <c r="B72" s="40" t="s">
        <v>217</v>
      </c>
      <c r="C72" s="40"/>
      <c r="D72" s="70"/>
      <c r="E72" s="70"/>
      <c r="F72" s="70"/>
      <c r="G72" s="108"/>
      <c r="H72" s="70"/>
      <c r="I72" s="40"/>
      <c r="J72" s="109"/>
      <c r="K72" s="40"/>
      <c r="L72" s="40"/>
      <c r="M72" s="40"/>
      <c r="N72" s="40"/>
      <c r="O72" s="40"/>
      <c r="P72" s="40"/>
      <c r="Q72" s="40"/>
      <c r="R72" s="40"/>
      <c r="S72" s="40"/>
      <c r="T72" s="40"/>
      <c r="U72" s="40"/>
      <c r="V72" s="40"/>
      <c r="W72" s="40"/>
      <c r="X72" s="40"/>
      <c r="Y72" s="40"/>
      <c r="Z72" s="238">
        <f>-Z209</f>
        <v>0</v>
      </c>
      <c r="AA72" s="40"/>
      <c r="AB72" s="98"/>
      <c r="AC72" s="43"/>
      <c r="AD72" s="22"/>
    </row>
    <row r="73" spans="1:30" s="23" customFormat="1" x14ac:dyDescent="0.3">
      <c r="A73" s="47"/>
      <c r="B73" s="40" t="s">
        <v>23</v>
      </c>
      <c r="C73" s="40"/>
      <c r="D73" s="70"/>
      <c r="E73" s="70"/>
      <c r="F73" s="70"/>
      <c r="G73" s="108"/>
      <c r="H73" s="70"/>
      <c r="I73" s="40"/>
      <c r="J73" s="109"/>
      <c r="K73" s="40"/>
      <c r="L73" s="40"/>
      <c r="M73" s="40"/>
      <c r="N73" s="40"/>
      <c r="O73" s="40"/>
      <c r="P73" s="40"/>
      <c r="Q73" s="40"/>
      <c r="R73" s="40"/>
      <c r="S73" s="40"/>
      <c r="T73" s="40"/>
      <c r="U73" s="40"/>
      <c r="V73" s="40"/>
      <c r="W73" s="40"/>
      <c r="X73" s="40"/>
      <c r="Y73" s="40"/>
      <c r="Z73" s="238">
        <f>+T57+V57+Z57</f>
        <v>12543</v>
      </c>
      <c r="AA73" s="40"/>
      <c r="AB73" s="98"/>
      <c r="AC73" s="43"/>
      <c r="AD73" s="22"/>
    </row>
    <row r="74" spans="1:30" s="23" customFormat="1" x14ac:dyDescent="0.3">
      <c r="A74" s="47"/>
      <c r="B74" s="40" t="s">
        <v>115</v>
      </c>
      <c r="C74" s="40"/>
      <c r="D74" s="70"/>
      <c r="E74" s="70"/>
      <c r="F74" s="70"/>
      <c r="G74" s="108"/>
      <c r="H74" s="70"/>
      <c r="I74" s="40"/>
      <c r="J74" s="109"/>
      <c r="K74" s="40"/>
      <c r="L74" s="40"/>
      <c r="M74" s="40"/>
      <c r="N74" s="40"/>
      <c r="O74" s="40"/>
      <c r="P74" s="40"/>
      <c r="Q74" s="40"/>
      <c r="R74" s="40"/>
      <c r="S74" s="40"/>
      <c r="T74" s="40"/>
      <c r="U74" s="40"/>
      <c r="V74" s="40"/>
      <c r="W74" s="40"/>
      <c r="X74" s="40"/>
      <c r="Y74" s="40"/>
      <c r="Z74" s="238"/>
      <c r="AA74" s="40"/>
      <c r="AB74" s="98">
        <f>6435+224-373-19</f>
        <v>6267</v>
      </c>
      <c r="AC74" s="43"/>
      <c r="AD74" s="22"/>
    </row>
    <row r="75" spans="1:30" s="23" customFormat="1" x14ac:dyDescent="0.3">
      <c r="A75" s="47"/>
      <c r="B75" s="40" t="s">
        <v>113</v>
      </c>
      <c r="C75" s="40"/>
      <c r="D75" s="70"/>
      <c r="E75" s="70"/>
      <c r="F75" s="70"/>
      <c r="G75" s="108"/>
      <c r="H75" s="70"/>
      <c r="I75" s="40"/>
      <c r="J75" s="109"/>
      <c r="K75" s="40"/>
      <c r="L75" s="40"/>
      <c r="M75" s="40"/>
      <c r="N75" s="40"/>
      <c r="O75" s="40"/>
      <c r="P75" s="40"/>
      <c r="Q75" s="40"/>
      <c r="R75" s="40"/>
      <c r="S75" s="40"/>
      <c r="T75" s="40"/>
      <c r="U75" s="40"/>
      <c r="V75" s="40"/>
      <c r="W75" s="40"/>
      <c r="X75" s="40"/>
      <c r="Y75" s="40"/>
      <c r="Z75" s="238"/>
      <c r="AA75" s="40"/>
      <c r="AB75" s="98">
        <f>262+76</f>
        <v>338</v>
      </c>
      <c r="AC75" s="43"/>
      <c r="AD75" s="22"/>
    </row>
    <row r="76" spans="1:30" s="23" customFormat="1" x14ac:dyDescent="0.3">
      <c r="A76" s="47"/>
      <c r="B76" s="40" t="s">
        <v>114</v>
      </c>
      <c r="C76" s="40"/>
      <c r="D76" s="70"/>
      <c r="E76" s="70"/>
      <c r="F76" s="70"/>
      <c r="G76" s="108"/>
      <c r="H76" s="70"/>
      <c r="I76" s="40"/>
      <c r="J76" s="109"/>
      <c r="K76" s="40"/>
      <c r="L76" s="40"/>
      <c r="M76" s="40"/>
      <c r="N76" s="40"/>
      <c r="O76" s="40"/>
      <c r="P76" s="40"/>
      <c r="Q76" s="40"/>
      <c r="R76" s="40"/>
      <c r="S76" s="40"/>
      <c r="T76" s="40"/>
      <c r="U76" s="40"/>
      <c r="V76" s="40"/>
      <c r="W76" s="40"/>
      <c r="X76" s="40"/>
      <c r="Y76" s="40"/>
      <c r="Z76" s="238"/>
      <c r="AA76" s="40"/>
      <c r="AB76" s="98">
        <v>43</v>
      </c>
      <c r="AC76" s="43"/>
      <c r="AD76" s="22"/>
    </row>
    <row r="77" spans="1:30" s="23" customFormat="1" x14ac:dyDescent="0.3">
      <c r="A77" s="47"/>
      <c r="B77" s="40" t="s">
        <v>120</v>
      </c>
      <c r="C77" s="40"/>
      <c r="D77" s="70"/>
      <c r="E77" s="70"/>
      <c r="F77" s="70"/>
      <c r="G77" s="108"/>
      <c r="H77" s="70"/>
      <c r="I77" s="40"/>
      <c r="J77" s="109"/>
      <c r="K77" s="40"/>
      <c r="L77" s="40"/>
      <c r="M77" s="40"/>
      <c r="N77" s="40"/>
      <c r="O77" s="40"/>
      <c r="P77" s="40"/>
      <c r="Q77" s="40"/>
      <c r="R77" s="40"/>
      <c r="S77" s="40"/>
      <c r="T77" s="40"/>
      <c r="U77" s="40"/>
      <c r="V77" s="40"/>
      <c r="W77" s="40"/>
      <c r="X77" s="40"/>
      <c r="Y77" s="40"/>
      <c r="Z77" s="238"/>
      <c r="AA77" s="40"/>
      <c r="AB77" s="98">
        <v>0</v>
      </c>
      <c r="AC77" s="43"/>
      <c r="AD77" s="22"/>
    </row>
    <row r="78" spans="1:30" s="23" customFormat="1" x14ac:dyDescent="0.3">
      <c r="A78" s="47"/>
      <c r="B78" s="59" t="s">
        <v>224</v>
      </c>
      <c r="C78" s="40"/>
      <c r="D78" s="70"/>
      <c r="E78" s="70"/>
      <c r="F78" s="70"/>
      <c r="G78" s="108"/>
      <c r="H78" s="70"/>
      <c r="I78" s="40"/>
      <c r="J78" s="109"/>
      <c r="K78" s="40"/>
      <c r="L78" s="40"/>
      <c r="M78" s="40"/>
      <c r="N78" s="40"/>
      <c r="O78" s="40"/>
      <c r="P78" s="40"/>
      <c r="Q78" s="40"/>
      <c r="R78" s="40"/>
      <c r="S78" s="40"/>
      <c r="T78" s="40"/>
      <c r="U78" s="40"/>
      <c r="V78" s="40"/>
      <c r="W78" s="40"/>
      <c r="X78" s="40"/>
      <c r="Y78" s="40"/>
      <c r="Z78" s="238"/>
      <c r="AA78" s="40"/>
      <c r="AB78" s="98">
        <v>386</v>
      </c>
      <c r="AC78" s="43"/>
      <c r="AD78" s="22"/>
    </row>
    <row r="79" spans="1:30" s="23" customFormat="1" x14ac:dyDescent="0.3">
      <c r="A79" s="47"/>
      <c r="B79" s="59" t="s">
        <v>225</v>
      </c>
      <c r="C79" s="40"/>
      <c r="D79" s="70"/>
      <c r="E79" s="70"/>
      <c r="F79" s="70"/>
      <c r="G79" s="108"/>
      <c r="H79" s="70"/>
      <c r="I79" s="40"/>
      <c r="J79" s="109"/>
      <c r="K79" s="40"/>
      <c r="L79" s="40"/>
      <c r="M79" s="40"/>
      <c r="N79" s="40"/>
      <c r="O79" s="40"/>
      <c r="P79" s="40"/>
      <c r="Q79" s="40"/>
      <c r="R79" s="40"/>
      <c r="S79" s="40"/>
      <c r="T79" s="40"/>
      <c r="U79" s="40"/>
      <c r="V79" s="40"/>
      <c r="W79" s="40"/>
      <c r="X79" s="40"/>
      <c r="Y79" s="40"/>
      <c r="Z79" s="238"/>
      <c r="AA79" s="40"/>
      <c r="AB79" s="98">
        <v>0</v>
      </c>
      <c r="AC79" s="43"/>
      <c r="AD79" s="22"/>
    </row>
    <row r="80" spans="1:30" s="23" customFormat="1" x14ac:dyDescent="0.3">
      <c r="A80" s="47"/>
      <c r="B80" s="40" t="s">
        <v>232</v>
      </c>
      <c r="C80" s="40"/>
      <c r="D80" s="70"/>
      <c r="E80" s="70"/>
      <c r="F80" s="70"/>
      <c r="G80" s="108"/>
      <c r="H80" s="70"/>
      <c r="I80" s="40"/>
      <c r="J80" s="109"/>
      <c r="K80" s="40"/>
      <c r="L80" s="40"/>
      <c r="M80" s="40"/>
      <c r="N80" s="40"/>
      <c r="O80" s="40"/>
      <c r="P80" s="40"/>
      <c r="Q80" s="40"/>
      <c r="R80" s="40"/>
      <c r="S80" s="40"/>
      <c r="T80" s="40"/>
      <c r="U80" s="40"/>
      <c r="V80" s="40"/>
      <c r="W80" s="40"/>
      <c r="X80" s="40"/>
      <c r="Y80" s="40"/>
      <c r="Z80" s="238"/>
      <c r="AA80" s="40"/>
      <c r="AB80" s="98">
        <f>+AB167</f>
        <v>0</v>
      </c>
      <c r="AC80" s="43"/>
      <c r="AD80" s="22"/>
    </row>
    <row r="81" spans="1:30" s="23" customFormat="1" x14ac:dyDescent="0.3">
      <c r="A81" s="47"/>
      <c r="B81" s="40" t="s">
        <v>246</v>
      </c>
      <c r="C81" s="40"/>
      <c r="D81" s="70"/>
      <c r="E81" s="70"/>
      <c r="F81" s="70"/>
      <c r="G81" s="108"/>
      <c r="H81" s="70"/>
      <c r="I81" s="40"/>
      <c r="J81" s="109"/>
      <c r="K81" s="40"/>
      <c r="L81" s="40"/>
      <c r="M81" s="40"/>
      <c r="N81" s="40"/>
      <c r="O81" s="40"/>
      <c r="P81" s="40"/>
      <c r="Q81" s="40"/>
      <c r="R81" s="40"/>
      <c r="S81" s="40"/>
      <c r="T81" s="40"/>
      <c r="U81" s="40"/>
      <c r="V81" s="40"/>
      <c r="W81" s="40"/>
      <c r="X81" s="40"/>
      <c r="Y81" s="40"/>
      <c r="Z81" s="238"/>
      <c r="AA81" s="40"/>
      <c r="AB81" s="98">
        <v>0</v>
      </c>
      <c r="AC81" s="43"/>
      <c r="AD81" s="22"/>
    </row>
    <row r="82" spans="1:30" s="23" customFormat="1" x14ac:dyDescent="0.3">
      <c r="A82" s="47"/>
      <c r="B82" s="59" t="s">
        <v>233</v>
      </c>
      <c r="C82" s="40"/>
      <c r="D82" s="70"/>
      <c r="E82" s="70"/>
      <c r="F82" s="70"/>
      <c r="G82" s="108"/>
      <c r="H82" s="70"/>
      <c r="I82" s="40"/>
      <c r="J82" s="109"/>
      <c r="K82" s="40"/>
      <c r="L82" s="40"/>
      <c r="M82" s="40"/>
      <c r="N82" s="40"/>
      <c r="O82" s="40"/>
      <c r="P82" s="40"/>
      <c r="Q82" s="40"/>
      <c r="R82" s="40"/>
      <c r="S82" s="40"/>
      <c r="T82" s="40"/>
      <c r="U82" s="40"/>
      <c r="V82" s="40"/>
      <c r="W82" s="40"/>
      <c r="X82" s="40"/>
      <c r="Y82" s="40"/>
      <c r="Z82" s="238"/>
      <c r="AA82" s="40"/>
      <c r="AB82" s="98">
        <v>1929</v>
      </c>
      <c r="AC82" s="43"/>
      <c r="AD82" s="22"/>
    </row>
    <row r="83" spans="1:30" s="23" customFormat="1" x14ac:dyDescent="0.3">
      <c r="A83" s="47"/>
      <c r="B83" s="40" t="s">
        <v>24</v>
      </c>
      <c r="C83" s="40"/>
      <c r="D83" s="40"/>
      <c r="E83" s="40"/>
      <c r="F83" s="40"/>
      <c r="G83" s="40"/>
      <c r="H83" s="40"/>
      <c r="I83" s="40"/>
      <c r="J83" s="40"/>
      <c r="K83" s="40"/>
      <c r="L83" s="40"/>
      <c r="M83" s="40"/>
      <c r="N83" s="40"/>
      <c r="O83" s="40"/>
      <c r="P83" s="40"/>
      <c r="Q83" s="40"/>
      <c r="R83" s="40"/>
      <c r="S83" s="40"/>
      <c r="T83" s="40"/>
      <c r="U83" s="40"/>
      <c r="V83" s="40"/>
      <c r="W83" s="40"/>
      <c r="X83" s="40"/>
      <c r="Y83" s="40"/>
      <c r="Z83" s="238">
        <f>SUM(Z70:Z82)</f>
        <v>12546</v>
      </c>
      <c r="AA83" s="40"/>
      <c r="AB83" s="97">
        <f>SUM(AB70:AB82)</f>
        <v>8963</v>
      </c>
      <c r="AC83" s="43"/>
      <c r="AD83" s="22"/>
    </row>
    <row r="84" spans="1:30" s="23" customFormat="1" x14ac:dyDescent="0.3">
      <c r="A84" s="47"/>
      <c r="B84" s="40" t="s">
        <v>25</v>
      </c>
      <c r="C84" s="40"/>
      <c r="D84" s="40"/>
      <c r="E84" s="40"/>
      <c r="F84" s="40"/>
      <c r="G84" s="40"/>
      <c r="H84" s="40"/>
      <c r="I84" s="40"/>
      <c r="J84" s="40"/>
      <c r="K84" s="40"/>
      <c r="L84" s="40"/>
      <c r="M84" s="40"/>
      <c r="N84" s="40"/>
      <c r="O84" s="40"/>
      <c r="P84" s="40"/>
      <c r="Q84" s="40"/>
      <c r="R84" s="40"/>
      <c r="S84" s="40"/>
      <c r="T84" s="40"/>
      <c r="U84" s="40"/>
      <c r="V84" s="40"/>
      <c r="W84" s="40"/>
      <c r="X84" s="40"/>
      <c r="Y84" s="40"/>
      <c r="Z84" s="238">
        <f>-AB84</f>
        <v>0</v>
      </c>
      <c r="AA84" s="40"/>
      <c r="AB84" s="98">
        <v>0</v>
      </c>
      <c r="AC84" s="43"/>
      <c r="AD84" s="22"/>
    </row>
    <row r="85" spans="1:30" s="23" customFormat="1" x14ac:dyDescent="0.3">
      <c r="A85" s="47"/>
      <c r="B85" s="40" t="s">
        <v>124</v>
      </c>
      <c r="C85" s="40"/>
      <c r="D85" s="40"/>
      <c r="E85" s="40"/>
      <c r="F85" s="40"/>
      <c r="G85" s="40"/>
      <c r="H85" s="40"/>
      <c r="I85" s="40"/>
      <c r="J85" s="40"/>
      <c r="K85" s="40"/>
      <c r="L85" s="40"/>
      <c r="M85" s="40"/>
      <c r="N85" s="40"/>
      <c r="O85" s="40"/>
      <c r="P85" s="40"/>
      <c r="Q85" s="40"/>
      <c r="R85" s="40"/>
      <c r="S85" s="40"/>
      <c r="T85" s="40"/>
      <c r="U85" s="40"/>
      <c r="V85" s="40"/>
      <c r="W85" s="40"/>
      <c r="X85" s="40"/>
      <c r="Y85" s="40"/>
      <c r="Z85" s="238"/>
      <c r="AA85" s="40"/>
      <c r="AB85" s="98">
        <v>0</v>
      </c>
      <c r="AC85" s="43"/>
      <c r="AD85" s="22"/>
    </row>
    <row r="86" spans="1:30" s="23" customFormat="1" x14ac:dyDescent="0.3">
      <c r="A86" s="47"/>
      <c r="B86" s="40" t="s">
        <v>26</v>
      </c>
      <c r="C86" s="40"/>
      <c r="D86" s="40"/>
      <c r="E86" s="40"/>
      <c r="F86" s="40"/>
      <c r="G86" s="40"/>
      <c r="H86" s="40"/>
      <c r="I86" s="40"/>
      <c r="J86" s="40"/>
      <c r="K86" s="40"/>
      <c r="L86" s="40"/>
      <c r="M86" s="40"/>
      <c r="N86" s="40"/>
      <c r="O86" s="40"/>
      <c r="P86" s="40"/>
      <c r="Q86" s="40"/>
      <c r="R86" s="40"/>
      <c r="S86" s="40"/>
      <c r="T86" s="40"/>
      <c r="U86" s="40"/>
      <c r="V86" s="40"/>
      <c r="W86" s="40"/>
      <c r="X86" s="40"/>
      <c r="Y86" s="40"/>
      <c r="Z86" s="238">
        <f>Z83+Z84</f>
        <v>12546</v>
      </c>
      <c r="AA86" s="40"/>
      <c r="AB86" s="97">
        <f>AB83+AB84+AB85</f>
        <v>8963</v>
      </c>
      <c r="AC86" s="43"/>
      <c r="AD86" s="22"/>
    </row>
    <row r="87" spans="1:30" x14ac:dyDescent="0.3">
      <c r="A87" s="110"/>
      <c r="B87" s="111" t="s">
        <v>27</v>
      </c>
      <c r="C87" s="59"/>
      <c r="D87" s="59"/>
      <c r="E87" s="59"/>
      <c r="F87" s="59"/>
      <c r="G87" s="59"/>
      <c r="H87" s="59"/>
      <c r="I87" s="59"/>
      <c r="J87" s="59"/>
      <c r="K87" s="59"/>
      <c r="L87" s="59"/>
      <c r="M87" s="59"/>
      <c r="N87" s="59"/>
      <c r="O87" s="59"/>
      <c r="P87" s="59"/>
      <c r="Q87" s="59"/>
      <c r="R87" s="59"/>
      <c r="S87" s="59"/>
      <c r="T87" s="59"/>
      <c r="U87" s="59"/>
      <c r="V87" s="59"/>
      <c r="W87" s="59"/>
      <c r="X87" s="59"/>
      <c r="Y87" s="59"/>
      <c r="Z87" s="238"/>
      <c r="AA87" s="112"/>
      <c r="AB87" s="113"/>
      <c r="AC87" s="114"/>
      <c r="AD87" s="5"/>
    </row>
    <row r="88" spans="1:30" x14ac:dyDescent="0.3">
      <c r="A88" s="110">
        <v>1</v>
      </c>
      <c r="B88" s="59" t="s">
        <v>138</v>
      </c>
      <c r="C88" s="59"/>
      <c r="D88" s="59"/>
      <c r="E88" s="59"/>
      <c r="F88" s="59"/>
      <c r="G88" s="59"/>
      <c r="H88" s="59"/>
      <c r="I88" s="59"/>
      <c r="J88" s="59"/>
      <c r="K88" s="59"/>
      <c r="L88" s="59"/>
      <c r="M88" s="59"/>
      <c r="N88" s="59"/>
      <c r="O88" s="59"/>
      <c r="P88" s="59"/>
      <c r="Q88" s="59"/>
      <c r="R88" s="59"/>
      <c r="S88" s="59"/>
      <c r="T88" s="59"/>
      <c r="U88" s="59"/>
      <c r="V88" s="59"/>
      <c r="W88" s="59"/>
      <c r="X88" s="59"/>
      <c r="Y88" s="59"/>
      <c r="Z88" s="238"/>
      <c r="AA88" s="112"/>
      <c r="AB88" s="98">
        <v>0</v>
      </c>
      <c r="AC88" s="114"/>
      <c r="AD88" s="5"/>
    </row>
    <row r="89" spans="1:30" x14ac:dyDescent="0.3">
      <c r="A89" s="110">
        <v>2</v>
      </c>
      <c r="B89" s="59" t="s">
        <v>275</v>
      </c>
      <c r="C89" s="59"/>
      <c r="D89" s="59"/>
      <c r="E89" s="59"/>
      <c r="F89" s="59"/>
      <c r="G89" s="59"/>
      <c r="H89" s="59"/>
      <c r="I89" s="59"/>
      <c r="J89" s="59"/>
      <c r="K89" s="59"/>
      <c r="L89" s="59"/>
      <c r="M89" s="59"/>
      <c r="N89" s="59"/>
      <c r="O89" s="59"/>
      <c r="P89" s="59"/>
      <c r="Q89" s="59"/>
      <c r="R89" s="59"/>
      <c r="S89" s="59"/>
      <c r="T89" s="59"/>
      <c r="U89" s="59"/>
      <c r="V89" s="59"/>
      <c r="W89" s="59"/>
      <c r="X89" s="59"/>
      <c r="Y89" s="59"/>
      <c r="Z89" s="238"/>
      <c r="AA89" s="112"/>
      <c r="AB89" s="98">
        <v>-2</v>
      </c>
      <c r="AC89" s="114"/>
      <c r="AD89" s="5"/>
    </row>
    <row r="90" spans="1:30" x14ac:dyDescent="0.3">
      <c r="A90" s="110">
        <v>3</v>
      </c>
      <c r="B90" s="59" t="s">
        <v>247</v>
      </c>
      <c r="C90" s="59"/>
      <c r="D90" s="59"/>
      <c r="E90" s="59"/>
      <c r="F90" s="59"/>
      <c r="G90" s="59"/>
      <c r="H90" s="59"/>
      <c r="I90" s="59"/>
      <c r="J90" s="59"/>
      <c r="K90" s="59"/>
      <c r="L90" s="59"/>
      <c r="M90" s="59"/>
      <c r="N90" s="59"/>
      <c r="O90" s="59"/>
      <c r="P90" s="59"/>
      <c r="Q90" s="59"/>
      <c r="R90" s="59"/>
      <c r="S90" s="59"/>
      <c r="T90" s="59"/>
      <c r="U90" s="59"/>
      <c r="V90" s="59"/>
      <c r="W90" s="59"/>
      <c r="X90" s="59"/>
      <c r="Y90" s="59"/>
      <c r="Z90" s="238"/>
      <c r="AA90" s="112"/>
      <c r="AB90" s="98">
        <f>-342-10-10</f>
        <v>-362</v>
      </c>
      <c r="AC90" s="114"/>
      <c r="AD90" s="5"/>
    </row>
    <row r="91" spans="1:30" x14ac:dyDescent="0.3">
      <c r="A91" s="110">
        <v>4</v>
      </c>
      <c r="B91" s="59" t="s">
        <v>82</v>
      </c>
      <c r="C91" s="59"/>
      <c r="D91" s="59"/>
      <c r="E91" s="59"/>
      <c r="F91" s="59"/>
      <c r="G91" s="59"/>
      <c r="H91" s="59"/>
      <c r="I91" s="59"/>
      <c r="J91" s="59"/>
      <c r="K91" s="59"/>
      <c r="L91" s="59"/>
      <c r="M91" s="59"/>
      <c r="N91" s="59"/>
      <c r="O91" s="59"/>
      <c r="P91" s="59"/>
      <c r="Q91" s="59"/>
      <c r="R91" s="59"/>
      <c r="S91" s="59"/>
      <c r="T91" s="59"/>
      <c r="U91" s="59"/>
      <c r="V91" s="59"/>
      <c r="W91" s="59"/>
      <c r="X91" s="59"/>
      <c r="Y91" s="59"/>
      <c r="Z91" s="238"/>
      <c r="AA91" s="112"/>
      <c r="AB91" s="98">
        <v>551</v>
      </c>
      <c r="AC91" s="114"/>
      <c r="AD91" s="5"/>
    </row>
    <row r="92" spans="1:30" x14ac:dyDescent="0.3">
      <c r="A92" s="110">
        <v>5</v>
      </c>
      <c r="B92" s="59" t="s">
        <v>129</v>
      </c>
      <c r="C92" s="59"/>
      <c r="D92" s="59"/>
      <c r="E92" s="59"/>
      <c r="F92" s="59"/>
      <c r="G92" s="59"/>
      <c r="H92" s="59"/>
      <c r="I92" s="59"/>
      <c r="J92" s="59"/>
      <c r="K92" s="59"/>
      <c r="L92" s="59"/>
      <c r="M92" s="59"/>
      <c r="N92" s="59"/>
      <c r="O92" s="59"/>
      <c r="P92" s="59"/>
      <c r="Q92" s="59"/>
      <c r="R92" s="59"/>
      <c r="S92" s="59"/>
      <c r="T92" s="59"/>
      <c r="U92" s="59"/>
      <c r="V92" s="59"/>
      <c r="W92" s="59"/>
      <c r="X92" s="59"/>
      <c r="Y92" s="59"/>
      <c r="Z92" s="238"/>
      <c r="AA92" s="112"/>
      <c r="AB92" s="98">
        <v>-2783</v>
      </c>
      <c r="AC92" s="114"/>
      <c r="AD92" s="5"/>
    </row>
    <row r="93" spans="1:30" x14ac:dyDescent="0.3">
      <c r="A93" s="110">
        <v>6</v>
      </c>
      <c r="B93" s="59" t="s">
        <v>150</v>
      </c>
      <c r="C93" s="59"/>
      <c r="D93" s="59"/>
      <c r="E93" s="59"/>
      <c r="F93" s="59"/>
      <c r="G93" s="59"/>
      <c r="H93" s="59"/>
      <c r="I93" s="59"/>
      <c r="J93" s="59"/>
      <c r="K93" s="59"/>
      <c r="L93" s="59"/>
      <c r="M93" s="59"/>
      <c r="N93" s="59"/>
      <c r="O93" s="59"/>
      <c r="P93" s="59"/>
      <c r="Q93" s="59"/>
      <c r="R93" s="59"/>
      <c r="S93" s="59"/>
      <c r="T93" s="59"/>
      <c r="U93" s="59"/>
      <c r="V93" s="59"/>
      <c r="W93" s="59"/>
      <c r="X93" s="59"/>
      <c r="Y93" s="59"/>
      <c r="Z93" s="238"/>
      <c r="AA93" s="112"/>
      <c r="AB93" s="98">
        <v>-243</v>
      </c>
      <c r="AC93" s="114"/>
      <c r="AD93" s="5"/>
    </row>
    <row r="94" spans="1:30" x14ac:dyDescent="0.3">
      <c r="A94" s="110">
        <v>7</v>
      </c>
      <c r="B94" s="59" t="s">
        <v>201</v>
      </c>
      <c r="C94" s="59"/>
      <c r="D94" s="59"/>
      <c r="E94" s="59"/>
      <c r="F94" s="59"/>
      <c r="G94" s="59"/>
      <c r="H94" s="59"/>
      <c r="I94" s="59"/>
      <c r="J94" s="59"/>
      <c r="K94" s="59"/>
      <c r="L94" s="59"/>
      <c r="M94" s="59"/>
      <c r="N94" s="59"/>
      <c r="O94" s="59"/>
      <c r="P94" s="59"/>
      <c r="Q94" s="59"/>
      <c r="R94" s="59"/>
      <c r="S94" s="59"/>
      <c r="T94" s="59"/>
      <c r="U94" s="59"/>
      <c r="V94" s="59"/>
      <c r="W94" s="59"/>
      <c r="X94" s="59"/>
      <c r="Y94" s="59"/>
      <c r="Z94" s="238"/>
      <c r="AA94" s="112"/>
      <c r="AB94" s="98">
        <v>0</v>
      </c>
      <c r="AC94" s="114"/>
      <c r="AD94" s="5"/>
    </row>
    <row r="95" spans="1:30" x14ac:dyDescent="0.3">
      <c r="A95" s="110">
        <v>8</v>
      </c>
      <c r="B95" s="59" t="s">
        <v>151</v>
      </c>
      <c r="C95" s="59"/>
      <c r="D95" s="59"/>
      <c r="E95" s="59"/>
      <c r="F95" s="59"/>
      <c r="G95" s="59"/>
      <c r="H95" s="59"/>
      <c r="I95" s="59"/>
      <c r="J95" s="59"/>
      <c r="K95" s="59"/>
      <c r="L95" s="59"/>
      <c r="M95" s="59"/>
      <c r="N95" s="59"/>
      <c r="O95" s="59"/>
      <c r="P95" s="59"/>
      <c r="Q95" s="59"/>
      <c r="R95" s="59"/>
      <c r="S95" s="59"/>
      <c r="T95" s="59"/>
      <c r="U95" s="59"/>
      <c r="V95" s="59"/>
      <c r="W95" s="59"/>
      <c r="X95" s="59"/>
      <c r="Y95" s="59"/>
      <c r="Z95" s="238"/>
      <c r="AA95" s="112"/>
      <c r="AB95" s="98">
        <v>-149</v>
      </c>
      <c r="AC95" s="114"/>
      <c r="AD95" s="5"/>
    </row>
    <row r="96" spans="1:30" x14ac:dyDescent="0.3">
      <c r="A96" s="110">
        <v>9</v>
      </c>
      <c r="B96" s="59" t="s">
        <v>180</v>
      </c>
      <c r="C96" s="59"/>
      <c r="D96" s="59"/>
      <c r="E96" s="59"/>
      <c r="F96" s="59"/>
      <c r="G96" s="59"/>
      <c r="H96" s="59"/>
      <c r="I96" s="59"/>
      <c r="J96" s="59"/>
      <c r="K96" s="59"/>
      <c r="L96" s="59"/>
      <c r="M96" s="59"/>
      <c r="N96" s="59"/>
      <c r="O96" s="59"/>
      <c r="P96" s="59"/>
      <c r="Q96" s="59"/>
      <c r="R96" s="59"/>
      <c r="S96" s="59"/>
      <c r="T96" s="59"/>
      <c r="U96" s="59"/>
      <c r="V96" s="59"/>
      <c r="W96" s="59"/>
      <c r="X96" s="59"/>
      <c r="Y96" s="59"/>
      <c r="Z96" s="238"/>
      <c r="AA96" s="112"/>
      <c r="AB96" s="98">
        <v>-165</v>
      </c>
      <c r="AC96" s="114"/>
      <c r="AD96" s="5"/>
    </row>
    <row r="97" spans="1:30" x14ac:dyDescent="0.3">
      <c r="A97" s="110">
        <v>10</v>
      </c>
      <c r="B97" s="59" t="s">
        <v>130</v>
      </c>
      <c r="C97" s="59"/>
      <c r="D97" s="59"/>
      <c r="E97" s="59"/>
      <c r="F97" s="59"/>
      <c r="G97" s="59"/>
      <c r="H97" s="59"/>
      <c r="I97" s="59"/>
      <c r="J97" s="59"/>
      <c r="K97" s="59"/>
      <c r="L97" s="59"/>
      <c r="M97" s="59"/>
      <c r="N97" s="59"/>
      <c r="O97" s="59"/>
      <c r="P97" s="59"/>
      <c r="Q97" s="59"/>
      <c r="R97" s="59"/>
      <c r="S97" s="59"/>
      <c r="T97" s="59"/>
      <c r="U97" s="59"/>
      <c r="V97" s="59"/>
      <c r="W97" s="59"/>
      <c r="X97" s="59"/>
      <c r="Y97" s="59"/>
      <c r="Z97" s="238"/>
      <c r="AA97" s="112"/>
      <c r="AB97" s="98">
        <v>0</v>
      </c>
      <c r="AC97" s="114"/>
      <c r="AD97" s="5"/>
    </row>
    <row r="98" spans="1:30" x14ac:dyDescent="0.3">
      <c r="A98" s="110">
        <v>11</v>
      </c>
      <c r="B98" s="59" t="s">
        <v>200</v>
      </c>
      <c r="C98" s="59"/>
      <c r="D98" s="59"/>
      <c r="E98" s="59"/>
      <c r="F98" s="59"/>
      <c r="G98" s="59"/>
      <c r="H98" s="59"/>
      <c r="I98" s="59"/>
      <c r="J98" s="59"/>
      <c r="K98" s="59"/>
      <c r="L98" s="59"/>
      <c r="M98" s="59"/>
      <c r="N98" s="59"/>
      <c r="O98" s="59"/>
      <c r="P98" s="59"/>
      <c r="Q98" s="59"/>
      <c r="R98" s="59"/>
      <c r="S98" s="59"/>
      <c r="T98" s="59"/>
      <c r="U98" s="59"/>
      <c r="V98" s="59"/>
      <c r="W98" s="59"/>
      <c r="X98" s="59"/>
      <c r="Y98" s="59"/>
      <c r="Z98" s="238"/>
      <c r="AA98" s="112"/>
      <c r="AB98" s="98">
        <v>0</v>
      </c>
      <c r="AC98" s="114"/>
      <c r="AD98" s="5"/>
    </row>
    <row r="99" spans="1:30" x14ac:dyDescent="0.3">
      <c r="A99" s="110">
        <v>12</v>
      </c>
      <c r="B99" s="59" t="s">
        <v>33</v>
      </c>
      <c r="C99" s="59"/>
      <c r="D99" s="59"/>
      <c r="E99" s="59"/>
      <c r="F99" s="59"/>
      <c r="G99" s="59"/>
      <c r="H99" s="59"/>
      <c r="I99" s="59"/>
      <c r="J99" s="59"/>
      <c r="K99" s="59"/>
      <c r="L99" s="59"/>
      <c r="M99" s="59"/>
      <c r="N99" s="59"/>
      <c r="O99" s="59"/>
      <c r="P99" s="59"/>
      <c r="Q99" s="59"/>
      <c r="R99" s="59"/>
      <c r="S99" s="59"/>
      <c r="T99" s="59"/>
      <c r="U99" s="59"/>
      <c r="V99" s="59"/>
      <c r="W99" s="59"/>
      <c r="X99" s="59"/>
      <c r="Y99" s="59"/>
      <c r="Z99" s="238">
        <f>-AB99</f>
        <v>0</v>
      </c>
      <c r="AA99" s="112"/>
      <c r="AB99" s="98">
        <v>0</v>
      </c>
      <c r="AC99" s="114"/>
      <c r="AD99" s="5"/>
    </row>
    <row r="100" spans="1:30" x14ac:dyDescent="0.3">
      <c r="A100" s="110">
        <v>13</v>
      </c>
      <c r="B100" s="59" t="s">
        <v>276</v>
      </c>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238"/>
      <c r="AA100" s="112"/>
      <c r="AB100" s="98">
        <v>0</v>
      </c>
      <c r="AC100" s="114"/>
      <c r="AD100" s="5"/>
    </row>
    <row r="101" spans="1:30" x14ac:dyDescent="0.3">
      <c r="A101" s="110">
        <v>14</v>
      </c>
      <c r="B101" s="59" t="s">
        <v>277</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238"/>
      <c r="AA101" s="112"/>
      <c r="AB101" s="98">
        <v>-1800</v>
      </c>
      <c r="AC101" s="114"/>
      <c r="AD101" s="5"/>
    </row>
    <row r="102" spans="1:30" x14ac:dyDescent="0.3">
      <c r="A102" s="110">
        <v>15</v>
      </c>
      <c r="B102" s="59" t="s">
        <v>28</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238"/>
      <c r="AA102" s="112"/>
      <c r="AB102" s="98">
        <v>-26</v>
      </c>
      <c r="AC102" s="114"/>
      <c r="AD102" s="5"/>
    </row>
    <row r="103" spans="1:30" x14ac:dyDescent="0.3">
      <c r="A103" s="110">
        <v>16</v>
      </c>
      <c r="B103" s="59" t="s">
        <v>118</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238"/>
      <c r="AA103" s="112"/>
      <c r="AB103" s="98">
        <v>0</v>
      </c>
      <c r="AC103" s="114"/>
      <c r="AD103" s="5"/>
    </row>
    <row r="104" spans="1:30" x14ac:dyDescent="0.3">
      <c r="A104" s="110">
        <v>17</v>
      </c>
      <c r="B104" s="59" t="s">
        <v>188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238"/>
      <c r="AA104" s="112"/>
      <c r="AB104" s="98">
        <v>0</v>
      </c>
      <c r="AC104" s="114"/>
      <c r="AD104" s="5"/>
    </row>
    <row r="105" spans="1:30" x14ac:dyDescent="0.3">
      <c r="A105" s="110">
        <v>18</v>
      </c>
      <c r="B105" s="59" t="s">
        <v>162</v>
      </c>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238"/>
      <c r="AA105" s="112"/>
      <c r="AB105" s="98">
        <v>-238</v>
      </c>
      <c r="AC105" s="114"/>
      <c r="AD105" s="5"/>
    </row>
    <row r="106" spans="1:30" x14ac:dyDescent="0.3">
      <c r="A106" s="110">
        <v>19</v>
      </c>
      <c r="B106" s="59" t="s">
        <v>257</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238"/>
      <c r="AA106" s="112"/>
      <c r="AB106" s="98">
        <v>-121</v>
      </c>
      <c r="AC106" s="114"/>
      <c r="AD106" s="5"/>
    </row>
    <row r="107" spans="1:30" x14ac:dyDescent="0.3">
      <c r="A107" s="110">
        <v>20</v>
      </c>
      <c r="B107" s="59" t="s">
        <v>258</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238"/>
      <c r="AA107" s="112"/>
      <c r="AB107" s="98">
        <v>-386</v>
      </c>
      <c r="AC107" s="114"/>
      <c r="AD107" s="5"/>
    </row>
    <row r="108" spans="1:30" x14ac:dyDescent="0.3">
      <c r="A108" s="110">
        <v>21</v>
      </c>
      <c r="B108" s="59" t="s">
        <v>259</v>
      </c>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238"/>
      <c r="AA108" s="112"/>
      <c r="AB108" s="98">
        <v>0</v>
      </c>
      <c r="AC108" s="114"/>
      <c r="AD108" s="5"/>
    </row>
    <row r="109" spans="1:30" x14ac:dyDescent="0.3">
      <c r="A109" s="110">
        <v>22</v>
      </c>
      <c r="B109" s="59" t="s">
        <v>260</v>
      </c>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238"/>
      <c r="AA109" s="112"/>
      <c r="AB109" s="98">
        <v>0</v>
      </c>
      <c r="AC109" s="114"/>
      <c r="AD109" s="5"/>
    </row>
    <row r="110" spans="1:30" x14ac:dyDescent="0.3">
      <c r="A110" s="110">
        <v>23</v>
      </c>
      <c r="B110" s="59" t="s">
        <v>131</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238"/>
      <c r="AA110" s="112"/>
      <c r="AB110" s="98">
        <v>0</v>
      </c>
      <c r="AC110" s="114"/>
      <c r="AD110" s="5"/>
    </row>
    <row r="111" spans="1:30" x14ac:dyDescent="0.3">
      <c r="A111" s="110">
        <v>24</v>
      </c>
      <c r="B111" s="59" t="s">
        <v>137</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238"/>
      <c r="AA111" s="112"/>
      <c r="AB111" s="98">
        <f>-12-71</f>
        <v>-83</v>
      </c>
      <c r="AC111" s="114"/>
      <c r="AD111" s="5"/>
    </row>
    <row r="112" spans="1:30" x14ac:dyDescent="0.3">
      <c r="A112" s="110">
        <v>25</v>
      </c>
      <c r="B112" s="59" t="s">
        <v>255</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238"/>
      <c r="AA112" s="112"/>
      <c r="AB112" s="98">
        <v>-5</v>
      </c>
      <c r="AC112" s="114"/>
      <c r="AD112" s="5"/>
    </row>
    <row r="113" spans="1:30" x14ac:dyDescent="0.3">
      <c r="A113" s="110">
        <v>26</v>
      </c>
      <c r="B113" s="59" t="s">
        <v>226</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238"/>
      <c r="AA113" s="112"/>
      <c r="AB113" s="98">
        <v>-3151</v>
      </c>
      <c r="AC113" s="114"/>
      <c r="AD113" s="5"/>
    </row>
    <row r="114" spans="1:30" x14ac:dyDescent="0.3">
      <c r="A114" s="110"/>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238"/>
      <c r="AA114" s="112"/>
      <c r="AB114" s="113"/>
      <c r="AC114" s="114"/>
      <c r="AD114" s="5"/>
    </row>
    <row r="115" spans="1:30" x14ac:dyDescent="0.3">
      <c r="A115" s="110"/>
      <c r="B115" s="111" t="s">
        <v>29</v>
      </c>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112"/>
      <c r="AB115" s="116"/>
      <c r="AC115" s="114"/>
      <c r="AD115" s="5"/>
    </row>
    <row r="116" spans="1:30" x14ac:dyDescent="0.3">
      <c r="A116" s="110"/>
      <c r="B116" s="40" t="s">
        <v>227</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v>0</v>
      </c>
      <c r="AA116" s="112"/>
      <c r="AB116" s="116"/>
      <c r="AC116" s="114"/>
      <c r="AD116" s="5"/>
    </row>
    <row r="117" spans="1:30" s="23" customFormat="1" x14ac:dyDescent="0.3">
      <c r="A117" s="47"/>
      <c r="B117" s="40" t="s">
        <v>156</v>
      </c>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238">
        <v>0</v>
      </c>
      <c r="AA117" s="97"/>
      <c r="AB117" s="98"/>
      <c r="AC117" s="43"/>
      <c r="AD117" s="22"/>
    </row>
    <row r="118" spans="1:30" s="23" customFormat="1" x14ac:dyDescent="0.3">
      <c r="A118" s="47"/>
      <c r="B118" s="40" t="s">
        <v>157</v>
      </c>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238">
        <v>0</v>
      </c>
      <c r="AA118" s="97"/>
      <c r="AB118" s="98"/>
      <c r="AC118" s="43"/>
      <c r="AD118" s="22"/>
    </row>
    <row r="119" spans="1:30" s="23" customFormat="1" x14ac:dyDescent="0.3">
      <c r="A119" s="47"/>
      <c r="B119" s="40" t="s">
        <v>262</v>
      </c>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238">
        <v>0</v>
      </c>
      <c r="AA119" s="97"/>
      <c r="AB119" s="98"/>
      <c r="AC119" s="43"/>
      <c r="AD119" s="22"/>
    </row>
    <row r="120" spans="1:30" s="23" customFormat="1" x14ac:dyDescent="0.3">
      <c r="A120" s="47"/>
      <c r="B120" s="40" t="s">
        <v>263</v>
      </c>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238">
        <v>0</v>
      </c>
      <c r="AA120" s="97"/>
      <c r="AB120" s="98"/>
      <c r="AC120" s="43"/>
      <c r="AD120" s="22"/>
    </row>
    <row r="121" spans="1:30" s="23" customFormat="1" x14ac:dyDescent="0.3">
      <c r="A121" s="47"/>
      <c r="B121" s="40" t="s">
        <v>312</v>
      </c>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238">
        <v>-12544</v>
      </c>
      <c r="AA121" s="97"/>
      <c r="AB121" s="98"/>
      <c r="AC121" s="43"/>
      <c r="AD121" s="22"/>
    </row>
    <row r="122" spans="1:30" s="23" customFormat="1" x14ac:dyDescent="0.3">
      <c r="A122" s="47"/>
      <c r="B122" s="40" t="s">
        <v>142</v>
      </c>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238">
        <v>0</v>
      </c>
      <c r="AA122" s="97"/>
      <c r="AB122" s="98"/>
      <c r="AC122" s="43"/>
      <c r="AD122" s="22"/>
    </row>
    <row r="123" spans="1:30" s="23" customFormat="1" x14ac:dyDescent="0.3">
      <c r="A123" s="47"/>
      <c r="B123" s="40" t="s">
        <v>143</v>
      </c>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238">
        <v>0</v>
      </c>
      <c r="AA123" s="97"/>
      <c r="AB123" s="98"/>
      <c r="AC123" s="43"/>
      <c r="AD123" s="22"/>
    </row>
    <row r="124" spans="1:30" s="23" customFormat="1" x14ac:dyDescent="0.3">
      <c r="A124" s="47"/>
      <c r="B124" s="40" t="s">
        <v>173</v>
      </c>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238">
        <v>0</v>
      </c>
      <c r="AA124" s="97"/>
      <c r="AB124" s="98"/>
      <c r="AC124" s="43"/>
      <c r="AD124" s="22"/>
    </row>
    <row r="125" spans="1:30" s="23" customFormat="1" x14ac:dyDescent="0.3">
      <c r="A125" s="47"/>
      <c r="B125" s="40" t="s">
        <v>163</v>
      </c>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238">
        <v>0</v>
      </c>
      <c r="AA125" s="97"/>
      <c r="AB125" s="98"/>
      <c r="AC125" s="43"/>
      <c r="AD125" s="22"/>
    </row>
    <row r="126" spans="1:30" s="23" customFormat="1" x14ac:dyDescent="0.3">
      <c r="A126" s="47"/>
      <c r="B126" s="40" t="s">
        <v>189</v>
      </c>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238">
        <v>0</v>
      </c>
      <c r="AA126" s="97"/>
      <c r="AB126" s="98"/>
      <c r="AC126" s="43"/>
      <c r="AD126" s="22"/>
    </row>
    <row r="127" spans="1:30" s="23" customFormat="1" x14ac:dyDescent="0.3">
      <c r="A127" s="47"/>
      <c r="B127" s="40" t="s">
        <v>30</v>
      </c>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238">
        <f>SUM(Z116:Z126)</f>
        <v>-12544</v>
      </c>
      <c r="AA127" s="97"/>
      <c r="AB127" s="97">
        <f>SUM(AB87:AB125)</f>
        <v>-8963</v>
      </c>
      <c r="AC127" s="43"/>
      <c r="AD127" s="22"/>
    </row>
    <row r="128" spans="1:30" s="23" customFormat="1" x14ac:dyDescent="0.3">
      <c r="A128" s="47"/>
      <c r="B128" s="40" t="s">
        <v>31</v>
      </c>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238">
        <f>Z86+Z127+Z99</f>
        <v>2</v>
      </c>
      <c r="AA128" s="97"/>
      <c r="AB128" s="97">
        <f>AB86+AB127</f>
        <v>0</v>
      </c>
      <c r="AC128" s="43"/>
      <c r="AD128" s="22"/>
    </row>
    <row r="129" spans="1:30" s="23" customFormat="1" x14ac:dyDescent="0.3">
      <c r="A129" s="18"/>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106"/>
      <c r="AA129" s="106"/>
      <c r="AB129" s="106"/>
      <c r="AC129" s="21"/>
      <c r="AD129" s="22"/>
    </row>
    <row r="130" spans="1:30" s="23" customFormat="1" x14ac:dyDescent="0.3">
      <c r="A130" s="18"/>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117"/>
      <c r="AC130" s="21"/>
      <c r="AD130" s="22"/>
    </row>
    <row r="131" spans="1:30" s="23" customFormat="1" ht="18.600000000000001" thickBot="1" x14ac:dyDescent="0.4">
      <c r="A131" s="83"/>
      <c r="B131" s="84" t="str">
        <f>B53</f>
        <v>PM27 INVESTOR REPORT QUARTER ENDING JUNE 2022</v>
      </c>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c r="AA131" s="85"/>
      <c r="AB131" s="118"/>
      <c r="AC131" s="87"/>
      <c r="AD131" s="22"/>
    </row>
    <row r="132" spans="1:30" x14ac:dyDescent="0.3">
      <c r="A132" s="119"/>
      <c r="B132" s="120" t="s">
        <v>32</v>
      </c>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c r="AB132" s="122"/>
      <c r="AC132" s="123"/>
      <c r="AD132" s="5"/>
    </row>
    <row r="133" spans="1:30" x14ac:dyDescent="0.3">
      <c r="A133" s="7"/>
      <c r="B133" s="124"/>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1"/>
      <c r="AC133" s="10"/>
      <c r="AD133" s="5"/>
    </row>
    <row r="134" spans="1:30" x14ac:dyDescent="0.3">
      <c r="A134" s="7"/>
      <c r="B134" s="125" t="s">
        <v>192</v>
      </c>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1"/>
      <c r="AC134" s="10"/>
      <c r="AD134" s="5"/>
    </row>
    <row r="135" spans="1:30" s="23" customFormat="1" x14ac:dyDescent="0.3">
      <c r="A135" s="47"/>
      <c r="B135" s="40" t="s">
        <v>199</v>
      </c>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98">
        <f>SUM(F29:H29)*1.5%</f>
        <v>10351.994999999999</v>
      </c>
      <c r="AC135" s="43"/>
      <c r="AD135" s="22"/>
    </row>
    <row r="136" spans="1:30" s="23" customFormat="1" x14ac:dyDescent="0.3">
      <c r="A136" s="47"/>
      <c r="B136" s="40" t="s">
        <v>204</v>
      </c>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98">
        <f>+'March 2022'!AB143</f>
        <v>9606.994999999999</v>
      </c>
      <c r="AC136" s="43"/>
      <c r="AD136" s="22"/>
    </row>
    <row r="137" spans="1:30" s="23" customFormat="1" x14ac:dyDescent="0.3">
      <c r="A137" s="47"/>
      <c r="B137" s="40" t="s">
        <v>248</v>
      </c>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98"/>
      <c r="AC137" s="43"/>
      <c r="AD137" s="22"/>
    </row>
    <row r="138" spans="1:30" s="23" customFormat="1" x14ac:dyDescent="0.3">
      <c r="A138" s="47"/>
      <c r="B138" s="40" t="s">
        <v>250</v>
      </c>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98">
        <v>0</v>
      </c>
      <c r="AC138" s="43"/>
      <c r="AD138" s="22"/>
    </row>
    <row r="139" spans="1:30" s="23" customFormat="1" x14ac:dyDescent="0.3">
      <c r="A139" s="47"/>
      <c r="B139" s="40" t="s">
        <v>198</v>
      </c>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98">
        <v>0</v>
      </c>
      <c r="AC139" s="43"/>
      <c r="AD139" s="22"/>
    </row>
    <row r="140" spans="1:30" s="23" customFormat="1" x14ac:dyDescent="0.3">
      <c r="A140" s="47"/>
      <c r="B140" s="40" t="s">
        <v>150</v>
      </c>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98">
        <v>0</v>
      </c>
      <c r="AC140" s="43"/>
      <c r="AD140" s="22"/>
    </row>
    <row r="141" spans="1:30" s="23" customFormat="1" x14ac:dyDescent="0.3">
      <c r="A141" s="47"/>
      <c r="B141" s="40" t="s">
        <v>87</v>
      </c>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98">
        <v>0</v>
      </c>
      <c r="AC141" s="43"/>
      <c r="AD141" s="22"/>
    </row>
    <row r="142" spans="1:30" s="23" customFormat="1" x14ac:dyDescent="0.3">
      <c r="A142" s="47"/>
      <c r="B142" s="40" t="s">
        <v>251</v>
      </c>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98">
        <v>-386</v>
      </c>
      <c r="AC142" s="43"/>
      <c r="AD142" s="22"/>
    </row>
    <row r="143" spans="1:30" s="23" customFormat="1" x14ac:dyDescent="0.3">
      <c r="A143" s="47"/>
      <c r="B143" s="40" t="s">
        <v>203</v>
      </c>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98">
        <f>SUM(AB136:AB142)</f>
        <v>9220.994999999999</v>
      </c>
      <c r="AC143" s="43"/>
      <c r="AD143" s="22"/>
    </row>
    <row r="144" spans="1:30" x14ac:dyDescent="0.3">
      <c r="A144" s="7"/>
      <c r="B144" s="124"/>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1"/>
      <c r="AC144" s="10"/>
      <c r="AD144" s="5"/>
    </row>
    <row r="145" spans="1:30" x14ac:dyDescent="0.3">
      <c r="A145" s="7"/>
      <c r="B145" s="125" t="s">
        <v>190</v>
      </c>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1"/>
      <c r="AC145" s="10"/>
      <c r="AD145" s="5"/>
    </row>
    <row r="146" spans="1:30" s="23" customFormat="1" x14ac:dyDescent="0.3">
      <c r="A146" s="47"/>
      <c r="B146" s="59" t="s">
        <v>191</v>
      </c>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98">
        <f>SUM(J29:L29)*1.5%</f>
        <v>684.42</v>
      </c>
      <c r="AC146" s="43"/>
      <c r="AD146" s="22"/>
    </row>
    <row r="147" spans="1:30" s="23" customFormat="1" x14ac:dyDescent="0.3">
      <c r="A147" s="47"/>
      <c r="B147" s="59" t="s">
        <v>205</v>
      </c>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98">
        <f>SUM(J29:L29)*0.015</f>
        <v>684.42</v>
      </c>
      <c r="AC147" s="43"/>
      <c r="AD147" s="22"/>
    </row>
    <row r="148" spans="1:30" s="23" customFormat="1" x14ac:dyDescent="0.3">
      <c r="A148" s="47"/>
      <c r="B148" s="59" t="s">
        <v>93</v>
      </c>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98"/>
      <c r="AC148" s="43"/>
      <c r="AD148" s="22"/>
    </row>
    <row r="149" spans="1:30" s="23" customFormat="1" x14ac:dyDescent="0.3">
      <c r="A149" s="47"/>
      <c r="B149" s="40" t="s">
        <v>250</v>
      </c>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98">
        <v>0</v>
      </c>
      <c r="AC149" s="43"/>
      <c r="AD149" s="22"/>
    </row>
    <row r="150" spans="1:30" s="23" customFormat="1" x14ac:dyDescent="0.3">
      <c r="A150" s="47"/>
      <c r="B150" s="59" t="s">
        <v>129</v>
      </c>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98">
        <v>0</v>
      </c>
      <c r="AC150" s="43"/>
      <c r="AD150" s="22"/>
    </row>
    <row r="151" spans="1:30" s="23" customFormat="1" x14ac:dyDescent="0.3">
      <c r="A151" s="47"/>
      <c r="B151" s="59" t="s">
        <v>150</v>
      </c>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98">
        <v>0</v>
      </c>
      <c r="AC151" s="43"/>
      <c r="AD151" s="22"/>
    </row>
    <row r="152" spans="1:30" s="23" customFormat="1" x14ac:dyDescent="0.3">
      <c r="A152" s="47"/>
      <c r="B152" s="59" t="s">
        <v>151</v>
      </c>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98">
        <v>0</v>
      </c>
      <c r="AC152" s="43"/>
      <c r="AD152" s="22"/>
    </row>
    <row r="153" spans="1:30" s="23" customFormat="1" x14ac:dyDescent="0.3">
      <c r="A153" s="47"/>
      <c r="B153" s="59" t="s">
        <v>180</v>
      </c>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98">
        <v>0</v>
      </c>
      <c r="AC153" s="43"/>
      <c r="AD153" s="22"/>
    </row>
    <row r="154" spans="1:30" s="23" customFormat="1" x14ac:dyDescent="0.3">
      <c r="A154" s="47"/>
      <c r="B154" s="59" t="s">
        <v>87</v>
      </c>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98">
        <v>0</v>
      </c>
      <c r="AC154" s="43"/>
      <c r="AD154" s="22"/>
    </row>
    <row r="155" spans="1:30" s="23" customFormat="1" x14ac:dyDescent="0.3">
      <c r="A155" s="47"/>
      <c r="B155" s="40" t="s">
        <v>251</v>
      </c>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98">
        <v>0</v>
      </c>
      <c r="AC155" s="43"/>
      <c r="AD155" s="22"/>
    </row>
    <row r="156" spans="1:30" s="23" customFormat="1" x14ac:dyDescent="0.3">
      <c r="A156" s="47"/>
      <c r="B156" s="59" t="s">
        <v>202</v>
      </c>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98">
        <f>SUM(AB147:AB155)</f>
        <v>684.42</v>
      </c>
      <c r="AC156" s="43"/>
      <c r="AD156" s="22"/>
    </row>
    <row r="157" spans="1:30" x14ac:dyDescent="0.3">
      <c r="A157" s="7"/>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126"/>
      <c r="AC157" s="10"/>
      <c r="AD157" s="5"/>
    </row>
    <row r="158" spans="1:30" x14ac:dyDescent="0.3">
      <c r="A158" s="7"/>
      <c r="B158" s="125" t="s">
        <v>174</v>
      </c>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8"/>
      <c r="AC158" s="10"/>
      <c r="AD158" s="5"/>
    </row>
    <row r="159" spans="1:30" s="23" customFormat="1" x14ac:dyDescent="0.3">
      <c r="A159" s="129"/>
      <c r="B159" s="230" t="s">
        <v>281</v>
      </c>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1">
        <f>+'March 2022'!AB162</f>
        <v>0</v>
      </c>
      <c r="AC159" s="132"/>
      <c r="AD159" s="22"/>
    </row>
    <row r="160" spans="1:30" s="23" customFormat="1" x14ac:dyDescent="0.3">
      <c r="A160" s="129"/>
      <c r="B160" s="230" t="s">
        <v>175</v>
      </c>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1">
        <f>X64</f>
        <v>0</v>
      </c>
      <c r="AC160" s="132"/>
      <c r="AD160" s="22"/>
    </row>
    <row r="161" spans="1:262" s="23" customFormat="1" x14ac:dyDescent="0.3">
      <c r="A161" s="129"/>
      <c r="B161" s="230" t="s">
        <v>249</v>
      </c>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1">
        <v>0</v>
      </c>
      <c r="AC161" s="132"/>
      <c r="AD161" s="22"/>
    </row>
    <row r="162" spans="1:262" s="23" customFormat="1" x14ac:dyDescent="0.3">
      <c r="A162" s="129"/>
      <c r="B162" s="230" t="s">
        <v>176</v>
      </c>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1">
        <f>AB159+AB160+AB161</f>
        <v>0</v>
      </c>
      <c r="AC162" s="132"/>
      <c r="AD162" s="22"/>
    </row>
    <row r="163" spans="1:262" x14ac:dyDescent="0.3">
      <c r="A163" s="7"/>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126"/>
      <c r="AC163" s="10"/>
      <c r="AD163" s="5"/>
    </row>
    <row r="164" spans="1:262" x14ac:dyDescent="0.3">
      <c r="A164" s="7"/>
      <c r="B164" s="125" t="s">
        <v>34</v>
      </c>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133"/>
      <c r="AC164" s="10"/>
      <c r="AD164" s="5"/>
    </row>
    <row r="165" spans="1:262" s="23" customFormat="1" x14ac:dyDescent="0.3">
      <c r="A165" s="47"/>
      <c r="B165" s="40" t="s">
        <v>35</v>
      </c>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98">
        <v>0</v>
      </c>
      <c r="AC165" s="43"/>
      <c r="AD165" s="22"/>
    </row>
    <row r="166" spans="1:262" s="23" customFormat="1" x14ac:dyDescent="0.3">
      <c r="A166" s="47"/>
      <c r="B166" s="40" t="s">
        <v>36</v>
      </c>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98">
        <v>0</v>
      </c>
      <c r="AC166" s="43"/>
      <c r="AD166" s="22"/>
    </row>
    <row r="167" spans="1:262" s="23" customFormat="1" x14ac:dyDescent="0.3">
      <c r="A167" s="47"/>
      <c r="B167" s="40" t="s">
        <v>219</v>
      </c>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98">
        <v>0</v>
      </c>
      <c r="AC167" s="43"/>
      <c r="AD167" s="22"/>
    </row>
    <row r="168" spans="1:262" s="23" customFormat="1" x14ac:dyDescent="0.3">
      <c r="A168" s="47"/>
      <c r="B168" s="40" t="s">
        <v>37</v>
      </c>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98">
        <f>+AB165+AB166+AB167</f>
        <v>0</v>
      </c>
      <c r="AC168" s="43"/>
      <c r="AD168" s="22"/>
    </row>
    <row r="169" spans="1:262" s="23" customFormat="1" x14ac:dyDescent="0.3">
      <c r="A169" s="47"/>
      <c r="B169" s="40" t="s">
        <v>268</v>
      </c>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98">
        <f>+AB99</f>
        <v>0</v>
      </c>
      <c r="AC169" s="43"/>
      <c r="AD169" s="22"/>
    </row>
    <row r="170" spans="1:262" s="23" customFormat="1" x14ac:dyDescent="0.3">
      <c r="A170" s="47"/>
      <c r="B170" s="40" t="s">
        <v>38</v>
      </c>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98">
        <f>AB168+AB169</f>
        <v>0</v>
      </c>
      <c r="AC170" s="43"/>
      <c r="AD170" s="22"/>
    </row>
    <row r="171" spans="1:262" s="23" customFormat="1" x14ac:dyDescent="0.3">
      <c r="A171" s="47"/>
      <c r="B171" s="40" t="s">
        <v>124</v>
      </c>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98">
        <f>-AB85</f>
        <v>0</v>
      </c>
      <c r="AC171" s="43"/>
      <c r="AD171" s="22"/>
    </row>
    <row r="172" spans="1:262" ht="16.2" thickBot="1" x14ac:dyDescent="0.35">
      <c r="A172" s="7"/>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126"/>
      <c r="AC172" s="10"/>
      <c r="AD172" s="5"/>
    </row>
    <row r="173" spans="1:262" x14ac:dyDescent="0.3">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134"/>
      <c r="AC173" s="4"/>
      <c r="AD173" s="5"/>
    </row>
    <row r="174" spans="1:262" s="136" customFormat="1" x14ac:dyDescent="0.3">
      <c r="A174" s="7"/>
      <c r="B174" s="125" t="s">
        <v>193</v>
      </c>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135"/>
      <c r="AC174" s="10"/>
      <c r="AD174" s="5"/>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row>
    <row r="175" spans="1:262" s="137" customFormat="1" x14ac:dyDescent="0.3">
      <c r="A175" s="47"/>
      <c r="B175" s="40" t="s">
        <v>332</v>
      </c>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98">
        <v>0</v>
      </c>
      <c r="AC175" s="43"/>
      <c r="AD175" s="22"/>
      <c r="AE175" s="23"/>
      <c r="AF175" s="23"/>
      <c r="AG175" s="23"/>
      <c r="AH175" s="23"/>
      <c r="AI175" s="23"/>
      <c r="AJ175" s="23"/>
      <c r="AK175" s="23"/>
      <c r="AL175" s="23"/>
      <c r="AM175" s="23"/>
      <c r="AN175" s="23"/>
      <c r="AO175" s="23"/>
      <c r="AP175" s="23"/>
      <c r="AQ175" s="23"/>
      <c r="AR175" s="23"/>
      <c r="AS175" s="23"/>
      <c r="AT175" s="23"/>
      <c r="AU175" s="23"/>
      <c r="AV175" s="23"/>
      <c r="AW175" s="23"/>
      <c r="AX175" s="23"/>
      <c r="AY175" s="23"/>
      <c r="AZ175" s="23"/>
      <c r="BA175" s="23"/>
      <c r="BB175" s="23"/>
      <c r="BC175" s="23"/>
      <c r="BD175" s="23"/>
      <c r="BE175" s="23"/>
      <c r="BF175" s="23"/>
      <c r="BG175" s="23"/>
      <c r="BH175" s="23"/>
      <c r="BI175" s="23"/>
      <c r="BJ175" s="23"/>
      <c r="BK175" s="23"/>
      <c r="BL175" s="23"/>
      <c r="BM175" s="23"/>
      <c r="BN175" s="23"/>
      <c r="BO175" s="23"/>
      <c r="BP175" s="23"/>
      <c r="BQ175" s="23"/>
      <c r="BR175" s="23"/>
      <c r="BS175" s="23"/>
      <c r="BT175" s="23"/>
      <c r="BU175" s="23"/>
      <c r="BV175" s="23"/>
      <c r="BW175" s="23"/>
      <c r="BX175" s="23"/>
      <c r="BY175" s="23"/>
      <c r="BZ175" s="23"/>
      <c r="CA175" s="23"/>
      <c r="CB175" s="23"/>
      <c r="CC175" s="23"/>
      <c r="CD175" s="23"/>
      <c r="CE175" s="23"/>
      <c r="CF175" s="23"/>
      <c r="CG175" s="23"/>
      <c r="CH175" s="23"/>
      <c r="CI175" s="23"/>
      <c r="CJ175" s="23"/>
      <c r="CK175" s="23"/>
      <c r="CL175" s="23"/>
      <c r="CM175" s="23"/>
      <c r="CN175" s="23"/>
      <c r="CO175" s="23"/>
      <c r="CP175" s="23"/>
      <c r="CQ175" s="23"/>
      <c r="CR175" s="23"/>
      <c r="CS175" s="23"/>
      <c r="CT175" s="23"/>
      <c r="CU175" s="23"/>
      <c r="CV175" s="23"/>
      <c r="CW175" s="23"/>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c r="EB175" s="23"/>
      <c r="EC175" s="23"/>
      <c r="ED175" s="23"/>
      <c r="EE175" s="23"/>
      <c r="EF175" s="23"/>
      <c r="EG175" s="23"/>
      <c r="EH175" s="23"/>
      <c r="EI175" s="23"/>
      <c r="EJ175" s="23"/>
      <c r="EK175" s="23"/>
      <c r="EL175" s="23"/>
      <c r="EM175" s="23"/>
      <c r="EN175" s="23"/>
      <c r="EO175" s="23"/>
      <c r="EP175" s="23"/>
      <c r="EQ175" s="23"/>
      <c r="ER175" s="23"/>
      <c r="ES175" s="23"/>
      <c r="ET175" s="23"/>
      <c r="EU175" s="23"/>
      <c r="EV175" s="23"/>
      <c r="EW175" s="23"/>
      <c r="EX175" s="23"/>
      <c r="EY175" s="23"/>
      <c r="EZ175" s="23"/>
      <c r="FA175" s="23"/>
      <c r="FB175" s="23"/>
      <c r="FC175" s="23"/>
      <c r="FD175" s="23"/>
      <c r="FE175" s="23"/>
      <c r="FF175" s="23"/>
      <c r="FG175" s="23"/>
      <c r="FH175" s="23"/>
      <c r="FI175" s="23"/>
      <c r="FJ175" s="23"/>
      <c r="FK175" s="23"/>
      <c r="FL175" s="23"/>
      <c r="FM175" s="23"/>
      <c r="FN175" s="23"/>
      <c r="FO175" s="23"/>
      <c r="FP175" s="23"/>
      <c r="FQ175" s="23"/>
      <c r="FR175" s="23"/>
      <c r="FS175" s="23"/>
      <c r="FT175" s="23"/>
      <c r="FU175" s="23"/>
      <c r="FV175" s="23"/>
      <c r="FW175" s="23"/>
      <c r="FX175" s="23"/>
      <c r="FY175" s="23"/>
      <c r="FZ175" s="23"/>
      <c r="GA175" s="23"/>
      <c r="GB175" s="23"/>
      <c r="GC175" s="23"/>
      <c r="GD175" s="23"/>
      <c r="GE175" s="23"/>
      <c r="GF175" s="23"/>
      <c r="GG175" s="23"/>
      <c r="GH175" s="23"/>
      <c r="GI175" s="23"/>
      <c r="GJ175" s="23"/>
      <c r="GK175" s="23"/>
      <c r="GL175" s="23"/>
      <c r="GM175" s="23"/>
      <c r="GN175" s="23"/>
      <c r="GO175" s="23"/>
      <c r="GP175" s="23"/>
      <c r="GQ175" s="23"/>
      <c r="GR175" s="23"/>
      <c r="GS175" s="23"/>
      <c r="GT175" s="23"/>
      <c r="GU175" s="23"/>
      <c r="GV175" s="23"/>
      <c r="GW175" s="23"/>
      <c r="GX175" s="23"/>
      <c r="GY175" s="23"/>
      <c r="GZ175" s="23"/>
      <c r="HA175" s="23"/>
      <c r="HB175" s="23"/>
      <c r="HC175" s="23"/>
      <c r="HD175" s="23"/>
      <c r="HE175" s="23"/>
      <c r="HF175" s="23"/>
      <c r="HG175" s="23"/>
      <c r="HH175" s="23"/>
      <c r="HI175" s="23"/>
      <c r="HJ175" s="23"/>
      <c r="HK175" s="23"/>
      <c r="HL175" s="23"/>
      <c r="HM175" s="23"/>
      <c r="HN175" s="23"/>
      <c r="HO175" s="23"/>
      <c r="HP175" s="23"/>
      <c r="HQ175" s="23"/>
      <c r="HR175" s="23"/>
      <c r="HS175" s="23"/>
      <c r="HT175" s="23"/>
      <c r="HU175" s="23"/>
      <c r="HV175" s="23"/>
      <c r="HW175" s="23"/>
      <c r="HX175" s="23"/>
      <c r="HY175" s="23"/>
      <c r="HZ175" s="23"/>
      <c r="IA175" s="23"/>
      <c r="IB175" s="23"/>
      <c r="IC175" s="23"/>
      <c r="ID175" s="23"/>
      <c r="IE175" s="23"/>
      <c r="IF175" s="23"/>
      <c r="IG175" s="23"/>
      <c r="IH175" s="23"/>
      <c r="II175" s="23"/>
      <c r="IJ175" s="23"/>
      <c r="IK175" s="23"/>
      <c r="IL175" s="23"/>
      <c r="IM175" s="23"/>
      <c r="IN175" s="23"/>
      <c r="IO175" s="23"/>
      <c r="IP175" s="23"/>
      <c r="IQ175" s="23"/>
      <c r="IR175" s="23"/>
      <c r="IS175" s="23"/>
      <c r="IT175" s="23"/>
      <c r="IU175" s="23"/>
      <c r="IV175" s="23"/>
      <c r="IW175" s="23"/>
      <c r="IX175" s="23"/>
      <c r="IY175" s="23"/>
      <c r="IZ175" s="23"/>
      <c r="JA175" s="23"/>
      <c r="JB175" s="23"/>
    </row>
    <row r="176" spans="1:262" s="137" customFormat="1" x14ac:dyDescent="0.3">
      <c r="A176" s="47"/>
      <c r="B176" s="40" t="s">
        <v>210</v>
      </c>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98">
        <f>+'March 2022'!AB179</f>
        <v>0</v>
      </c>
      <c r="AC176" s="43"/>
      <c r="AD176" s="22"/>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c r="EF176" s="23"/>
      <c r="EG176" s="23"/>
      <c r="EH176" s="23"/>
      <c r="EI176" s="23"/>
      <c r="EJ176" s="23"/>
      <c r="EK176" s="23"/>
      <c r="EL176" s="23"/>
      <c r="EM176" s="23"/>
      <c r="EN176" s="23"/>
      <c r="EO176" s="23"/>
      <c r="EP176" s="23"/>
      <c r="EQ176" s="23"/>
      <c r="ER176" s="23"/>
      <c r="ES176" s="23"/>
      <c r="ET176" s="23"/>
      <c r="EU176" s="23"/>
      <c r="EV176" s="23"/>
      <c r="EW176" s="23"/>
      <c r="EX176" s="23"/>
      <c r="EY176" s="23"/>
      <c r="EZ176" s="23"/>
      <c r="FA176" s="23"/>
      <c r="FB176" s="23"/>
      <c r="FC176" s="23"/>
      <c r="FD176" s="23"/>
      <c r="FE176" s="23"/>
      <c r="FF176" s="23"/>
      <c r="FG176" s="23"/>
      <c r="FH176" s="23"/>
      <c r="FI176" s="23"/>
      <c r="FJ176" s="23"/>
      <c r="FK176" s="23"/>
      <c r="FL176" s="23"/>
      <c r="FM176" s="23"/>
      <c r="FN176" s="23"/>
      <c r="FO176" s="23"/>
      <c r="FP176" s="23"/>
      <c r="FQ176" s="23"/>
      <c r="FR176" s="23"/>
      <c r="FS176" s="23"/>
      <c r="FT176" s="23"/>
      <c r="FU176" s="23"/>
      <c r="FV176" s="23"/>
      <c r="FW176" s="23"/>
      <c r="FX176" s="23"/>
      <c r="FY176" s="23"/>
      <c r="FZ176" s="23"/>
      <c r="GA176" s="23"/>
      <c r="GB176" s="23"/>
      <c r="GC176" s="23"/>
      <c r="GD176" s="23"/>
      <c r="GE176" s="23"/>
      <c r="GF176" s="23"/>
      <c r="GG176" s="23"/>
      <c r="GH176" s="23"/>
      <c r="GI176" s="23"/>
      <c r="GJ176" s="23"/>
      <c r="GK176" s="23"/>
      <c r="GL176" s="23"/>
      <c r="GM176" s="23"/>
      <c r="GN176" s="23"/>
      <c r="GO176" s="23"/>
      <c r="GP176" s="23"/>
      <c r="GQ176" s="23"/>
      <c r="GR176" s="23"/>
      <c r="GS176" s="23"/>
      <c r="GT176" s="23"/>
      <c r="GU176" s="23"/>
      <c r="GV176" s="23"/>
      <c r="GW176" s="23"/>
      <c r="GX176" s="23"/>
      <c r="GY176" s="23"/>
      <c r="GZ176" s="23"/>
      <c r="HA176" s="23"/>
      <c r="HB176" s="23"/>
      <c r="HC176" s="23"/>
      <c r="HD176" s="23"/>
      <c r="HE176" s="23"/>
      <c r="HF176" s="23"/>
      <c r="HG176" s="23"/>
      <c r="HH176" s="23"/>
      <c r="HI176" s="23"/>
      <c r="HJ176" s="23"/>
      <c r="HK176" s="23"/>
      <c r="HL176" s="23"/>
      <c r="HM176" s="23"/>
      <c r="HN176" s="23"/>
      <c r="HO176" s="23"/>
      <c r="HP176" s="23"/>
      <c r="HQ176" s="23"/>
      <c r="HR176" s="23"/>
      <c r="HS176" s="23"/>
      <c r="HT176" s="23"/>
      <c r="HU176" s="23"/>
      <c r="HV176" s="23"/>
      <c r="HW176" s="23"/>
      <c r="HX176" s="23"/>
      <c r="HY176" s="23"/>
      <c r="HZ176" s="23"/>
      <c r="IA176" s="23"/>
      <c r="IB176" s="23"/>
      <c r="IC176" s="23"/>
      <c r="ID176" s="23"/>
      <c r="IE176" s="23"/>
      <c r="IF176" s="23"/>
      <c r="IG176" s="23"/>
      <c r="IH176" s="23"/>
      <c r="II176" s="23"/>
      <c r="IJ176" s="23"/>
      <c r="IK176" s="23"/>
      <c r="IL176" s="23"/>
      <c r="IM176" s="23"/>
      <c r="IN176" s="23"/>
      <c r="IO176" s="23"/>
      <c r="IP176" s="23"/>
      <c r="IQ176" s="23"/>
      <c r="IR176" s="23"/>
      <c r="IS176" s="23"/>
      <c r="IT176" s="23"/>
      <c r="IU176" s="23"/>
      <c r="IV176" s="23"/>
      <c r="IW176" s="23"/>
      <c r="IX176" s="23"/>
      <c r="IY176" s="23"/>
      <c r="IZ176" s="23"/>
      <c r="JA176" s="23"/>
      <c r="JB176" s="23"/>
    </row>
    <row r="177" spans="1:262" s="137" customFormat="1" x14ac:dyDescent="0.3">
      <c r="A177" s="47"/>
      <c r="B177" s="40" t="s">
        <v>234</v>
      </c>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98">
        <f>-AB185</f>
        <v>0</v>
      </c>
      <c r="AC177" s="43"/>
      <c r="AD177" s="22"/>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c r="EF177" s="23"/>
      <c r="EG177" s="23"/>
      <c r="EH177" s="23"/>
      <c r="EI177" s="23"/>
      <c r="EJ177" s="23"/>
      <c r="EK177" s="23"/>
      <c r="EL177" s="23"/>
      <c r="EM177" s="23"/>
      <c r="EN177" s="23"/>
      <c r="EO177" s="23"/>
      <c r="EP177" s="23"/>
      <c r="EQ177" s="23"/>
      <c r="ER177" s="23"/>
      <c r="ES177" s="23"/>
      <c r="ET177" s="23"/>
      <c r="EU177" s="23"/>
      <c r="EV177" s="23"/>
      <c r="EW177" s="23"/>
      <c r="EX177" s="23"/>
      <c r="EY177" s="23"/>
      <c r="EZ177" s="23"/>
      <c r="FA177" s="23"/>
      <c r="FB177" s="23"/>
      <c r="FC177" s="23"/>
      <c r="FD177" s="23"/>
      <c r="FE177" s="23"/>
      <c r="FF177" s="23"/>
      <c r="FG177" s="23"/>
      <c r="FH177" s="23"/>
      <c r="FI177" s="23"/>
      <c r="FJ177" s="23"/>
      <c r="FK177" s="23"/>
      <c r="FL177" s="23"/>
      <c r="FM177" s="23"/>
      <c r="FN177" s="23"/>
      <c r="FO177" s="23"/>
      <c r="FP177" s="23"/>
      <c r="FQ177" s="23"/>
      <c r="FR177" s="23"/>
      <c r="FS177" s="23"/>
      <c r="FT177" s="23"/>
      <c r="FU177" s="23"/>
      <c r="FV177" s="23"/>
      <c r="FW177" s="23"/>
      <c r="FX177" s="23"/>
      <c r="FY177" s="23"/>
      <c r="FZ177" s="23"/>
      <c r="GA177" s="23"/>
      <c r="GB177" s="23"/>
      <c r="GC177" s="23"/>
      <c r="GD177" s="23"/>
      <c r="GE177" s="23"/>
      <c r="GF177" s="23"/>
      <c r="GG177" s="23"/>
      <c r="GH177" s="23"/>
      <c r="GI177" s="23"/>
      <c r="GJ177" s="23"/>
      <c r="GK177" s="23"/>
      <c r="GL177" s="23"/>
      <c r="GM177" s="23"/>
      <c r="GN177" s="23"/>
      <c r="GO177" s="23"/>
      <c r="GP177" s="23"/>
      <c r="GQ177" s="23"/>
      <c r="GR177" s="23"/>
      <c r="GS177" s="23"/>
      <c r="GT177" s="23"/>
      <c r="GU177" s="23"/>
      <c r="GV177" s="23"/>
      <c r="GW177" s="23"/>
      <c r="GX177" s="23"/>
      <c r="GY177" s="23"/>
      <c r="GZ177" s="23"/>
      <c r="HA177" s="23"/>
      <c r="HB177" s="23"/>
      <c r="HC177" s="23"/>
      <c r="HD177" s="23"/>
      <c r="HE177" s="23"/>
      <c r="HF177" s="23"/>
      <c r="HG177" s="23"/>
      <c r="HH177" s="23"/>
      <c r="HI177" s="23"/>
      <c r="HJ177" s="23"/>
      <c r="HK177" s="23"/>
      <c r="HL177" s="23"/>
      <c r="HM177" s="23"/>
      <c r="HN177" s="23"/>
      <c r="HO177" s="23"/>
      <c r="HP177" s="23"/>
      <c r="HQ177" s="23"/>
      <c r="HR177" s="23"/>
      <c r="HS177" s="23"/>
      <c r="HT177" s="23"/>
      <c r="HU177" s="23"/>
      <c r="HV177" s="23"/>
      <c r="HW177" s="23"/>
      <c r="HX177" s="23"/>
      <c r="HY177" s="23"/>
      <c r="HZ177" s="23"/>
      <c r="IA177" s="23"/>
      <c r="IB177" s="23"/>
      <c r="IC177" s="23"/>
      <c r="ID177" s="23"/>
      <c r="IE177" s="23"/>
      <c r="IF177" s="23"/>
      <c r="IG177" s="23"/>
      <c r="IH177" s="23"/>
      <c r="II177" s="23"/>
      <c r="IJ177" s="23"/>
      <c r="IK177" s="23"/>
      <c r="IL177" s="23"/>
      <c r="IM177" s="23"/>
      <c r="IN177" s="23"/>
      <c r="IO177" s="23"/>
      <c r="IP177" s="23"/>
      <c r="IQ177" s="23"/>
      <c r="IR177" s="23"/>
      <c r="IS177" s="23"/>
      <c r="IT177" s="23"/>
      <c r="IU177" s="23"/>
      <c r="IV177" s="23"/>
      <c r="IW177" s="23"/>
      <c r="IX177" s="23"/>
      <c r="IY177" s="23"/>
      <c r="IZ177" s="23"/>
      <c r="JA177" s="23"/>
      <c r="JB177" s="23"/>
    </row>
    <row r="178" spans="1:262" s="137" customFormat="1" x14ac:dyDescent="0.3">
      <c r="A178" s="47"/>
      <c r="B178" s="40" t="s">
        <v>236</v>
      </c>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98">
        <f>+AB81</f>
        <v>0</v>
      </c>
      <c r="AC178" s="43"/>
      <c r="AD178" s="22"/>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c r="EF178" s="23"/>
      <c r="EG178" s="23"/>
      <c r="EH178" s="23"/>
      <c r="EI178" s="23"/>
      <c r="EJ178" s="23"/>
      <c r="EK178" s="23"/>
      <c r="EL178" s="23"/>
      <c r="EM178" s="23"/>
      <c r="EN178" s="23"/>
      <c r="EO178" s="23"/>
      <c r="EP178" s="23"/>
      <c r="EQ178" s="23"/>
      <c r="ER178" s="23"/>
      <c r="ES178" s="23"/>
      <c r="ET178" s="23"/>
      <c r="EU178" s="23"/>
      <c r="EV178" s="23"/>
      <c r="EW178" s="23"/>
      <c r="EX178" s="23"/>
      <c r="EY178" s="23"/>
      <c r="EZ178" s="23"/>
      <c r="FA178" s="23"/>
      <c r="FB178" s="23"/>
      <c r="FC178" s="23"/>
      <c r="FD178" s="23"/>
      <c r="FE178" s="23"/>
      <c r="FF178" s="23"/>
      <c r="FG178" s="23"/>
      <c r="FH178" s="23"/>
      <c r="FI178" s="23"/>
      <c r="FJ178" s="23"/>
      <c r="FK178" s="23"/>
      <c r="FL178" s="23"/>
      <c r="FM178" s="23"/>
      <c r="FN178" s="23"/>
      <c r="FO178" s="23"/>
      <c r="FP178" s="23"/>
      <c r="FQ178" s="23"/>
      <c r="FR178" s="23"/>
      <c r="FS178" s="23"/>
      <c r="FT178" s="23"/>
      <c r="FU178" s="23"/>
      <c r="FV178" s="23"/>
      <c r="FW178" s="23"/>
      <c r="FX178" s="23"/>
      <c r="FY178" s="23"/>
      <c r="FZ178" s="23"/>
      <c r="GA178" s="23"/>
      <c r="GB178" s="23"/>
      <c r="GC178" s="23"/>
      <c r="GD178" s="23"/>
      <c r="GE178" s="23"/>
      <c r="GF178" s="23"/>
      <c r="GG178" s="23"/>
      <c r="GH178" s="23"/>
      <c r="GI178" s="23"/>
      <c r="GJ178" s="23"/>
      <c r="GK178" s="23"/>
      <c r="GL178" s="23"/>
      <c r="GM178" s="23"/>
      <c r="GN178" s="23"/>
      <c r="GO178" s="23"/>
      <c r="GP178" s="23"/>
      <c r="GQ178" s="23"/>
      <c r="GR178" s="23"/>
      <c r="GS178" s="23"/>
      <c r="GT178" s="23"/>
      <c r="GU178" s="23"/>
      <c r="GV178" s="23"/>
      <c r="GW178" s="23"/>
      <c r="GX178" s="23"/>
      <c r="GY178" s="23"/>
      <c r="GZ178" s="23"/>
      <c r="HA178" s="23"/>
      <c r="HB178" s="23"/>
      <c r="HC178" s="23"/>
      <c r="HD178" s="23"/>
      <c r="HE178" s="23"/>
      <c r="HF178" s="23"/>
      <c r="HG178" s="23"/>
      <c r="HH178" s="23"/>
      <c r="HI178" s="23"/>
      <c r="HJ178" s="23"/>
      <c r="HK178" s="23"/>
      <c r="HL178" s="23"/>
      <c r="HM178" s="23"/>
      <c r="HN178" s="23"/>
      <c r="HO178" s="23"/>
      <c r="HP178" s="23"/>
      <c r="HQ178" s="23"/>
      <c r="HR178" s="23"/>
      <c r="HS178" s="23"/>
      <c r="HT178" s="23"/>
      <c r="HU178" s="23"/>
      <c r="HV178" s="23"/>
      <c r="HW178" s="23"/>
      <c r="HX178" s="23"/>
      <c r="HY178" s="23"/>
      <c r="HZ178" s="23"/>
      <c r="IA178" s="23"/>
      <c r="IB178" s="23"/>
      <c r="IC178" s="23"/>
      <c r="ID178" s="23"/>
      <c r="IE178" s="23"/>
      <c r="IF178" s="23"/>
      <c r="IG178" s="23"/>
      <c r="IH178" s="23"/>
      <c r="II178" s="23"/>
      <c r="IJ178" s="23"/>
      <c r="IK178" s="23"/>
      <c r="IL178" s="23"/>
      <c r="IM178" s="23"/>
      <c r="IN178" s="23"/>
      <c r="IO178" s="23"/>
      <c r="IP178" s="23"/>
      <c r="IQ178" s="23"/>
      <c r="IR178" s="23"/>
      <c r="IS178" s="23"/>
      <c r="IT178" s="23"/>
      <c r="IU178" s="23"/>
      <c r="IV178" s="23"/>
      <c r="IW178" s="23"/>
      <c r="IX178" s="23"/>
      <c r="IY178" s="23"/>
      <c r="IZ178" s="23"/>
      <c r="JA178" s="23"/>
      <c r="JB178" s="23"/>
    </row>
    <row r="179" spans="1:262" s="137" customFormat="1" x14ac:dyDescent="0.3">
      <c r="A179" s="47"/>
      <c r="B179" s="40" t="s">
        <v>207</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98">
        <f>+AB176+AB177-AB178</f>
        <v>0</v>
      </c>
      <c r="AC179" s="43"/>
      <c r="AD179" s="22"/>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c r="EF179" s="23"/>
      <c r="EG179" s="23"/>
      <c r="EH179" s="23"/>
      <c r="EI179" s="23"/>
      <c r="EJ179" s="23"/>
      <c r="EK179" s="23"/>
      <c r="EL179" s="23"/>
      <c r="EM179" s="23"/>
      <c r="EN179" s="23"/>
      <c r="EO179" s="23"/>
      <c r="EP179" s="23"/>
      <c r="EQ179" s="23"/>
      <c r="ER179" s="23"/>
      <c r="ES179" s="23"/>
      <c r="ET179" s="23"/>
      <c r="EU179" s="23"/>
      <c r="EV179" s="23"/>
      <c r="EW179" s="23"/>
      <c r="EX179" s="23"/>
      <c r="EY179" s="23"/>
      <c r="EZ179" s="23"/>
      <c r="FA179" s="23"/>
      <c r="FB179" s="23"/>
      <c r="FC179" s="23"/>
      <c r="FD179" s="23"/>
      <c r="FE179" s="23"/>
      <c r="FF179" s="23"/>
      <c r="FG179" s="23"/>
      <c r="FH179" s="23"/>
      <c r="FI179" s="23"/>
      <c r="FJ179" s="23"/>
      <c r="FK179" s="23"/>
      <c r="FL179" s="23"/>
      <c r="FM179" s="23"/>
      <c r="FN179" s="23"/>
      <c r="FO179" s="23"/>
      <c r="FP179" s="23"/>
      <c r="FQ179" s="23"/>
      <c r="FR179" s="23"/>
      <c r="FS179" s="23"/>
      <c r="FT179" s="23"/>
      <c r="FU179" s="23"/>
      <c r="FV179" s="23"/>
      <c r="FW179" s="23"/>
      <c r="FX179" s="23"/>
      <c r="FY179" s="23"/>
      <c r="FZ179" s="23"/>
      <c r="GA179" s="23"/>
      <c r="GB179" s="23"/>
      <c r="GC179" s="23"/>
      <c r="GD179" s="23"/>
      <c r="GE179" s="23"/>
      <c r="GF179" s="23"/>
      <c r="GG179" s="23"/>
      <c r="GH179" s="23"/>
      <c r="GI179" s="23"/>
      <c r="GJ179" s="23"/>
      <c r="GK179" s="23"/>
      <c r="GL179" s="23"/>
      <c r="GM179" s="23"/>
      <c r="GN179" s="23"/>
      <c r="GO179" s="23"/>
      <c r="GP179" s="23"/>
      <c r="GQ179" s="23"/>
      <c r="GR179" s="23"/>
      <c r="GS179" s="23"/>
      <c r="GT179" s="23"/>
      <c r="GU179" s="23"/>
      <c r="GV179" s="23"/>
      <c r="GW179" s="23"/>
      <c r="GX179" s="23"/>
      <c r="GY179" s="23"/>
      <c r="GZ179" s="23"/>
      <c r="HA179" s="23"/>
      <c r="HB179" s="23"/>
      <c r="HC179" s="23"/>
      <c r="HD179" s="23"/>
      <c r="HE179" s="23"/>
      <c r="HF179" s="23"/>
      <c r="HG179" s="23"/>
      <c r="HH179" s="23"/>
      <c r="HI179" s="23"/>
      <c r="HJ179" s="23"/>
      <c r="HK179" s="23"/>
      <c r="HL179" s="23"/>
      <c r="HM179" s="23"/>
      <c r="HN179" s="23"/>
      <c r="HO179" s="23"/>
      <c r="HP179" s="23"/>
      <c r="HQ179" s="23"/>
      <c r="HR179" s="23"/>
      <c r="HS179" s="23"/>
      <c r="HT179" s="23"/>
      <c r="HU179" s="23"/>
      <c r="HV179" s="23"/>
      <c r="HW179" s="23"/>
      <c r="HX179" s="23"/>
      <c r="HY179" s="23"/>
      <c r="HZ179" s="23"/>
      <c r="IA179" s="23"/>
      <c r="IB179" s="23"/>
      <c r="IC179" s="23"/>
      <c r="ID179" s="23"/>
      <c r="IE179" s="23"/>
      <c r="IF179" s="23"/>
      <c r="IG179" s="23"/>
      <c r="IH179" s="23"/>
      <c r="II179" s="23"/>
      <c r="IJ179" s="23"/>
      <c r="IK179" s="23"/>
      <c r="IL179" s="23"/>
      <c r="IM179" s="23"/>
      <c r="IN179" s="23"/>
      <c r="IO179" s="23"/>
      <c r="IP179" s="23"/>
      <c r="IQ179" s="23"/>
      <c r="IR179" s="23"/>
      <c r="IS179" s="23"/>
      <c r="IT179" s="23"/>
      <c r="IU179" s="23"/>
      <c r="IV179" s="23"/>
      <c r="IW179" s="23"/>
      <c r="IX179" s="23"/>
      <c r="IY179" s="23"/>
      <c r="IZ179" s="23"/>
      <c r="JA179" s="23"/>
      <c r="JB179" s="23"/>
    </row>
    <row r="180" spans="1:262" s="139" customFormat="1" ht="16.2" thickBot="1" x14ac:dyDescent="0.35">
      <c r="A180" s="138"/>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126"/>
      <c r="AC180" s="10"/>
      <c r="AD180" s="5"/>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row>
    <row r="181" spans="1:262" x14ac:dyDescent="0.3">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134"/>
      <c r="AC181" s="4"/>
      <c r="AD181" s="5"/>
    </row>
    <row r="182" spans="1:262" s="136" customFormat="1" x14ac:dyDescent="0.3">
      <c r="A182" s="7"/>
      <c r="B182" s="125" t="s">
        <v>206</v>
      </c>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135"/>
      <c r="AC182" s="10"/>
      <c r="AD182" s="5"/>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row>
    <row r="183" spans="1:262" s="137" customFormat="1" x14ac:dyDescent="0.3">
      <c r="A183" s="47"/>
      <c r="B183" s="40" t="s">
        <v>208</v>
      </c>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98">
        <v>300</v>
      </c>
      <c r="AC183" s="43"/>
      <c r="AD183" s="22"/>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c r="EF183" s="23"/>
      <c r="EG183" s="23"/>
      <c r="EH183" s="23"/>
      <c r="EI183" s="23"/>
      <c r="EJ183" s="23"/>
      <c r="EK183" s="23"/>
      <c r="EL183" s="23"/>
      <c r="EM183" s="23"/>
      <c r="EN183" s="23"/>
      <c r="EO183" s="23"/>
      <c r="EP183" s="23"/>
      <c r="EQ183" s="23"/>
      <c r="ER183" s="23"/>
      <c r="ES183" s="23"/>
      <c r="ET183" s="23"/>
      <c r="EU183" s="23"/>
      <c r="EV183" s="23"/>
      <c r="EW183" s="23"/>
      <c r="EX183" s="23"/>
      <c r="EY183" s="23"/>
      <c r="EZ183" s="23"/>
      <c r="FA183" s="23"/>
      <c r="FB183" s="23"/>
      <c r="FC183" s="23"/>
      <c r="FD183" s="23"/>
      <c r="FE183" s="23"/>
      <c r="FF183" s="23"/>
      <c r="FG183" s="23"/>
      <c r="FH183" s="23"/>
      <c r="FI183" s="23"/>
      <c r="FJ183" s="23"/>
      <c r="FK183" s="23"/>
      <c r="FL183" s="23"/>
      <c r="FM183" s="23"/>
      <c r="FN183" s="23"/>
      <c r="FO183" s="23"/>
      <c r="FP183" s="23"/>
      <c r="FQ183" s="23"/>
      <c r="FR183" s="23"/>
      <c r="FS183" s="23"/>
      <c r="FT183" s="23"/>
      <c r="FU183" s="23"/>
      <c r="FV183" s="23"/>
      <c r="FW183" s="23"/>
      <c r="FX183" s="23"/>
      <c r="FY183" s="23"/>
      <c r="FZ183" s="23"/>
      <c r="GA183" s="23"/>
      <c r="GB183" s="23"/>
      <c r="GC183" s="23"/>
      <c r="GD183" s="23"/>
      <c r="GE183" s="23"/>
      <c r="GF183" s="23"/>
      <c r="GG183" s="23"/>
      <c r="GH183" s="23"/>
      <c r="GI183" s="23"/>
      <c r="GJ183" s="23"/>
      <c r="GK183" s="23"/>
      <c r="GL183" s="23"/>
      <c r="GM183" s="23"/>
      <c r="GN183" s="23"/>
      <c r="GO183" s="23"/>
      <c r="GP183" s="23"/>
      <c r="GQ183" s="23"/>
      <c r="GR183" s="23"/>
      <c r="GS183" s="23"/>
      <c r="GT183" s="23"/>
      <c r="GU183" s="23"/>
      <c r="GV183" s="23"/>
      <c r="GW183" s="23"/>
      <c r="GX183" s="23"/>
      <c r="GY183" s="23"/>
      <c r="GZ183" s="23"/>
      <c r="HA183" s="23"/>
      <c r="HB183" s="23"/>
      <c r="HC183" s="23"/>
      <c r="HD183" s="23"/>
      <c r="HE183" s="23"/>
      <c r="HF183" s="23"/>
      <c r="HG183" s="23"/>
      <c r="HH183" s="23"/>
      <c r="HI183" s="23"/>
      <c r="HJ183" s="23"/>
      <c r="HK183" s="23"/>
      <c r="HL183" s="23"/>
      <c r="HM183" s="23"/>
      <c r="HN183" s="23"/>
      <c r="HO183" s="23"/>
      <c r="HP183" s="23"/>
      <c r="HQ183" s="23"/>
      <c r="HR183" s="23"/>
      <c r="HS183" s="23"/>
      <c r="HT183" s="23"/>
      <c r="HU183" s="23"/>
      <c r="HV183" s="23"/>
      <c r="HW183" s="23"/>
      <c r="HX183" s="23"/>
      <c r="HY183" s="23"/>
      <c r="HZ183" s="23"/>
      <c r="IA183" s="23"/>
      <c r="IB183" s="23"/>
      <c r="IC183" s="23"/>
      <c r="ID183" s="23"/>
      <c r="IE183" s="23"/>
      <c r="IF183" s="23"/>
      <c r="IG183" s="23"/>
      <c r="IH183" s="23"/>
      <c r="II183" s="23"/>
      <c r="IJ183" s="23"/>
      <c r="IK183" s="23"/>
      <c r="IL183" s="23"/>
      <c r="IM183" s="23"/>
      <c r="IN183" s="23"/>
      <c r="IO183" s="23"/>
      <c r="IP183" s="23"/>
      <c r="IQ183" s="23"/>
      <c r="IR183" s="23"/>
      <c r="IS183" s="23"/>
      <c r="IT183" s="23"/>
      <c r="IU183" s="23"/>
      <c r="IV183" s="23"/>
      <c r="IW183" s="23"/>
      <c r="IX183" s="23"/>
      <c r="IY183" s="23"/>
      <c r="IZ183" s="23"/>
      <c r="JA183" s="23"/>
      <c r="JB183" s="23"/>
    </row>
    <row r="184" spans="1:262" s="137" customFormat="1" x14ac:dyDescent="0.3">
      <c r="A184" s="47"/>
      <c r="B184" s="40" t="s">
        <v>211</v>
      </c>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98">
        <f>+'March 2022'!AB187</f>
        <v>300</v>
      </c>
      <c r="AC184" s="43"/>
      <c r="AD184" s="22"/>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c r="EF184" s="23"/>
      <c r="EG184" s="23"/>
      <c r="EH184" s="23"/>
      <c r="EI184" s="23"/>
      <c r="EJ184" s="23"/>
      <c r="EK184" s="23"/>
      <c r="EL184" s="23"/>
      <c r="EM184" s="23"/>
      <c r="EN184" s="23"/>
      <c r="EO184" s="23"/>
      <c r="EP184" s="23"/>
      <c r="EQ184" s="23"/>
      <c r="ER184" s="23"/>
      <c r="ES184" s="23"/>
      <c r="ET184" s="23"/>
      <c r="EU184" s="23"/>
      <c r="EV184" s="23"/>
      <c r="EW184" s="23"/>
      <c r="EX184" s="23"/>
      <c r="EY184" s="23"/>
      <c r="EZ184" s="23"/>
      <c r="FA184" s="23"/>
      <c r="FB184" s="23"/>
      <c r="FC184" s="23"/>
      <c r="FD184" s="23"/>
      <c r="FE184" s="23"/>
      <c r="FF184" s="23"/>
      <c r="FG184" s="23"/>
      <c r="FH184" s="23"/>
      <c r="FI184" s="23"/>
      <c r="FJ184" s="23"/>
      <c r="FK184" s="23"/>
      <c r="FL184" s="23"/>
      <c r="FM184" s="23"/>
      <c r="FN184" s="23"/>
      <c r="FO184" s="23"/>
      <c r="FP184" s="23"/>
      <c r="FQ184" s="23"/>
      <c r="FR184" s="23"/>
      <c r="FS184" s="23"/>
      <c r="FT184" s="23"/>
      <c r="FU184" s="23"/>
      <c r="FV184" s="23"/>
      <c r="FW184" s="23"/>
      <c r="FX184" s="23"/>
      <c r="FY184" s="23"/>
      <c r="FZ184" s="23"/>
      <c r="GA184" s="23"/>
      <c r="GB184" s="23"/>
      <c r="GC184" s="23"/>
      <c r="GD184" s="23"/>
      <c r="GE184" s="23"/>
      <c r="GF184" s="23"/>
      <c r="GG184" s="23"/>
      <c r="GH184" s="23"/>
      <c r="GI184" s="23"/>
      <c r="GJ184" s="23"/>
      <c r="GK184" s="23"/>
      <c r="GL184" s="23"/>
      <c r="GM184" s="23"/>
      <c r="GN184" s="23"/>
      <c r="GO184" s="23"/>
      <c r="GP184" s="23"/>
      <c r="GQ184" s="23"/>
      <c r="GR184" s="23"/>
      <c r="GS184" s="23"/>
      <c r="GT184" s="23"/>
      <c r="GU184" s="23"/>
      <c r="GV184" s="23"/>
      <c r="GW184" s="23"/>
      <c r="GX184" s="23"/>
      <c r="GY184" s="23"/>
      <c r="GZ184" s="23"/>
      <c r="HA184" s="23"/>
      <c r="HB184" s="23"/>
      <c r="HC184" s="23"/>
      <c r="HD184" s="23"/>
      <c r="HE184" s="23"/>
      <c r="HF184" s="23"/>
      <c r="HG184" s="23"/>
      <c r="HH184" s="23"/>
      <c r="HI184" s="23"/>
      <c r="HJ184" s="23"/>
      <c r="HK184" s="23"/>
      <c r="HL184" s="23"/>
      <c r="HM184" s="23"/>
      <c r="HN184" s="23"/>
      <c r="HO184" s="23"/>
      <c r="HP184" s="23"/>
      <c r="HQ184" s="23"/>
      <c r="HR184" s="23"/>
      <c r="HS184" s="23"/>
      <c r="HT184" s="23"/>
      <c r="HU184" s="23"/>
      <c r="HV184" s="23"/>
      <c r="HW184" s="23"/>
      <c r="HX184" s="23"/>
      <c r="HY184" s="23"/>
      <c r="HZ184" s="23"/>
      <c r="IA184" s="23"/>
      <c r="IB184" s="23"/>
      <c r="IC184" s="23"/>
      <c r="ID184" s="23"/>
      <c r="IE184" s="23"/>
      <c r="IF184" s="23"/>
      <c r="IG184" s="23"/>
      <c r="IH184" s="23"/>
      <c r="II184" s="23"/>
      <c r="IJ184" s="23"/>
      <c r="IK184" s="23"/>
      <c r="IL184" s="23"/>
      <c r="IM184" s="23"/>
      <c r="IN184" s="23"/>
      <c r="IO184" s="23"/>
      <c r="IP184" s="23"/>
      <c r="IQ184" s="23"/>
      <c r="IR184" s="23"/>
      <c r="IS184" s="23"/>
      <c r="IT184" s="23"/>
      <c r="IU184" s="23"/>
      <c r="IV184" s="23"/>
      <c r="IW184" s="23"/>
      <c r="IX184" s="23"/>
      <c r="IY184" s="23"/>
      <c r="IZ184" s="23"/>
      <c r="JA184" s="23"/>
      <c r="JB184" s="23"/>
    </row>
    <row r="185" spans="1:262" s="137" customFormat="1" x14ac:dyDescent="0.3">
      <c r="A185" s="47"/>
      <c r="B185" s="59" t="s">
        <v>228</v>
      </c>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98">
        <v>0</v>
      </c>
      <c r="AC185" s="43"/>
      <c r="AD185" s="22"/>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c r="EF185" s="23"/>
      <c r="EG185" s="23"/>
      <c r="EH185" s="23"/>
      <c r="EI185" s="23"/>
      <c r="EJ185" s="23"/>
      <c r="EK185" s="23"/>
      <c r="EL185" s="23"/>
      <c r="EM185" s="23"/>
      <c r="EN185" s="23"/>
      <c r="EO185" s="23"/>
      <c r="EP185" s="23"/>
      <c r="EQ185" s="23"/>
      <c r="ER185" s="23"/>
      <c r="ES185" s="23"/>
      <c r="ET185" s="23"/>
      <c r="EU185" s="23"/>
      <c r="EV185" s="23"/>
      <c r="EW185" s="23"/>
      <c r="EX185" s="23"/>
      <c r="EY185" s="23"/>
      <c r="EZ185" s="23"/>
      <c r="FA185" s="23"/>
      <c r="FB185" s="23"/>
      <c r="FC185" s="23"/>
      <c r="FD185" s="23"/>
      <c r="FE185" s="23"/>
      <c r="FF185" s="23"/>
      <c r="FG185" s="23"/>
      <c r="FH185" s="23"/>
      <c r="FI185" s="23"/>
      <c r="FJ185" s="23"/>
      <c r="FK185" s="23"/>
      <c r="FL185" s="23"/>
      <c r="FM185" s="23"/>
      <c r="FN185" s="23"/>
      <c r="FO185" s="23"/>
      <c r="FP185" s="23"/>
      <c r="FQ185" s="23"/>
      <c r="FR185" s="23"/>
      <c r="FS185" s="23"/>
      <c r="FT185" s="23"/>
      <c r="FU185" s="23"/>
      <c r="FV185" s="23"/>
      <c r="FW185" s="23"/>
      <c r="FX185" s="23"/>
      <c r="FY185" s="23"/>
      <c r="FZ185" s="23"/>
      <c r="GA185" s="23"/>
      <c r="GB185" s="23"/>
      <c r="GC185" s="23"/>
      <c r="GD185" s="23"/>
      <c r="GE185" s="23"/>
      <c r="GF185" s="23"/>
      <c r="GG185" s="23"/>
      <c r="GH185" s="23"/>
      <c r="GI185" s="23"/>
      <c r="GJ185" s="23"/>
      <c r="GK185" s="23"/>
      <c r="GL185" s="23"/>
      <c r="GM185" s="23"/>
      <c r="GN185" s="23"/>
      <c r="GO185" s="23"/>
      <c r="GP185" s="23"/>
      <c r="GQ185" s="23"/>
      <c r="GR185" s="23"/>
      <c r="GS185" s="23"/>
      <c r="GT185" s="23"/>
      <c r="GU185" s="23"/>
      <c r="GV185" s="23"/>
      <c r="GW185" s="23"/>
      <c r="GX185" s="23"/>
      <c r="GY185" s="23"/>
      <c r="GZ185" s="23"/>
      <c r="HA185" s="23"/>
      <c r="HB185" s="23"/>
      <c r="HC185" s="23"/>
      <c r="HD185" s="23"/>
      <c r="HE185" s="23"/>
      <c r="HF185" s="23"/>
      <c r="HG185" s="23"/>
      <c r="HH185" s="23"/>
      <c r="HI185" s="23"/>
      <c r="HJ185" s="23"/>
      <c r="HK185" s="23"/>
      <c r="HL185" s="23"/>
      <c r="HM185" s="23"/>
      <c r="HN185" s="23"/>
      <c r="HO185" s="23"/>
      <c r="HP185" s="23"/>
      <c r="HQ185" s="23"/>
      <c r="HR185" s="23"/>
      <c r="HS185" s="23"/>
      <c r="HT185" s="23"/>
      <c r="HU185" s="23"/>
      <c r="HV185" s="23"/>
      <c r="HW185" s="23"/>
      <c r="HX185" s="23"/>
      <c r="HY185" s="23"/>
      <c r="HZ185" s="23"/>
      <c r="IA185" s="23"/>
      <c r="IB185" s="23"/>
      <c r="IC185" s="23"/>
      <c r="ID185" s="23"/>
      <c r="IE185" s="23"/>
      <c r="IF185" s="23"/>
      <c r="IG185" s="23"/>
      <c r="IH185" s="23"/>
      <c r="II185" s="23"/>
      <c r="IJ185" s="23"/>
      <c r="IK185" s="23"/>
      <c r="IL185" s="23"/>
      <c r="IM185" s="23"/>
      <c r="IN185" s="23"/>
      <c r="IO185" s="23"/>
      <c r="IP185" s="23"/>
      <c r="IQ185" s="23"/>
      <c r="IR185" s="23"/>
      <c r="IS185" s="23"/>
      <c r="IT185" s="23"/>
      <c r="IU185" s="23"/>
      <c r="IV185" s="23"/>
      <c r="IW185" s="23"/>
      <c r="IX185" s="23"/>
      <c r="IY185" s="23"/>
      <c r="IZ185" s="23"/>
      <c r="JA185" s="23"/>
      <c r="JB185" s="23"/>
    </row>
    <row r="186" spans="1:262" s="137" customFormat="1" x14ac:dyDescent="0.3">
      <c r="A186" s="47"/>
      <c r="B186" s="59" t="s">
        <v>229</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98">
        <f>-AB100</f>
        <v>0</v>
      </c>
      <c r="AC186" s="43"/>
      <c r="AD186" s="22"/>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c r="EF186" s="23"/>
      <c r="EG186" s="23"/>
      <c r="EH186" s="23"/>
      <c r="EI186" s="23"/>
      <c r="EJ186" s="23"/>
      <c r="EK186" s="23"/>
      <c r="EL186" s="23"/>
      <c r="EM186" s="23"/>
      <c r="EN186" s="23"/>
      <c r="EO186" s="23"/>
      <c r="EP186" s="23"/>
      <c r="EQ186" s="23"/>
      <c r="ER186" s="23"/>
      <c r="ES186" s="23"/>
      <c r="ET186" s="23"/>
      <c r="EU186" s="23"/>
      <c r="EV186" s="23"/>
      <c r="EW186" s="23"/>
      <c r="EX186" s="23"/>
      <c r="EY186" s="23"/>
      <c r="EZ186" s="23"/>
      <c r="FA186" s="23"/>
      <c r="FB186" s="23"/>
      <c r="FC186" s="23"/>
      <c r="FD186" s="23"/>
      <c r="FE186" s="23"/>
      <c r="FF186" s="23"/>
      <c r="FG186" s="23"/>
      <c r="FH186" s="23"/>
      <c r="FI186" s="23"/>
      <c r="FJ186" s="23"/>
      <c r="FK186" s="23"/>
      <c r="FL186" s="23"/>
      <c r="FM186" s="23"/>
      <c r="FN186" s="23"/>
      <c r="FO186" s="23"/>
      <c r="FP186" s="23"/>
      <c r="FQ186" s="23"/>
      <c r="FR186" s="23"/>
      <c r="FS186" s="23"/>
      <c r="FT186" s="23"/>
      <c r="FU186" s="23"/>
      <c r="FV186" s="23"/>
      <c r="FW186" s="23"/>
      <c r="FX186" s="23"/>
      <c r="FY186" s="23"/>
      <c r="FZ186" s="23"/>
      <c r="GA186" s="23"/>
      <c r="GB186" s="23"/>
      <c r="GC186" s="23"/>
      <c r="GD186" s="23"/>
      <c r="GE186" s="23"/>
      <c r="GF186" s="23"/>
      <c r="GG186" s="23"/>
      <c r="GH186" s="23"/>
      <c r="GI186" s="23"/>
      <c r="GJ186" s="23"/>
      <c r="GK186" s="23"/>
      <c r="GL186" s="23"/>
      <c r="GM186" s="23"/>
      <c r="GN186" s="23"/>
      <c r="GO186" s="23"/>
      <c r="GP186" s="23"/>
      <c r="GQ186" s="23"/>
      <c r="GR186" s="23"/>
      <c r="GS186" s="23"/>
      <c r="GT186" s="23"/>
      <c r="GU186" s="23"/>
      <c r="GV186" s="23"/>
      <c r="GW186" s="23"/>
      <c r="GX186" s="23"/>
      <c r="GY186" s="23"/>
      <c r="GZ186" s="23"/>
      <c r="HA186" s="23"/>
      <c r="HB186" s="23"/>
      <c r="HC186" s="23"/>
      <c r="HD186" s="23"/>
      <c r="HE186" s="23"/>
      <c r="HF186" s="23"/>
      <c r="HG186" s="23"/>
      <c r="HH186" s="23"/>
      <c r="HI186" s="23"/>
      <c r="HJ186" s="23"/>
      <c r="HK186" s="23"/>
      <c r="HL186" s="23"/>
      <c r="HM186" s="23"/>
      <c r="HN186" s="23"/>
      <c r="HO186" s="23"/>
      <c r="HP186" s="23"/>
      <c r="HQ186" s="23"/>
      <c r="HR186" s="23"/>
      <c r="HS186" s="23"/>
      <c r="HT186" s="23"/>
      <c r="HU186" s="23"/>
      <c r="HV186" s="23"/>
      <c r="HW186" s="23"/>
      <c r="HX186" s="23"/>
      <c r="HY186" s="23"/>
      <c r="HZ186" s="23"/>
      <c r="IA186" s="23"/>
      <c r="IB186" s="23"/>
      <c r="IC186" s="23"/>
      <c r="ID186" s="23"/>
      <c r="IE186" s="23"/>
      <c r="IF186" s="23"/>
      <c r="IG186" s="23"/>
      <c r="IH186" s="23"/>
      <c r="II186" s="23"/>
      <c r="IJ186" s="23"/>
      <c r="IK186" s="23"/>
      <c r="IL186" s="23"/>
      <c r="IM186" s="23"/>
      <c r="IN186" s="23"/>
      <c r="IO186" s="23"/>
      <c r="IP186" s="23"/>
      <c r="IQ186" s="23"/>
      <c r="IR186" s="23"/>
      <c r="IS186" s="23"/>
      <c r="IT186" s="23"/>
      <c r="IU186" s="23"/>
      <c r="IV186" s="23"/>
      <c r="IW186" s="23"/>
      <c r="IX186" s="23"/>
      <c r="IY186" s="23"/>
      <c r="IZ186" s="23"/>
      <c r="JA186" s="23"/>
      <c r="JB186" s="23"/>
    </row>
    <row r="187" spans="1:262" s="137" customFormat="1" x14ac:dyDescent="0.3">
      <c r="A187" s="47"/>
      <c r="B187" s="40" t="s">
        <v>209</v>
      </c>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98">
        <f>AB183-AB185+AB186</f>
        <v>300</v>
      </c>
      <c r="AC187" s="43"/>
      <c r="AD187" s="22"/>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c r="BO187" s="23"/>
      <c r="BP187" s="23"/>
      <c r="BQ187" s="23"/>
      <c r="BR187" s="23"/>
      <c r="BS187" s="23"/>
      <c r="BT187" s="23"/>
      <c r="BU187" s="23"/>
      <c r="BV187" s="23"/>
      <c r="BW187" s="23"/>
      <c r="BX187" s="23"/>
      <c r="BY187" s="23"/>
      <c r="BZ187" s="23"/>
      <c r="CA187" s="23"/>
      <c r="CB187" s="23"/>
      <c r="CC187" s="23"/>
      <c r="CD187" s="23"/>
      <c r="CE187" s="23"/>
      <c r="CF187" s="23"/>
      <c r="CG187" s="23"/>
      <c r="CH187" s="23"/>
      <c r="CI187" s="23"/>
      <c r="CJ187" s="23"/>
      <c r="CK187" s="23"/>
      <c r="CL187" s="23"/>
      <c r="CM187" s="23"/>
      <c r="CN187" s="23"/>
      <c r="CO187" s="23"/>
      <c r="CP187" s="23"/>
      <c r="CQ187" s="23"/>
      <c r="CR187" s="23"/>
      <c r="CS187" s="23"/>
      <c r="CT187" s="23"/>
      <c r="CU187" s="23"/>
      <c r="CV187" s="23"/>
      <c r="CW187" s="23"/>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c r="EB187" s="23"/>
      <c r="EC187" s="23"/>
      <c r="ED187" s="23"/>
      <c r="EE187" s="23"/>
      <c r="EF187" s="23"/>
      <c r="EG187" s="23"/>
      <c r="EH187" s="23"/>
      <c r="EI187" s="23"/>
      <c r="EJ187" s="23"/>
      <c r="EK187" s="23"/>
      <c r="EL187" s="23"/>
      <c r="EM187" s="23"/>
      <c r="EN187" s="23"/>
      <c r="EO187" s="23"/>
      <c r="EP187" s="23"/>
      <c r="EQ187" s="23"/>
      <c r="ER187" s="23"/>
      <c r="ES187" s="23"/>
      <c r="ET187" s="23"/>
      <c r="EU187" s="23"/>
      <c r="EV187" s="23"/>
      <c r="EW187" s="23"/>
      <c r="EX187" s="23"/>
      <c r="EY187" s="23"/>
      <c r="EZ187" s="23"/>
      <c r="FA187" s="23"/>
      <c r="FB187" s="23"/>
      <c r="FC187" s="23"/>
      <c r="FD187" s="23"/>
      <c r="FE187" s="23"/>
      <c r="FF187" s="23"/>
      <c r="FG187" s="23"/>
      <c r="FH187" s="23"/>
      <c r="FI187" s="23"/>
      <c r="FJ187" s="23"/>
      <c r="FK187" s="23"/>
      <c r="FL187" s="23"/>
      <c r="FM187" s="23"/>
      <c r="FN187" s="23"/>
      <c r="FO187" s="23"/>
      <c r="FP187" s="23"/>
      <c r="FQ187" s="23"/>
      <c r="FR187" s="23"/>
      <c r="FS187" s="23"/>
      <c r="FT187" s="23"/>
      <c r="FU187" s="23"/>
      <c r="FV187" s="23"/>
      <c r="FW187" s="23"/>
      <c r="FX187" s="23"/>
      <c r="FY187" s="23"/>
      <c r="FZ187" s="23"/>
      <c r="GA187" s="23"/>
      <c r="GB187" s="23"/>
      <c r="GC187" s="23"/>
      <c r="GD187" s="23"/>
      <c r="GE187" s="23"/>
      <c r="GF187" s="23"/>
      <c r="GG187" s="23"/>
      <c r="GH187" s="23"/>
      <c r="GI187" s="23"/>
      <c r="GJ187" s="23"/>
      <c r="GK187" s="23"/>
      <c r="GL187" s="23"/>
      <c r="GM187" s="23"/>
      <c r="GN187" s="23"/>
      <c r="GO187" s="23"/>
      <c r="GP187" s="23"/>
      <c r="GQ187" s="23"/>
      <c r="GR187" s="23"/>
      <c r="GS187" s="23"/>
      <c r="GT187" s="23"/>
      <c r="GU187" s="23"/>
      <c r="GV187" s="23"/>
      <c r="GW187" s="23"/>
      <c r="GX187" s="23"/>
      <c r="GY187" s="23"/>
      <c r="GZ187" s="23"/>
      <c r="HA187" s="23"/>
      <c r="HB187" s="23"/>
      <c r="HC187" s="23"/>
      <c r="HD187" s="23"/>
      <c r="HE187" s="23"/>
      <c r="HF187" s="23"/>
      <c r="HG187" s="23"/>
      <c r="HH187" s="23"/>
      <c r="HI187" s="23"/>
      <c r="HJ187" s="23"/>
      <c r="HK187" s="23"/>
      <c r="HL187" s="23"/>
      <c r="HM187" s="23"/>
      <c r="HN187" s="23"/>
      <c r="HO187" s="23"/>
      <c r="HP187" s="23"/>
      <c r="HQ187" s="23"/>
      <c r="HR187" s="23"/>
      <c r="HS187" s="23"/>
      <c r="HT187" s="23"/>
      <c r="HU187" s="23"/>
      <c r="HV187" s="23"/>
      <c r="HW187" s="23"/>
      <c r="HX187" s="23"/>
      <c r="HY187" s="23"/>
      <c r="HZ187" s="23"/>
      <c r="IA187" s="23"/>
      <c r="IB187" s="23"/>
      <c r="IC187" s="23"/>
      <c r="ID187" s="23"/>
      <c r="IE187" s="23"/>
      <c r="IF187" s="23"/>
      <c r="IG187" s="23"/>
      <c r="IH187" s="23"/>
      <c r="II187" s="23"/>
      <c r="IJ187" s="23"/>
      <c r="IK187" s="23"/>
      <c r="IL187" s="23"/>
      <c r="IM187" s="23"/>
      <c r="IN187" s="23"/>
      <c r="IO187" s="23"/>
      <c r="IP187" s="23"/>
      <c r="IQ187" s="23"/>
      <c r="IR187" s="23"/>
      <c r="IS187" s="23"/>
      <c r="IT187" s="23"/>
      <c r="IU187" s="23"/>
      <c r="IV187" s="23"/>
      <c r="IW187" s="23"/>
      <c r="IX187" s="23"/>
      <c r="IY187" s="23"/>
      <c r="IZ187" s="23"/>
      <c r="JA187" s="23"/>
      <c r="JB187" s="23"/>
    </row>
    <row r="188" spans="1:262" s="139" customFormat="1" ht="16.2" thickBot="1" x14ac:dyDescent="0.35">
      <c r="A188" s="138"/>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126"/>
      <c r="AC188" s="10"/>
      <c r="AD188" s="5"/>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row>
    <row r="189" spans="1:262" x14ac:dyDescent="0.3">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134"/>
      <c r="AC189" s="4"/>
      <c r="AD189" s="5"/>
    </row>
    <row r="190" spans="1:262" s="136" customFormat="1" x14ac:dyDescent="0.3">
      <c r="A190" s="7"/>
      <c r="B190" s="125" t="s">
        <v>212</v>
      </c>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135"/>
      <c r="AC190" s="10"/>
      <c r="AD190" s="5"/>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row>
    <row r="191" spans="1:262" s="137" customFormat="1" x14ac:dyDescent="0.3">
      <c r="A191" s="47"/>
      <c r="B191" s="40" t="s">
        <v>334</v>
      </c>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98">
        <v>0</v>
      </c>
      <c r="AC191" s="43"/>
      <c r="AD191" s="22"/>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c r="BO191" s="23"/>
      <c r="BP191" s="23"/>
      <c r="BQ191" s="23"/>
      <c r="BR191" s="23"/>
      <c r="BS191" s="23"/>
      <c r="BT191" s="23"/>
      <c r="BU191" s="23"/>
      <c r="BV191" s="23"/>
      <c r="BW191" s="23"/>
      <c r="BX191" s="23"/>
      <c r="BY191" s="23"/>
      <c r="BZ191" s="23"/>
      <c r="CA191" s="23"/>
      <c r="CB191" s="23"/>
      <c r="CC191" s="23"/>
      <c r="CD191" s="23"/>
      <c r="CE191" s="23"/>
      <c r="CF191" s="23"/>
      <c r="CG191" s="23"/>
      <c r="CH191" s="23"/>
      <c r="CI191" s="23"/>
      <c r="CJ191" s="23"/>
      <c r="CK191" s="23"/>
      <c r="CL191" s="23"/>
      <c r="CM191" s="23"/>
      <c r="CN191" s="23"/>
      <c r="CO191" s="23"/>
      <c r="CP191" s="23"/>
      <c r="CQ191" s="23"/>
      <c r="CR191" s="23"/>
      <c r="CS191" s="23"/>
      <c r="CT191" s="23"/>
      <c r="CU191" s="23"/>
      <c r="CV191" s="23"/>
      <c r="CW191" s="23"/>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c r="EB191" s="23"/>
      <c r="EC191" s="23"/>
      <c r="ED191" s="23"/>
      <c r="EE191" s="23"/>
      <c r="EF191" s="23"/>
      <c r="EG191" s="23"/>
      <c r="EH191" s="23"/>
      <c r="EI191" s="23"/>
      <c r="EJ191" s="23"/>
      <c r="EK191" s="23"/>
      <c r="EL191" s="23"/>
      <c r="EM191" s="23"/>
      <c r="EN191" s="23"/>
      <c r="EO191" s="23"/>
      <c r="EP191" s="23"/>
      <c r="EQ191" s="23"/>
      <c r="ER191" s="23"/>
      <c r="ES191" s="23"/>
      <c r="ET191" s="23"/>
      <c r="EU191" s="23"/>
      <c r="EV191" s="23"/>
      <c r="EW191" s="23"/>
      <c r="EX191" s="23"/>
      <c r="EY191" s="23"/>
      <c r="EZ191" s="23"/>
      <c r="FA191" s="23"/>
      <c r="FB191" s="23"/>
      <c r="FC191" s="23"/>
      <c r="FD191" s="23"/>
      <c r="FE191" s="23"/>
      <c r="FF191" s="23"/>
      <c r="FG191" s="23"/>
      <c r="FH191" s="23"/>
      <c r="FI191" s="23"/>
      <c r="FJ191" s="23"/>
      <c r="FK191" s="23"/>
      <c r="FL191" s="23"/>
      <c r="FM191" s="23"/>
      <c r="FN191" s="23"/>
      <c r="FO191" s="23"/>
      <c r="FP191" s="23"/>
      <c r="FQ191" s="23"/>
      <c r="FR191" s="23"/>
      <c r="FS191" s="23"/>
      <c r="FT191" s="23"/>
      <c r="FU191" s="23"/>
      <c r="FV191" s="23"/>
      <c r="FW191" s="23"/>
      <c r="FX191" s="23"/>
      <c r="FY191" s="23"/>
      <c r="FZ191" s="23"/>
      <c r="GA191" s="23"/>
      <c r="GB191" s="23"/>
      <c r="GC191" s="23"/>
      <c r="GD191" s="23"/>
      <c r="GE191" s="23"/>
      <c r="GF191" s="23"/>
      <c r="GG191" s="23"/>
      <c r="GH191" s="23"/>
      <c r="GI191" s="23"/>
      <c r="GJ191" s="23"/>
      <c r="GK191" s="23"/>
      <c r="GL191" s="23"/>
      <c r="GM191" s="23"/>
      <c r="GN191" s="23"/>
      <c r="GO191" s="23"/>
      <c r="GP191" s="23"/>
      <c r="GQ191" s="23"/>
      <c r="GR191" s="23"/>
      <c r="GS191" s="23"/>
      <c r="GT191" s="23"/>
      <c r="GU191" s="23"/>
      <c r="GV191" s="23"/>
      <c r="GW191" s="23"/>
      <c r="GX191" s="23"/>
      <c r="GY191" s="23"/>
      <c r="GZ191" s="23"/>
      <c r="HA191" s="23"/>
      <c r="HB191" s="23"/>
      <c r="HC191" s="23"/>
      <c r="HD191" s="23"/>
      <c r="HE191" s="23"/>
      <c r="HF191" s="23"/>
      <c r="HG191" s="23"/>
      <c r="HH191" s="23"/>
      <c r="HI191" s="23"/>
      <c r="HJ191" s="23"/>
      <c r="HK191" s="23"/>
      <c r="HL191" s="23"/>
      <c r="HM191" s="23"/>
      <c r="HN191" s="23"/>
      <c r="HO191" s="23"/>
      <c r="HP191" s="23"/>
      <c r="HQ191" s="23"/>
      <c r="HR191" s="23"/>
      <c r="HS191" s="23"/>
      <c r="HT191" s="23"/>
      <c r="HU191" s="23"/>
      <c r="HV191" s="23"/>
      <c r="HW191" s="23"/>
      <c r="HX191" s="23"/>
      <c r="HY191" s="23"/>
      <c r="HZ191" s="23"/>
      <c r="IA191" s="23"/>
      <c r="IB191" s="23"/>
      <c r="IC191" s="23"/>
      <c r="ID191" s="23"/>
      <c r="IE191" s="23"/>
      <c r="IF191" s="23"/>
      <c r="IG191" s="23"/>
      <c r="IH191" s="23"/>
      <c r="II191" s="23"/>
      <c r="IJ191" s="23"/>
      <c r="IK191" s="23"/>
      <c r="IL191" s="23"/>
      <c r="IM191" s="23"/>
      <c r="IN191" s="23"/>
      <c r="IO191" s="23"/>
      <c r="IP191" s="23"/>
      <c r="IQ191" s="23"/>
      <c r="IR191" s="23"/>
      <c r="IS191" s="23"/>
      <c r="IT191" s="23"/>
      <c r="IU191" s="23"/>
      <c r="IV191" s="23"/>
      <c r="IW191" s="23"/>
      <c r="IX191" s="23"/>
      <c r="IY191" s="23"/>
      <c r="IZ191" s="23"/>
      <c r="JA191" s="23"/>
      <c r="JB191" s="23"/>
    </row>
    <row r="192" spans="1:262" s="137" customFormat="1" x14ac:dyDescent="0.3">
      <c r="A192" s="47"/>
      <c r="B192" s="40" t="s">
        <v>213</v>
      </c>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98">
        <f>+'March 2022'!AB195</f>
        <v>2315</v>
      </c>
      <c r="AC192" s="43"/>
      <c r="AD192" s="22"/>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c r="BO192" s="23"/>
      <c r="BP192" s="23"/>
      <c r="BQ192" s="23"/>
      <c r="BR192" s="23"/>
      <c r="BS192" s="23"/>
      <c r="BT192" s="23"/>
      <c r="BU192" s="23"/>
      <c r="BV192" s="23"/>
      <c r="BW192" s="23"/>
      <c r="BX192" s="23"/>
      <c r="BY192" s="23"/>
      <c r="BZ192" s="23"/>
      <c r="CA192" s="23"/>
      <c r="CB192" s="23"/>
      <c r="CC192" s="23"/>
      <c r="CD192" s="23"/>
      <c r="CE192" s="23"/>
      <c r="CF192" s="23"/>
      <c r="CG192" s="23"/>
      <c r="CH192" s="23"/>
      <c r="CI192" s="23"/>
      <c r="CJ192" s="23"/>
      <c r="CK192" s="23"/>
      <c r="CL192" s="23"/>
      <c r="CM192" s="23"/>
      <c r="CN192" s="23"/>
      <c r="CO192" s="23"/>
      <c r="CP192" s="23"/>
      <c r="CQ192" s="23"/>
      <c r="CR192" s="23"/>
      <c r="CS192" s="23"/>
      <c r="CT192" s="23"/>
      <c r="CU192" s="23"/>
      <c r="CV192" s="23"/>
      <c r="CW192" s="23"/>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c r="EB192" s="23"/>
      <c r="EC192" s="23"/>
      <c r="ED192" s="23"/>
      <c r="EE192" s="23"/>
      <c r="EF192" s="23"/>
      <c r="EG192" s="23"/>
      <c r="EH192" s="23"/>
      <c r="EI192" s="23"/>
      <c r="EJ192" s="23"/>
      <c r="EK192" s="23"/>
      <c r="EL192" s="23"/>
      <c r="EM192" s="23"/>
      <c r="EN192" s="23"/>
      <c r="EO192" s="23"/>
      <c r="EP192" s="23"/>
      <c r="EQ192" s="23"/>
      <c r="ER192" s="23"/>
      <c r="ES192" s="23"/>
      <c r="ET192" s="23"/>
      <c r="EU192" s="23"/>
      <c r="EV192" s="23"/>
      <c r="EW192" s="23"/>
      <c r="EX192" s="23"/>
      <c r="EY192" s="23"/>
      <c r="EZ192" s="23"/>
      <c r="FA192" s="23"/>
      <c r="FB192" s="23"/>
      <c r="FC192" s="23"/>
      <c r="FD192" s="23"/>
      <c r="FE192" s="23"/>
      <c r="FF192" s="23"/>
      <c r="FG192" s="23"/>
      <c r="FH192" s="23"/>
      <c r="FI192" s="23"/>
      <c r="FJ192" s="23"/>
      <c r="FK192" s="23"/>
      <c r="FL192" s="23"/>
      <c r="FM192" s="23"/>
      <c r="FN192" s="23"/>
      <c r="FO192" s="23"/>
      <c r="FP192" s="23"/>
      <c r="FQ192" s="23"/>
      <c r="FR192" s="23"/>
      <c r="FS192" s="23"/>
      <c r="FT192" s="23"/>
      <c r="FU192" s="23"/>
      <c r="FV192" s="23"/>
      <c r="FW192" s="23"/>
      <c r="FX192" s="23"/>
      <c r="FY192" s="23"/>
      <c r="FZ192" s="23"/>
      <c r="GA192" s="23"/>
      <c r="GB192" s="23"/>
      <c r="GC192" s="23"/>
      <c r="GD192" s="23"/>
      <c r="GE192" s="23"/>
      <c r="GF192" s="23"/>
      <c r="GG192" s="23"/>
      <c r="GH192" s="23"/>
      <c r="GI192" s="23"/>
      <c r="GJ192" s="23"/>
      <c r="GK192" s="23"/>
      <c r="GL192" s="23"/>
      <c r="GM192" s="23"/>
      <c r="GN192" s="23"/>
      <c r="GO192" s="23"/>
      <c r="GP192" s="23"/>
      <c r="GQ192" s="23"/>
      <c r="GR192" s="23"/>
      <c r="GS192" s="23"/>
      <c r="GT192" s="23"/>
      <c r="GU192" s="23"/>
      <c r="GV192" s="23"/>
      <c r="GW192" s="23"/>
      <c r="GX192" s="23"/>
      <c r="GY192" s="23"/>
      <c r="GZ192" s="23"/>
      <c r="HA192" s="23"/>
      <c r="HB192" s="23"/>
      <c r="HC192" s="23"/>
      <c r="HD192" s="23"/>
      <c r="HE192" s="23"/>
      <c r="HF192" s="23"/>
      <c r="HG192" s="23"/>
      <c r="HH192" s="23"/>
      <c r="HI192" s="23"/>
      <c r="HJ192" s="23"/>
      <c r="HK192" s="23"/>
      <c r="HL192" s="23"/>
      <c r="HM192" s="23"/>
      <c r="HN192" s="23"/>
      <c r="HO192" s="23"/>
      <c r="HP192" s="23"/>
      <c r="HQ192" s="23"/>
      <c r="HR192" s="23"/>
      <c r="HS192" s="23"/>
      <c r="HT192" s="23"/>
      <c r="HU192" s="23"/>
      <c r="HV192" s="23"/>
      <c r="HW192" s="23"/>
      <c r="HX192" s="23"/>
      <c r="HY192" s="23"/>
      <c r="HZ192" s="23"/>
      <c r="IA192" s="23"/>
      <c r="IB192" s="23"/>
      <c r="IC192" s="23"/>
      <c r="ID192" s="23"/>
      <c r="IE192" s="23"/>
      <c r="IF192" s="23"/>
      <c r="IG192" s="23"/>
      <c r="IH192" s="23"/>
      <c r="II192" s="23"/>
      <c r="IJ192" s="23"/>
      <c r="IK192" s="23"/>
      <c r="IL192" s="23"/>
      <c r="IM192" s="23"/>
      <c r="IN192" s="23"/>
      <c r="IO192" s="23"/>
      <c r="IP192" s="23"/>
      <c r="IQ192" s="23"/>
      <c r="IR192" s="23"/>
      <c r="IS192" s="23"/>
      <c r="IT192" s="23"/>
      <c r="IU192" s="23"/>
      <c r="IV192" s="23"/>
      <c r="IW192" s="23"/>
      <c r="IX192" s="23"/>
      <c r="IY192" s="23"/>
      <c r="IZ192" s="23"/>
      <c r="JA192" s="23"/>
      <c r="JB192" s="23"/>
    </row>
    <row r="193" spans="1:262" s="137" customFormat="1" x14ac:dyDescent="0.3">
      <c r="A193" s="47"/>
      <c r="B193" s="40" t="s">
        <v>235</v>
      </c>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98">
        <f>AB201</f>
        <v>1209</v>
      </c>
      <c r="AC193" s="43"/>
      <c r="AD193" s="22"/>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c r="BO193" s="23"/>
      <c r="BP193" s="23"/>
      <c r="BQ193" s="23"/>
      <c r="BR193" s="23"/>
      <c r="BS193" s="23"/>
      <c r="BT193" s="23"/>
      <c r="BU193" s="23"/>
      <c r="BV193" s="23"/>
      <c r="BW193" s="23"/>
      <c r="BX193" s="23"/>
      <c r="BY193" s="23"/>
      <c r="BZ193" s="23"/>
      <c r="CA193" s="23"/>
      <c r="CB193" s="23"/>
      <c r="CC193" s="23"/>
      <c r="CD193" s="23"/>
      <c r="CE193" s="23"/>
      <c r="CF193" s="23"/>
      <c r="CG193" s="23"/>
      <c r="CH193" s="23"/>
      <c r="CI193" s="23"/>
      <c r="CJ193" s="23"/>
      <c r="CK193" s="23"/>
      <c r="CL193" s="23"/>
      <c r="CM193" s="23"/>
      <c r="CN193" s="23"/>
      <c r="CO193" s="23"/>
      <c r="CP193" s="23"/>
      <c r="CQ193" s="23"/>
      <c r="CR193" s="23"/>
      <c r="CS193" s="23"/>
      <c r="CT193" s="23"/>
      <c r="CU193" s="23"/>
      <c r="CV193" s="23"/>
      <c r="CW193" s="23"/>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c r="EB193" s="23"/>
      <c r="EC193" s="23"/>
      <c r="ED193" s="23"/>
      <c r="EE193" s="23"/>
      <c r="EF193" s="23"/>
      <c r="EG193" s="23"/>
      <c r="EH193" s="23"/>
      <c r="EI193" s="23"/>
      <c r="EJ193" s="23"/>
      <c r="EK193" s="23"/>
      <c r="EL193" s="23"/>
      <c r="EM193" s="23"/>
      <c r="EN193" s="23"/>
      <c r="EO193" s="23"/>
      <c r="EP193" s="23"/>
      <c r="EQ193" s="23"/>
      <c r="ER193" s="23"/>
      <c r="ES193" s="23"/>
      <c r="ET193" s="23"/>
      <c r="EU193" s="23"/>
      <c r="EV193" s="23"/>
      <c r="EW193" s="23"/>
      <c r="EX193" s="23"/>
      <c r="EY193" s="23"/>
      <c r="EZ193" s="23"/>
      <c r="FA193" s="23"/>
      <c r="FB193" s="23"/>
      <c r="FC193" s="23"/>
      <c r="FD193" s="23"/>
      <c r="FE193" s="23"/>
      <c r="FF193" s="23"/>
      <c r="FG193" s="23"/>
      <c r="FH193" s="23"/>
      <c r="FI193" s="23"/>
      <c r="FJ193" s="23"/>
      <c r="FK193" s="23"/>
      <c r="FL193" s="23"/>
      <c r="FM193" s="23"/>
      <c r="FN193" s="23"/>
      <c r="FO193" s="23"/>
      <c r="FP193" s="23"/>
      <c r="FQ193" s="23"/>
      <c r="FR193" s="23"/>
      <c r="FS193" s="23"/>
      <c r="FT193" s="23"/>
      <c r="FU193" s="23"/>
      <c r="FV193" s="23"/>
      <c r="FW193" s="23"/>
      <c r="FX193" s="23"/>
      <c r="FY193" s="23"/>
      <c r="FZ193" s="23"/>
      <c r="GA193" s="23"/>
      <c r="GB193" s="23"/>
      <c r="GC193" s="23"/>
      <c r="GD193" s="23"/>
      <c r="GE193" s="23"/>
      <c r="GF193" s="23"/>
      <c r="GG193" s="23"/>
      <c r="GH193" s="23"/>
      <c r="GI193" s="23"/>
      <c r="GJ193" s="23"/>
      <c r="GK193" s="23"/>
      <c r="GL193" s="23"/>
      <c r="GM193" s="23"/>
      <c r="GN193" s="23"/>
      <c r="GO193" s="23"/>
      <c r="GP193" s="23"/>
      <c r="GQ193" s="23"/>
      <c r="GR193" s="23"/>
      <c r="GS193" s="23"/>
      <c r="GT193" s="23"/>
      <c r="GU193" s="23"/>
      <c r="GV193" s="23"/>
      <c r="GW193" s="23"/>
      <c r="GX193" s="23"/>
      <c r="GY193" s="23"/>
      <c r="GZ193" s="23"/>
      <c r="HA193" s="23"/>
      <c r="HB193" s="23"/>
      <c r="HC193" s="23"/>
      <c r="HD193" s="23"/>
      <c r="HE193" s="23"/>
      <c r="HF193" s="23"/>
      <c r="HG193" s="23"/>
      <c r="HH193" s="23"/>
      <c r="HI193" s="23"/>
      <c r="HJ193" s="23"/>
      <c r="HK193" s="23"/>
      <c r="HL193" s="23"/>
      <c r="HM193" s="23"/>
      <c r="HN193" s="23"/>
      <c r="HO193" s="23"/>
      <c r="HP193" s="23"/>
      <c r="HQ193" s="23"/>
      <c r="HR193" s="23"/>
      <c r="HS193" s="23"/>
      <c r="HT193" s="23"/>
      <c r="HU193" s="23"/>
      <c r="HV193" s="23"/>
      <c r="HW193" s="23"/>
      <c r="HX193" s="23"/>
      <c r="HY193" s="23"/>
      <c r="HZ193" s="23"/>
      <c r="IA193" s="23"/>
      <c r="IB193" s="23"/>
      <c r="IC193" s="23"/>
      <c r="ID193" s="23"/>
      <c r="IE193" s="23"/>
      <c r="IF193" s="23"/>
      <c r="IG193" s="23"/>
      <c r="IH193" s="23"/>
      <c r="II193" s="23"/>
      <c r="IJ193" s="23"/>
      <c r="IK193" s="23"/>
      <c r="IL193" s="23"/>
      <c r="IM193" s="23"/>
      <c r="IN193" s="23"/>
      <c r="IO193" s="23"/>
      <c r="IP193" s="23"/>
      <c r="IQ193" s="23"/>
      <c r="IR193" s="23"/>
      <c r="IS193" s="23"/>
      <c r="IT193" s="23"/>
      <c r="IU193" s="23"/>
      <c r="IV193" s="23"/>
      <c r="IW193" s="23"/>
      <c r="IX193" s="23"/>
      <c r="IY193" s="23"/>
      <c r="IZ193" s="23"/>
      <c r="JA193" s="23"/>
      <c r="JB193" s="23"/>
    </row>
    <row r="194" spans="1:262" s="137" customFormat="1" x14ac:dyDescent="0.3">
      <c r="A194" s="47"/>
      <c r="B194" s="40" t="s">
        <v>230</v>
      </c>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98">
        <f>AB82</f>
        <v>1929</v>
      </c>
      <c r="AC194" s="43"/>
      <c r="AD194" s="22"/>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c r="BO194" s="23"/>
      <c r="BP194" s="23"/>
      <c r="BQ194" s="23"/>
      <c r="BR194" s="23"/>
      <c r="BS194" s="23"/>
      <c r="BT194" s="23"/>
      <c r="BU194" s="23"/>
      <c r="BV194" s="23"/>
      <c r="BW194" s="23"/>
      <c r="BX194" s="23"/>
      <c r="BY194" s="23"/>
      <c r="BZ194" s="23"/>
      <c r="CA194" s="23"/>
      <c r="CB194" s="23"/>
      <c r="CC194" s="23"/>
      <c r="CD194" s="23"/>
      <c r="CE194" s="23"/>
      <c r="CF194" s="23"/>
      <c r="CG194" s="23"/>
      <c r="CH194" s="23"/>
      <c r="CI194" s="23"/>
      <c r="CJ194" s="23"/>
      <c r="CK194" s="23"/>
      <c r="CL194" s="23"/>
      <c r="CM194" s="23"/>
      <c r="CN194" s="23"/>
      <c r="CO194" s="23"/>
      <c r="CP194" s="23"/>
      <c r="CQ194" s="23"/>
      <c r="CR194" s="23"/>
      <c r="CS194" s="23"/>
      <c r="CT194" s="23"/>
      <c r="CU194" s="23"/>
      <c r="CV194" s="23"/>
      <c r="CW194" s="23"/>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c r="EB194" s="23"/>
      <c r="EC194" s="23"/>
      <c r="ED194" s="23"/>
      <c r="EE194" s="23"/>
      <c r="EF194" s="23"/>
      <c r="EG194" s="23"/>
      <c r="EH194" s="23"/>
      <c r="EI194" s="23"/>
      <c r="EJ194" s="23"/>
      <c r="EK194" s="23"/>
      <c r="EL194" s="23"/>
      <c r="EM194" s="23"/>
      <c r="EN194" s="23"/>
      <c r="EO194" s="23"/>
      <c r="EP194" s="23"/>
      <c r="EQ194" s="23"/>
      <c r="ER194" s="23"/>
      <c r="ES194" s="23"/>
      <c r="ET194" s="23"/>
      <c r="EU194" s="23"/>
      <c r="EV194" s="23"/>
      <c r="EW194" s="23"/>
      <c r="EX194" s="23"/>
      <c r="EY194" s="23"/>
      <c r="EZ194" s="23"/>
      <c r="FA194" s="23"/>
      <c r="FB194" s="23"/>
      <c r="FC194" s="23"/>
      <c r="FD194" s="23"/>
      <c r="FE194" s="23"/>
      <c r="FF194" s="23"/>
      <c r="FG194" s="23"/>
      <c r="FH194" s="23"/>
      <c r="FI194" s="23"/>
      <c r="FJ194" s="23"/>
      <c r="FK194" s="23"/>
      <c r="FL194" s="23"/>
      <c r="FM194" s="23"/>
      <c r="FN194" s="23"/>
      <c r="FO194" s="23"/>
      <c r="FP194" s="23"/>
      <c r="FQ194" s="23"/>
      <c r="FR194" s="23"/>
      <c r="FS194" s="23"/>
      <c r="FT194" s="23"/>
      <c r="FU194" s="23"/>
      <c r="FV194" s="23"/>
      <c r="FW194" s="23"/>
      <c r="FX194" s="23"/>
      <c r="FY194" s="23"/>
      <c r="FZ194" s="23"/>
      <c r="GA194" s="23"/>
      <c r="GB194" s="23"/>
      <c r="GC194" s="23"/>
      <c r="GD194" s="23"/>
      <c r="GE194" s="23"/>
      <c r="GF194" s="23"/>
      <c r="GG194" s="23"/>
      <c r="GH194" s="23"/>
      <c r="GI194" s="23"/>
      <c r="GJ194" s="23"/>
      <c r="GK194" s="23"/>
      <c r="GL194" s="23"/>
      <c r="GM194" s="23"/>
      <c r="GN194" s="23"/>
      <c r="GO194" s="23"/>
      <c r="GP194" s="23"/>
      <c r="GQ194" s="23"/>
      <c r="GR194" s="23"/>
      <c r="GS194" s="23"/>
      <c r="GT194" s="23"/>
      <c r="GU194" s="23"/>
      <c r="GV194" s="23"/>
      <c r="GW194" s="23"/>
      <c r="GX194" s="23"/>
      <c r="GY194" s="23"/>
      <c r="GZ194" s="23"/>
      <c r="HA194" s="23"/>
      <c r="HB194" s="23"/>
      <c r="HC194" s="23"/>
      <c r="HD194" s="23"/>
      <c r="HE194" s="23"/>
      <c r="HF194" s="23"/>
      <c r="HG194" s="23"/>
      <c r="HH194" s="23"/>
      <c r="HI194" s="23"/>
      <c r="HJ194" s="23"/>
      <c r="HK194" s="23"/>
      <c r="HL194" s="23"/>
      <c r="HM194" s="23"/>
      <c r="HN194" s="23"/>
      <c r="HO194" s="23"/>
      <c r="HP194" s="23"/>
      <c r="HQ194" s="23"/>
      <c r="HR194" s="23"/>
      <c r="HS194" s="23"/>
      <c r="HT194" s="23"/>
      <c r="HU194" s="23"/>
      <c r="HV194" s="23"/>
      <c r="HW194" s="23"/>
      <c r="HX194" s="23"/>
      <c r="HY194" s="23"/>
      <c r="HZ194" s="23"/>
      <c r="IA194" s="23"/>
      <c r="IB194" s="23"/>
      <c r="IC194" s="23"/>
      <c r="ID194" s="23"/>
      <c r="IE194" s="23"/>
      <c r="IF194" s="23"/>
      <c r="IG194" s="23"/>
      <c r="IH194" s="23"/>
      <c r="II194" s="23"/>
      <c r="IJ194" s="23"/>
      <c r="IK194" s="23"/>
      <c r="IL194" s="23"/>
      <c r="IM194" s="23"/>
      <c r="IN194" s="23"/>
      <c r="IO194" s="23"/>
      <c r="IP194" s="23"/>
      <c r="IQ194" s="23"/>
      <c r="IR194" s="23"/>
      <c r="IS194" s="23"/>
      <c r="IT194" s="23"/>
      <c r="IU194" s="23"/>
      <c r="IV194" s="23"/>
      <c r="IW194" s="23"/>
      <c r="IX194" s="23"/>
      <c r="IY194" s="23"/>
      <c r="IZ194" s="23"/>
      <c r="JA194" s="23"/>
      <c r="JB194" s="23"/>
    </row>
    <row r="195" spans="1:262" s="137" customFormat="1" x14ac:dyDescent="0.3">
      <c r="A195" s="47"/>
      <c r="B195" s="40" t="s">
        <v>346</v>
      </c>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98">
        <f>AB192+AB193-AB194</f>
        <v>1595</v>
      </c>
      <c r="AC195" s="43"/>
      <c r="AD195" s="22"/>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c r="BO195" s="23"/>
      <c r="BP195" s="23"/>
      <c r="BQ195" s="23"/>
      <c r="BR195" s="23"/>
      <c r="BS195" s="23"/>
      <c r="BT195" s="23"/>
      <c r="BU195" s="23"/>
      <c r="BV195" s="23"/>
      <c r="BW195" s="23"/>
      <c r="BX195" s="23"/>
      <c r="BY195" s="23"/>
      <c r="BZ195" s="23"/>
      <c r="CA195" s="23"/>
      <c r="CB195" s="23"/>
      <c r="CC195" s="23"/>
      <c r="CD195" s="23"/>
      <c r="CE195" s="23"/>
      <c r="CF195" s="23"/>
      <c r="CG195" s="23"/>
      <c r="CH195" s="23"/>
      <c r="CI195" s="23"/>
      <c r="CJ195" s="23"/>
      <c r="CK195" s="23"/>
      <c r="CL195" s="23"/>
      <c r="CM195" s="23"/>
      <c r="CN195" s="23"/>
      <c r="CO195" s="23"/>
      <c r="CP195" s="23"/>
      <c r="CQ195" s="23"/>
      <c r="CR195" s="23"/>
      <c r="CS195" s="23"/>
      <c r="CT195" s="23"/>
      <c r="CU195" s="23"/>
      <c r="CV195" s="23"/>
      <c r="CW195" s="23"/>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c r="EB195" s="23"/>
      <c r="EC195" s="23"/>
      <c r="ED195" s="23"/>
      <c r="EE195" s="23"/>
      <c r="EF195" s="23"/>
      <c r="EG195" s="23"/>
      <c r="EH195" s="23"/>
      <c r="EI195" s="23"/>
      <c r="EJ195" s="23"/>
      <c r="EK195" s="23"/>
      <c r="EL195" s="23"/>
      <c r="EM195" s="23"/>
      <c r="EN195" s="23"/>
      <c r="EO195" s="23"/>
      <c r="EP195" s="23"/>
      <c r="EQ195" s="23"/>
      <c r="ER195" s="23"/>
      <c r="ES195" s="23"/>
      <c r="ET195" s="23"/>
      <c r="EU195" s="23"/>
      <c r="EV195" s="23"/>
      <c r="EW195" s="23"/>
      <c r="EX195" s="23"/>
      <c r="EY195" s="23"/>
      <c r="EZ195" s="23"/>
      <c r="FA195" s="23"/>
      <c r="FB195" s="23"/>
      <c r="FC195" s="23"/>
      <c r="FD195" s="23"/>
      <c r="FE195" s="23"/>
      <c r="FF195" s="23"/>
      <c r="FG195" s="23"/>
      <c r="FH195" s="23"/>
      <c r="FI195" s="23"/>
      <c r="FJ195" s="23"/>
      <c r="FK195" s="23"/>
      <c r="FL195" s="23"/>
      <c r="FM195" s="23"/>
      <c r="FN195" s="23"/>
      <c r="FO195" s="23"/>
      <c r="FP195" s="23"/>
      <c r="FQ195" s="23"/>
      <c r="FR195" s="23"/>
      <c r="FS195" s="23"/>
      <c r="FT195" s="23"/>
      <c r="FU195" s="23"/>
      <c r="FV195" s="23"/>
      <c r="FW195" s="23"/>
      <c r="FX195" s="23"/>
      <c r="FY195" s="23"/>
      <c r="FZ195" s="23"/>
      <c r="GA195" s="23"/>
      <c r="GB195" s="23"/>
      <c r="GC195" s="23"/>
      <c r="GD195" s="23"/>
      <c r="GE195" s="23"/>
      <c r="GF195" s="23"/>
      <c r="GG195" s="23"/>
      <c r="GH195" s="23"/>
      <c r="GI195" s="23"/>
      <c r="GJ195" s="23"/>
      <c r="GK195" s="23"/>
      <c r="GL195" s="23"/>
      <c r="GM195" s="23"/>
      <c r="GN195" s="23"/>
      <c r="GO195" s="23"/>
      <c r="GP195" s="23"/>
      <c r="GQ195" s="23"/>
      <c r="GR195" s="23"/>
      <c r="GS195" s="23"/>
      <c r="GT195" s="23"/>
      <c r="GU195" s="23"/>
      <c r="GV195" s="23"/>
      <c r="GW195" s="23"/>
      <c r="GX195" s="23"/>
      <c r="GY195" s="23"/>
      <c r="GZ195" s="23"/>
      <c r="HA195" s="23"/>
      <c r="HB195" s="23"/>
      <c r="HC195" s="23"/>
      <c r="HD195" s="23"/>
      <c r="HE195" s="23"/>
      <c r="HF195" s="23"/>
      <c r="HG195" s="23"/>
      <c r="HH195" s="23"/>
      <c r="HI195" s="23"/>
      <c r="HJ195" s="23"/>
      <c r="HK195" s="23"/>
      <c r="HL195" s="23"/>
      <c r="HM195" s="23"/>
      <c r="HN195" s="23"/>
      <c r="HO195" s="23"/>
      <c r="HP195" s="23"/>
      <c r="HQ195" s="23"/>
      <c r="HR195" s="23"/>
      <c r="HS195" s="23"/>
      <c r="HT195" s="23"/>
      <c r="HU195" s="23"/>
      <c r="HV195" s="23"/>
      <c r="HW195" s="23"/>
      <c r="HX195" s="23"/>
      <c r="HY195" s="23"/>
      <c r="HZ195" s="23"/>
      <c r="IA195" s="23"/>
      <c r="IB195" s="23"/>
      <c r="IC195" s="23"/>
      <c r="ID195" s="23"/>
      <c r="IE195" s="23"/>
      <c r="IF195" s="23"/>
      <c r="IG195" s="23"/>
      <c r="IH195" s="23"/>
      <c r="II195" s="23"/>
      <c r="IJ195" s="23"/>
      <c r="IK195" s="23"/>
      <c r="IL195" s="23"/>
      <c r="IM195" s="23"/>
      <c r="IN195" s="23"/>
      <c r="IO195" s="23"/>
      <c r="IP195" s="23"/>
      <c r="IQ195" s="23"/>
      <c r="IR195" s="23"/>
      <c r="IS195" s="23"/>
      <c r="IT195" s="23"/>
      <c r="IU195" s="23"/>
      <c r="IV195" s="23"/>
      <c r="IW195" s="23"/>
      <c r="IX195" s="23"/>
      <c r="IY195" s="23"/>
      <c r="IZ195" s="23"/>
      <c r="JA195" s="23"/>
      <c r="JB195" s="23"/>
    </row>
    <row r="196" spans="1:262" s="139" customFormat="1" ht="16.2" thickBot="1" x14ac:dyDescent="0.35">
      <c r="A196" s="138"/>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c r="AA196" s="99"/>
      <c r="AB196" s="126"/>
      <c r="AC196" s="10"/>
      <c r="AD196" s="5"/>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row>
    <row r="197" spans="1:262" x14ac:dyDescent="0.3">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134"/>
      <c r="AC197" s="4"/>
      <c r="AD197" s="5"/>
    </row>
    <row r="198" spans="1:262" s="136" customFormat="1" x14ac:dyDescent="0.3">
      <c r="A198" s="7"/>
      <c r="B198" s="125" t="s">
        <v>333</v>
      </c>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c r="AA198" s="99"/>
      <c r="AB198" s="135"/>
      <c r="AC198" s="10"/>
      <c r="AD198" s="5"/>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row>
    <row r="199" spans="1:262" s="137" customFormat="1" x14ac:dyDescent="0.3">
      <c r="A199" s="47"/>
      <c r="B199" s="40" t="s">
        <v>214</v>
      </c>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98">
        <v>301</v>
      </c>
      <c r="AC199" s="43"/>
      <c r="AD199" s="22"/>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c r="BO199" s="23"/>
      <c r="BP199" s="23"/>
      <c r="BQ199" s="23"/>
      <c r="BR199" s="23"/>
      <c r="BS199" s="23"/>
      <c r="BT199" s="23"/>
      <c r="BU199" s="23"/>
      <c r="BV199" s="23"/>
      <c r="BW199" s="23"/>
      <c r="BX199" s="23"/>
      <c r="BY199" s="23"/>
      <c r="BZ199" s="23"/>
      <c r="CA199" s="23"/>
      <c r="CB199" s="23"/>
      <c r="CC199" s="23"/>
      <c r="CD199" s="23"/>
      <c r="CE199" s="23"/>
      <c r="CF199" s="23"/>
      <c r="CG199" s="23"/>
      <c r="CH199" s="23"/>
      <c r="CI199" s="23"/>
      <c r="CJ199" s="23"/>
      <c r="CK199" s="23"/>
      <c r="CL199" s="23"/>
      <c r="CM199" s="23"/>
      <c r="CN199" s="23"/>
      <c r="CO199" s="23"/>
      <c r="CP199" s="23"/>
      <c r="CQ199" s="23"/>
      <c r="CR199" s="23"/>
      <c r="CS199" s="23"/>
      <c r="CT199" s="23"/>
      <c r="CU199" s="23"/>
      <c r="CV199" s="23"/>
      <c r="CW199" s="23"/>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c r="EB199" s="23"/>
      <c r="EC199" s="23"/>
      <c r="ED199" s="23"/>
      <c r="EE199" s="23"/>
      <c r="EF199" s="23"/>
      <c r="EG199" s="23"/>
      <c r="EH199" s="23"/>
      <c r="EI199" s="23"/>
      <c r="EJ199" s="23"/>
      <c r="EK199" s="23"/>
      <c r="EL199" s="23"/>
      <c r="EM199" s="23"/>
      <c r="EN199" s="23"/>
      <c r="EO199" s="23"/>
      <c r="EP199" s="23"/>
      <c r="EQ199" s="23"/>
      <c r="ER199" s="23"/>
      <c r="ES199" s="23"/>
      <c r="ET199" s="23"/>
      <c r="EU199" s="23"/>
      <c r="EV199" s="23"/>
      <c r="EW199" s="23"/>
      <c r="EX199" s="23"/>
      <c r="EY199" s="23"/>
      <c r="EZ199" s="23"/>
      <c r="FA199" s="23"/>
      <c r="FB199" s="23"/>
      <c r="FC199" s="23"/>
      <c r="FD199" s="23"/>
      <c r="FE199" s="23"/>
      <c r="FF199" s="23"/>
      <c r="FG199" s="23"/>
      <c r="FH199" s="23"/>
      <c r="FI199" s="23"/>
      <c r="FJ199" s="23"/>
      <c r="FK199" s="23"/>
      <c r="FL199" s="23"/>
      <c r="FM199" s="23"/>
      <c r="FN199" s="23"/>
      <c r="FO199" s="23"/>
      <c r="FP199" s="23"/>
      <c r="FQ199" s="23"/>
      <c r="FR199" s="23"/>
      <c r="FS199" s="23"/>
      <c r="FT199" s="23"/>
      <c r="FU199" s="23"/>
      <c r="FV199" s="23"/>
      <c r="FW199" s="23"/>
      <c r="FX199" s="23"/>
      <c r="FY199" s="23"/>
      <c r="FZ199" s="23"/>
      <c r="GA199" s="23"/>
      <c r="GB199" s="23"/>
      <c r="GC199" s="23"/>
      <c r="GD199" s="23"/>
      <c r="GE199" s="23"/>
      <c r="GF199" s="23"/>
      <c r="GG199" s="23"/>
      <c r="GH199" s="23"/>
      <c r="GI199" s="23"/>
      <c r="GJ199" s="23"/>
      <c r="GK199" s="23"/>
      <c r="GL199" s="23"/>
      <c r="GM199" s="23"/>
      <c r="GN199" s="23"/>
      <c r="GO199" s="23"/>
      <c r="GP199" s="23"/>
      <c r="GQ199" s="23"/>
      <c r="GR199" s="23"/>
      <c r="GS199" s="23"/>
      <c r="GT199" s="23"/>
      <c r="GU199" s="23"/>
      <c r="GV199" s="23"/>
      <c r="GW199" s="23"/>
      <c r="GX199" s="23"/>
      <c r="GY199" s="23"/>
      <c r="GZ199" s="23"/>
      <c r="HA199" s="23"/>
      <c r="HB199" s="23"/>
      <c r="HC199" s="23"/>
      <c r="HD199" s="23"/>
      <c r="HE199" s="23"/>
      <c r="HF199" s="23"/>
      <c r="HG199" s="23"/>
      <c r="HH199" s="23"/>
      <c r="HI199" s="23"/>
      <c r="HJ199" s="23"/>
      <c r="HK199" s="23"/>
      <c r="HL199" s="23"/>
      <c r="HM199" s="23"/>
      <c r="HN199" s="23"/>
      <c r="HO199" s="23"/>
      <c r="HP199" s="23"/>
      <c r="HQ199" s="23"/>
      <c r="HR199" s="23"/>
      <c r="HS199" s="23"/>
      <c r="HT199" s="23"/>
      <c r="HU199" s="23"/>
      <c r="HV199" s="23"/>
      <c r="HW199" s="23"/>
      <c r="HX199" s="23"/>
      <c r="HY199" s="23"/>
      <c r="HZ199" s="23"/>
      <c r="IA199" s="23"/>
      <c r="IB199" s="23"/>
      <c r="IC199" s="23"/>
      <c r="ID199" s="23"/>
      <c r="IE199" s="23"/>
      <c r="IF199" s="23"/>
      <c r="IG199" s="23"/>
      <c r="IH199" s="23"/>
      <c r="II199" s="23"/>
      <c r="IJ199" s="23"/>
      <c r="IK199" s="23"/>
      <c r="IL199" s="23"/>
      <c r="IM199" s="23"/>
      <c r="IN199" s="23"/>
      <c r="IO199" s="23"/>
      <c r="IP199" s="23"/>
      <c r="IQ199" s="23"/>
      <c r="IR199" s="23"/>
      <c r="IS199" s="23"/>
      <c r="IT199" s="23"/>
      <c r="IU199" s="23"/>
      <c r="IV199" s="23"/>
      <c r="IW199" s="23"/>
      <c r="IX199" s="23"/>
      <c r="IY199" s="23"/>
      <c r="IZ199" s="23"/>
      <c r="JA199" s="23"/>
      <c r="JB199" s="23"/>
    </row>
    <row r="200" spans="1:262" s="137" customFormat="1" x14ac:dyDescent="0.3">
      <c r="A200" s="47"/>
      <c r="B200" s="40" t="s">
        <v>215</v>
      </c>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98">
        <f>+'March 2022'!AB203</f>
        <v>1272</v>
      </c>
      <c r="AC200" s="43"/>
      <c r="AD200" s="22"/>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c r="BR200" s="23"/>
      <c r="BS200" s="23"/>
      <c r="BT200" s="23"/>
      <c r="BU200" s="23"/>
      <c r="BV200" s="23"/>
      <c r="BW200" s="23"/>
      <c r="BX200" s="23"/>
      <c r="BY200" s="23"/>
      <c r="BZ200" s="23"/>
      <c r="CA200" s="23"/>
      <c r="CB200" s="23"/>
      <c r="CC200" s="23"/>
      <c r="CD200" s="23"/>
      <c r="CE200" s="23"/>
      <c r="CF200" s="23"/>
      <c r="CG200" s="23"/>
      <c r="CH200" s="23"/>
      <c r="CI200" s="23"/>
      <c r="CJ200" s="23"/>
      <c r="CK200" s="23"/>
      <c r="CL200" s="23"/>
      <c r="CM200" s="23"/>
      <c r="CN200" s="23"/>
      <c r="CO200" s="23"/>
      <c r="CP200" s="23"/>
      <c r="CQ200" s="23"/>
      <c r="CR200" s="23"/>
      <c r="CS200" s="23"/>
      <c r="CT200" s="23"/>
      <c r="CU200" s="23"/>
      <c r="CV200" s="23"/>
      <c r="CW200" s="23"/>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c r="EB200" s="23"/>
      <c r="EC200" s="23"/>
      <c r="ED200" s="23"/>
      <c r="EE200" s="23"/>
      <c r="EF200" s="23"/>
      <c r="EG200" s="23"/>
      <c r="EH200" s="23"/>
      <c r="EI200" s="23"/>
      <c r="EJ200" s="23"/>
      <c r="EK200" s="23"/>
      <c r="EL200" s="23"/>
      <c r="EM200" s="23"/>
      <c r="EN200" s="23"/>
      <c r="EO200" s="23"/>
      <c r="EP200" s="23"/>
      <c r="EQ200" s="23"/>
      <c r="ER200" s="23"/>
      <c r="ES200" s="23"/>
      <c r="ET200" s="23"/>
      <c r="EU200" s="23"/>
      <c r="EV200" s="23"/>
      <c r="EW200" s="23"/>
      <c r="EX200" s="23"/>
      <c r="EY200" s="23"/>
      <c r="EZ200" s="23"/>
      <c r="FA200" s="23"/>
      <c r="FB200" s="23"/>
      <c r="FC200" s="23"/>
      <c r="FD200" s="23"/>
      <c r="FE200" s="23"/>
      <c r="FF200" s="23"/>
      <c r="FG200" s="23"/>
      <c r="FH200" s="23"/>
      <c r="FI200" s="23"/>
      <c r="FJ200" s="23"/>
      <c r="FK200" s="23"/>
      <c r="FL200" s="23"/>
      <c r="FM200" s="23"/>
      <c r="FN200" s="23"/>
      <c r="FO200" s="23"/>
      <c r="FP200" s="23"/>
      <c r="FQ200" s="23"/>
      <c r="FR200" s="23"/>
      <c r="FS200" s="23"/>
      <c r="FT200" s="23"/>
      <c r="FU200" s="23"/>
      <c r="FV200" s="23"/>
      <c r="FW200" s="23"/>
      <c r="FX200" s="23"/>
      <c r="FY200" s="23"/>
      <c r="FZ200" s="23"/>
      <c r="GA200" s="23"/>
      <c r="GB200" s="23"/>
      <c r="GC200" s="23"/>
      <c r="GD200" s="23"/>
      <c r="GE200" s="23"/>
      <c r="GF200" s="23"/>
      <c r="GG200" s="23"/>
      <c r="GH200" s="23"/>
      <c r="GI200" s="23"/>
      <c r="GJ200" s="23"/>
      <c r="GK200" s="23"/>
      <c r="GL200" s="23"/>
      <c r="GM200" s="23"/>
      <c r="GN200" s="23"/>
      <c r="GO200" s="23"/>
      <c r="GP200" s="23"/>
      <c r="GQ200" s="23"/>
      <c r="GR200" s="23"/>
      <c r="GS200" s="23"/>
      <c r="GT200" s="23"/>
      <c r="GU200" s="23"/>
      <c r="GV200" s="23"/>
      <c r="GW200" s="23"/>
      <c r="GX200" s="23"/>
      <c r="GY200" s="23"/>
      <c r="GZ200" s="23"/>
      <c r="HA200" s="23"/>
      <c r="HB200" s="23"/>
      <c r="HC200" s="23"/>
      <c r="HD200" s="23"/>
      <c r="HE200" s="23"/>
      <c r="HF200" s="23"/>
      <c r="HG200" s="23"/>
      <c r="HH200" s="23"/>
      <c r="HI200" s="23"/>
      <c r="HJ200" s="23"/>
      <c r="HK200" s="23"/>
      <c r="HL200" s="23"/>
      <c r="HM200" s="23"/>
      <c r="HN200" s="23"/>
      <c r="HO200" s="23"/>
      <c r="HP200" s="23"/>
      <c r="HQ200" s="23"/>
      <c r="HR200" s="23"/>
      <c r="HS200" s="23"/>
      <c r="HT200" s="23"/>
      <c r="HU200" s="23"/>
      <c r="HV200" s="23"/>
      <c r="HW200" s="23"/>
      <c r="HX200" s="23"/>
      <c r="HY200" s="23"/>
      <c r="HZ200" s="23"/>
      <c r="IA200" s="23"/>
      <c r="IB200" s="23"/>
      <c r="IC200" s="23"/>
      <c r="ID200" s="23"/>
      <c r="IE200" s="23"/>
      <c r="IF200" s="23"/>
      <c r="IG200" s="23"/>
      <c r="IH200" s="23"/>
      <c r="II200" s="23"/>
      <c r="IJ200" s="23"/>
      <c r="IK200" s="23"/>
      <c r="IL200" s="23"/>
      <c r="IM200" s="23"/>
      <c r="IN200" s="23"/>
      <c r="IO200" s="23"/>
      <c r="IP200" s="23"/>
      <c r="IQ200" s="23"/>
      <c r="IR200" s="23"/>
      <c r="IS200" s="23"/>
      <c r="IT200" s="23"/>
      <c r="IU200" s="23"/>
      <c r="IV200" s="23"/>
      <c r="IW200" s="23"/>
      <c r="IX200" s="23"/>
      <c r="IY200" s="23"/>
      <c r="IZ200" s="23"/>
      <c r="JA200" s="23"/>
      <c r="JB200" s="23"/>
    </row>
    <row r="201" spans="1:262" s="137" customFormat="1" x14ac:dyDescent="0.3">
      <c r="A201" s="47"/>
      <c r="B201" s="59" t="s">
        <v>256</v>
      </c>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98">
        <v>1209</v>
      </c>
      <c r="AC201" s="43"/>
      <c r="AD201" s="22"/>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c r="BO201" s="23"/>
      <c r="BP201" s="23"/>
      <c r="BQ201" s="23"/>
      <c r="BR201" s="23"/>
      <c r="BS201" s="23"/>
      <c r="BT201" s="23"/>
      <c r="BU201" s="23"/>
      <c r="BV201" s="23"/>
      <c r="BW201" s="23"/>
      <c r="BX201" s="23"/>
      <c r="BY201" s="23"/>
      <c r="BZ201" s="23"/>
      <c r="CA201" s="23"/>
      <c r="CB201" s="23"/>
      <c r="CC201" s="23"/>
      <c r="CD201" s="23"/>
      <c r="CE201" s="23"/>
      <c r="CF201" s="23"/>
      <c r="CG201" s="23"/>
      <c r="CH201" s="23"/>
      <c r="CI201" s="23"/>
      <c r="CJ201" s="23"/>
      <c r="CK201" s="23"/>
      <c r="CL201" s="23"/>
      <c r="CM201" s="23"/>
      <c r="CN201" s="23"/>
      <c r="CO201" s="23"/>
      <c r="CP201" s="23"/>
      <c r="CQ201" s="23"/>
      <c r="CR201" s="23"/>
      <c r="CS201" s="23"/>
      <c r="CT201" s="23"/>
      <c r="CU201" s="23"/>
      <c r="CV201" s="23"/>
      <c r="CW201" s="23"/>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c r="EB201" s="23"/>
      <c r="EC201" s="23"/>
      <c r="ED201" s="23"/>
      <c r="EE201" s="23"/>
      <c r="EF201" s="23"/>
      <c r="EG201" s="23"/>
      <c r="EH201" s="23"/>
      <c r="EI201" s="23"/>
      <c r="EJ201" s="23"/>
      <c r="EK201" s="23"/>
      <c r="EL201" s="23"/>
      <c r="EM201" s="23"/>
      <c r="EN201" s="23"/>
      <c r="EO201" s="23"/>
      <c r="EP201" s="23"/>
      <c r="EQ201" s="23"/>
      <c r="ER201" s="23"/>
      <c r="ES201" s="23"/>
      <c r="ET201" s="23"/>
      <c r="EU201" s="23"/>
      <c r="EV201" s="23"/>
      <c r="EW201" s="23"/>
      <c r="EX201" s="23"/>
      <c r="EY201" s="23"/>
      <c r="EZ201" s="23"/>
      <c r="FA201" s="23"/>
      <c r="FB201" s="23"/>
      <c r="FC201" s="23"/>
      <c r="FD201" s="23"/>
      <c r="FE201" s="23"/>
      <c r="FF201" s="23"/>
      <c r="FG201" s="23"/>
      <c r="FH201" s="23"/>
      <c r="FI201" s="23"/>
      <c r="FJ201" s="23"/>
      <c r="FK201" s="23"/>
      <c r="FL201" s="23"/>
      <c r="FM201" s="23"/>
      <c r="FN201" s="23"/>
      <c r="FO201" s="23"/>
      <c r="FP201" s="23"/>
      <c r="FQ201" s="23"/>
      <c r="FR201" s="23"/>
      <c r="FS201" s="23"/>
      <c r="FT201" s="23"/>
      <c r="FU201" s="23"/>
      <c r="FV201" s="23"/>
      <c r="FW201" s="23"/>
      <c r="FX201" s="23"/>
      <c r="FY201" s="23"/>
      <c r="FZ201" s="23"/>
      <c r="GA201" s="23"/>
      <c r="GB201" s="23"/>
      <c r="GC201" s="23"/>
      <c r="GD201" s="23"/>
      <c r="GE201" s="23"/>
      <c r="GF201" s="23"/>
      <c r="GG201" s="23"/>
      <c r="GH201" s="23"/>
      <c r="GI201" s="23"/>
      <c r="GJ201" s="23"/>
      <c r="GK201" s="23"/>
      <c r="GL201" s="23"/>
      <c r="GM201" s="23"/>
      <c r="GN201" s="23"/>
      <c r="GO201" s="23"/>
      <c r="GP201" s="23"/>
      <c r="GQ201" s="23"/>
      <c r="GR201" s="23"/>
      <c r="GS201" s="23"/>
      <c r="GT201" s="23"/>
      <c r="GU201" s="23"/>
      <c r="GV201" s="23"/>
      <c r="GW201" s="23"/>
      <c r="GX201" s="23"/>
      <c r="GY201" s="23"/>
      <c r="GZ201" s="23"/>
      <c r="HA201" s="23"/>
      <c r="HB201" s="23"/>
      <c r="HC201" s="23"/>
      <c r="HD201" s="23"/>
      <c r="HE201" s="23"/>
      <c r="HF201" s="23"/>
      <c r="HG201" s="23"/>
      <c r="HH201" s="23"/>
      <c r="HI201" s="23"/>
      <c r="HJ201" s="23"/>
      <c r="HK201" s="23"/>
      <c r="HL201" s="23"/>
      <c r="HM201" s="23"/>
      <c r="HN201" s="23"/>
      <c r="HO201" s="23"/>
      <c r="HP201" s="23"/>
      <c r="HQ201" s="23"/>
      <c r="HR201" s="23"/>
      <c r="HS201" s="23"/>
      <c r="HT201" s="23"/>
      <c r="HU201" s="23"/>
      <c r="HV201" s="23"/>
      <c r="HW201" s="23"/>
      <c r="HX201" s="23"/>
      <c r="HY201" s="23"/>
      <c r="HZ201" s="23"/>
      <c r="IA201" s="23"/>
      <c r="IB201" s="23"/>
      <c r="IC201" s="23"/>
      <c r="ID201" s="23"/>
      <c r="IE201" s="23"/>
      <c r="IF201" s="23"/>
      <c r="IG201" s="23"/>
      <c r="IH201" s="23"/>
      <c r="II201" s="23"/>
      <c r="IJ201" s="23"/>
      <c r="IK201" s="23"/>
      <c r="IL201" s="23"/>
      <c r="IM201" s="23"/>
      <c r="IN201" s="23"/>
      <c r="IO201" s="23"/>
      <c r="IP201" s="23"/>
      <c r="IQ201" s="23"/>
      <c r="IR201" s="23"/>
      <c r="IS201" s="23"/>
      <c r="IT201" s="23"/>
      <c r="IU201" s="23"/>
      <c r="IV201" s="23"/>
      <c r="IW201" s="23"/>
      <c r="IX201" s="23"/>
      <c r="IY201" s="23"/>
      <c r="IZ201" s="23"/>
      <c r="JA201" s="23"/>
      <c r="JB201" s="23"/>
    </row>
    <row r="202" spans="1:262" s="137" customFormat="1" x14ac:dyDescent="0.3">
      <c r="A202" s="47"/>
      <c r="B202" s="59" t="s">
        <v>231</v>
      </c>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98">
        <f>-AB101</f>
        <v>1800</v>
      </c>
      <c r="AC202" s="43"/>
      <c r="AD202" s="22"/>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c r="BO202" s="23"/>
      <c r="BP202" s="23"/>
      <c r="BQ202" s="23"/>
      <c r="BR202" s="23"/>
      <c r="BS202" s="23"/>
      <c r="BT202" s="23"/>
      <c r="BU202" s="23"/>
      <c r="BV202" s="23"/>
      <c r="BW202" s="23"/>
      <c r="BX202" s="23"/>
      <c r="BY202" s="23"/>
      <c r="BZ202" s="23"/>
      <c r="CA202" s="23"/>
      <c r="CB202" s="23"/>
      <c r="CC202" s="23"/>
      <c r="CD202" s="23"/>
      <c r="CE202" s="23"/>
      <c r="CF202" s="23"/>
      <c r="CG202" s="23"/>
      <c r="CH202" s="23"/>
      <c r="CI202" s="23"/>
      <c r="CJ202" s="23"/>
      <c r="CK202" s="23"/>
      <c r="CL202" s="23"/>
      <c r="CM202" s="23"/>
      <c r="CN202" s="23"/>
      <c r="CO202" s="23"/>
      <c r="CP202" s="23"/>
      <c r="CQ202" s="23"/>
      <c r="CR202" s="23"/>
      <c r="CS202" s="23"/>
      <c r="CT202" s="23"/>
      <c r="CU202" s="23"/>
      <c r="CV202" s="23"/>
      <c r="CW202" s="23"/>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c r="EB202" s="23"/>
      <c r="EC202" s="23"/>
      <c r="ED202" s="23"/>
      <c r="EE202" s="23"/>
      <c r="EF202" s="23"/>
      <c r="EG202" s="23"/>
      <c r="EH202" s="23"/>
      <c r="EI202" s="23"/>
      <c r="EJ202" s="23"/>
      <c r="EK202" s="23"/>
      <c r="EL202" s="23"/>
      <c r="EM202" s="23"/>
      <c r="EN202" s="23"/>
      <c r="EO202" s="23"/>
      <c r="EP202" s="23"/>
      <c r="EQ202" s="23"/>
      <c r="ER202" s="23"/>
      <c r="ES202" s="23"/>
      <c r="ET202" s="23"/>
      <c r="EU202" s="23"/>
      <c r="EV202" s="23"/>
      <c r="EW202" s="23"/>
      <c r="EX202" s="23"/>
      <c r="EY202" s="23"/>
      <c r="EZ202" s="23"/>
      <c r="FA202" s="23"/>
      <c r="FB202" s="23"/>
      <c r="FC202" s="23"/>
      <c r="FD202" s="23"/>
      <c r="FE202" s="23"/>
      <c r="FF202" s="23"/>
      <c r="FG202" s="23"/>
      <c r="FH202" s="23"/>
      <c r="FI202" s="23"/>
      <c r="FJ202" s="23"/>
      <c r="FK202" s="23"/>
      <c r="FL202" s="23"/>
      <c r="FM202" s="23"/>
      <c r="FN202" s="23"/>
      <c r="FO202" s="23"/>
      <c r="FP202" s="23"/>
      <c r="FQ202" s="23"/>
      <c r="FR202" s="23"/>
      <c r="FS202" s="23"/>
      <c r="FT202" s="23"/>
      <c r="FU202" s="23"/>
      <c r="FV202" s="23"/>
      <c r="FW202" s="23"/>
      <c r="FX202" s="23"/>
      <c r="FY202" s="23"/>
      <c r="FZ202" s="23"/>
      <c r="GA202" s="23"/>
      <c r="GB202" s="23"/>
      <c r="GC202" s="23"/>
      <c r="GD202" s="23"/>
      <c r="GE202" s="23"/>
      <c r="GF202" s="23"/>
      <c r="GG202" s="23"/>
      <c r="GH202" s="23"/>
      <c r="GI202" s="23"/>
      <c r="GJ202" s="23"/>
      <c r="GK202" s="23"/>
      <c r="GL202" s="23"/>
      <c r="GM202" s="23"/>
      <c r="GN202" s="23"/>
      <c r="GO202" s="23"/>
      <c r="GP202" s="23"/>
      <c r="GQ202" s="23"/>
      <c r="GR202" s="23"/>
      <c r="GS202" s="23"/>
      <c r="GT202" s="23"/>
      <c r="GU202" s="23"/>
      <c r="GV202" s="23"/>
      <c r="GW202" s="23"/>
      <c r="GX202" s="23"/>
      <c r="GY202" s="23"/>
      <c r="GZ202" s="23"/>
      <c r="HA202" s="23"/>
      <c r="HB202" s="23"/>
      <c r="HC202" s="23"/>
      <c r="HD202" s="23"/>
      <c r="HE202" s="23"/>
      <c r="HF202" s="23"/>
      <c r="HG202" s="23"/>
      <c r="HH202" s="23"/>
      <c r="HI202" s="23"/>
      <c r="HJ202" s="23"/>
      <c r="HK202" s="23"/>
      <c r="HL202" s="23"/>
      <c r="HM202" s="23"/>
      <c r="HN202" s="23"/>
      <c r="HO202" s="23"/>
      <c r="HP202" s="23"/>
      <c r="HQ202" s="23"/>
      <c r="HR202" s="23"/>
      <c r="HS202" s="23"/>
      <c r="HT202" s="23"/>
      <c r="HU202" s="23"/>
      <c r="HV202" s="23"/>
      <c r="HW202" s="23"/>
      <c r="HX202" s="23"/>
      <c r="HY202" s="23"/>
      <c r="HZ202" s="23"/>
      <c r="IA202" s="23"/>
      <c r="IB202" s="23"/>
      <c r="IC202" s="23"/>
      <c r="ID202" s="23"/>
      <c r="IE202" s="23"/>
      <c r="IF202" s="23"/>
      <c r="IG202" s="23"/>
      <c r="IH202" s="23"/>
      <c r="II202" s="23"/>
      <c r="IJ202" s="23"/>
      <c r="IK202" s="23"/>
      <c r="IL202" s="23"/>
      <c r="IM202" s="23"/>
      <c r="IN202" s="23"/>
      <c r="IO202" s="23"/>
      <c r="IP202" s="23"/>
      <c r="IQ202" s="23"/>
      <c r="IR202" s="23"/>
      <c r="IS202" s="23"/>
      <c r="IT202" s="23"/>
      <c r="IU202" s="23"/>
      <c r="IV202" s="23"/>
      <c r="IW202" s="23"/>
      <c r="IX202" s="23"/>
      <c r="IY202" s="23"/>
      <c r="IZ202" s="23"/>
      <c r="JA202" s="23"/>
      <c r="JB202" s="23"/>
    </row>
    <row r="203" spans="1:262" s="137" customFormat="1" x14ac:dyDescent="0.3">
      <c r="A203" s="47"/>
      <c r="B203" s="40" t="s">
        <v>216</v>
      </c>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98">
        <f>AB200-AB201+AB202</f>
        <v>1863</v>
      </c>
      <c r="AC203" s="43"/>
      <c r="AD203" s="22"/>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c r="BO203" s="23"/>
      <c r="BP203" s="23"/>
      <c r="BQ203" s="23"/>
      <c r="BR203" s="23"/>
      <c r="BS203" s="23"/>
      <c r="BT203" s="23"/>
      <c r="BU203" s="23"/>
      <c r="BV203" s="23"/>
      <c r="BW203" s="23"/>
      <c r="BX203" s="23"/>
      <c r="BY203" s="23"/>
      <c r="BZ203" s="23"/>
      <c r="CA203" s="23"/>
      <c r="CB203" s="23"/>
      <c r="CC203" s="23"/>
      <c r="CD203" s="23"/>
      <c r="CE203" s="23"/>
      <c r="CF203" s="23"/>
      <c r="CG203" s="23"/>
      <c r="CH203" s="23"/>
      <c r="CI203" s="23"/>
      <c r="CJ203" s="23"/>
      <c r="CK203" s="23"/>
      <c r="CL203" s="23"/>
      <c r="CM203" s="23"/>
      <c r="CN203" s="23"/>
      <c r="CO203" s="23"/>
      <c r="CP203" s="23"/>
      <c r="CQ203" s="23"/>
      <c r="CR203" s="23"/>
      <c r="CS203" s="23"/>
      <c r="CT203" s="23"/>
      <c r="CU203" s="23"/>
      <c r="CV203" s="23"/>
      <c r="CW203" s="23"/>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c r="EB203" s="23"/>
      <c r="EC203" s="23"/>
      <c r="ED203" s="23"/>
      <c r="EE203" s="23"/>
      <c r="EF203" s="23"/>
      <c r="EG203" s="23"/>
      <c r="EH203" s="23"/>
      <c r="EI203" s="23"/>
      <c r="EJ203" s="23"/>
      <c r="EK203" s="23"/>
      <c r="EL203" s="23"/>
      <c r="EM203" s="23"/>
      <c r="EN203" s="23"/>
      <c r="EO203" s="23"/>
      <c r="EP203" s="23"/>
      <c r="EQ203" s="23"/>
      <c r="ER203" s="23"/>
      <c r="ES203" s="23"/>
      <c r="ET203" s="23"/>
      <c r="EU203" s="23"/>
      <c r="EV203" s="23"/>
      <c r="EW203" s="23"/>
      <c r="EX203" s="23"/>
      <c r="EY203" s="23"/>
      <c r="EZ203" s="23"/>
      <c r="FA203" s="23"/>
      <c r="FB203" s="23"/>
      <c r="FC203" s="23"/>
      <c r="FD203" s="23"/>
      <c r="FE203" s="23"/>
      <c r="FF203" s="23"/>
      <c r="FG203" s="23"/>
      <c r="FH203" s="23"/>
      <c r="FI203" s="23"/>
      <c r="FJ203" s="23"/>
      <c r="FK203" s="23"/>
      <c r="FL203" s="23"/>
      <c r="FM203" s="23"/>
      <c r="FN203" s="23"/>
      <c r="FO203" s="23"/>
      <c r="FP203" s="23"/>
      <c r="FQ203" s="23"/>
      <c r="FR203" s="23"/>
      <c r="FS203" s="23"/>
      <c r="FT203" s="23"/>
      <c r="FU203" s="23"/>
      <c r="FV203" s="23"/>
      <c r="FW203" s="23"/>
      <c r="FX203" s="23"/>
      <c r="FY203" s="23"/>
      <c r="FZ203" s="23"/>
      <c r="GA203" s="23"/>
      <c r="GB203" s="23"/>
      <c r="GC203" s="23"/>
      <c r="GD203" s="23"/>
      <c r="GE203" s="23"/>
      <c r="GF203" s="23"/>
      <c r="GG203" s="23"/>
      <c r="GH203" s="23"/>
      <c r="GI203" s="23"/>
      <c r="GJ203" s="23"/>
      <c r="GK203" s="23"/>
      <c r="GL203" s="23"/>
      <c r="GM203" s="23"/>
      <c r="GN203" s="23"/>
      <c r="GO203" s="23"/>
      <c r="GP203" s="23"/>
      <c r="GQ203" s="23"/>
      <c r="GR203" s="23"/>
      <c r="GS203" s="23"/>
      <c r="GT203" s="23"/>
      <c r="GU203" s="23"/>
      <c r="GV203" s="23"/>
      <c r="GW203" s="23"/>
      <c r="GX203" s="23"/>
      <c r="GY203" s="23"/>
      <c r="GZ203" s="23"/>
      <c r="HA203" s="23"/>
      <c r="HB203" s="23"/>
      <c r="HC203" s="23"/>
      <c r="HD203" s="23"/>
      <c r="HE203" s="23"/>
      <c r="HF203" s="23"/>
      <c r="HG203" s="23"/>
      <c r="HH203" s="23"/>
      <c r="HI203" s="23"/>
      <c r="HJ203" s="23"/>
      <c r="HK203" s="23"/>
      <c r="HL203" s="23"/>
      <c r="HM203" s="23"/>
      <c r="HN203" s="23"/>
      <c r="HO203" s="23"/>
      <c r="HP203" s="23"/>
      <c r="HQ203" s="23"/>
      <c r="HR203" s="23"/>
      <c r="HS203" s="23"/>
      <c r="HT203" s="23"/>
      <c r="HU203" s="23"/>
      <c r="HV203" s="23"/>
      <c r="HW203" s="23"/>
      <c r="HX203" s="23"/>
      <c r="HY203" s="23"/>
      <c r="HZ203" s="23"/>
      <c r="IA203" s="23"/>
      <c r="IB203" s="23"/>
      <c r="IC203" s="23"/>
      <c r="ID203" s="23"/>
      <c r="IE203" s="23"/>
      <c r="IF203" s="23"/>
      <c r="IG203" s="23"/>
      <c r="IH203" s="23"/>
      <c r="II203" s="23"/>
      <c r="IJ203" s="23"/>
      <c r="IK203" s="23"/>
      <c r="IL203" s="23"/>
      <c r="IM203" s="23"/>
      <c r="IN203" s="23"/>
      <c r="IO203" s="23"/>
      <c r="IP203" s="23"/>
      <c r="IQ203" s="23"/>
      <c r="IR203" s="23"/>
      <c r="IS203" s="23"/>
      <c r="IT203" s="23"/>
      <c r="IU203" s="23"/>
      <c r="IV203" s="23"/>
      <c r="IW203" s="23"/>
      <c r="IX203" s="23"/>
      <c r="IY203" s="23"/>
      <c r="IZ203" s="23"/>
      <c r="JA203" s="23"/>
      <c r="JB203" s="23"/>
    </row>
    <row r="204" spans="1:262" s="139" customFormat="1" ht="16.2" thickBot="1" x14ac:dyDescent="0.35">
      <c r="A204" s="138"/>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126"/>
      <c r="AC204" s="10"/>
      <c r="AD204" s="5"/>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row>
    <row r="205" spans="1:262" x14ac:dyDescent="0.3">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134"/>
      <c r="AC205" s="4"/>
      <c r="AD205" s="5"/>
    </row>
    <row r="206" spans="1:262" s="136" customFormat="1" x14ac:dyDescent="0.3">
      <c r="A206" s="7"/>
      <c r="B206" s="125" t="s">
        <v>237</v>
      </c>
      <c r="C206" s="99"/>
      <c r="D206" s="99"/>
      <c r="E206" s="99"/>
      <c r="F206" s="99"/>
      <c r="G206" s="99"/>
      <c r="H206" s="99"/>
      <c r="I206" s="99"/>
      <c r="J206" s="99"/>
      <c r="K206" s="99"/>
      <c r="L206" s="99"/>
      <c r="M206" s="99"/>
      <c r="N206" s="99"/>
      <c r="O206" s="99"/>
      <c r="P206" s="99"/>
      <c r="Q206" s="99"/>
      <c r="R206" s="99"/>
      <c r="S206" s="99"/>
      <c r="T206" s="99"/>
      <c r="U206" s="99"/>
      <c r="V206" s="99"/>
      <c r="W206" s="99"/>
      <c r="X206" s="99"/>
      <c r="Y206" s="233" t="s">
        <v>243</v>
      </c>
      <c r="Z206" s="233" t="s">
        <v>244</v>
      </c>
      <c r="AA206" s="12"/>
      <c r="AB206" s="234" t="s">
        <v>80</v>
      </c>
      <c r="AC206" s="10"/>
      <c r="AD206" s="5"/>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row>
    <row r="207" spans="1:262" s="137" customFormat="1" x14ac:dyDescent="0.3">
      <c r="A207" s="47"/>
      <c r="B207" s="40" t="s">
        <v>238</v>
      </c>
      <c r="C207" s="40"/>
      <c r="D207" s="40"/>
      <c r="E207" s="40"/>
      <c r="F207" s="40"/>
      <c r="G207" s="40"/>
      <c r="H207" s="40"/>
      <c r="I207" s="40"/>
      <c r="J207" s="40"/>
      <c r="K207" s="40"/>
      <c r="L207" s="40"/>
      <c r="M207" s="40"/>
      <c r="N207" s="40"/>
      <c r="O207" s="40"/>
      <c r="P207" s="40"/>
      <c r="Q207" s="40"/>
      <c r="R207" s="40"/>
      <c r="S207" s="40"/>
      <c r="T207" s="40"/>
      <c r="U207" s="40"/>
      <c r="V207" s="40"/>
      <c r="W207" s="40"/>
      <c r="X207" s="40"/>
      <c r="Y207" s="98">
        <f>SUM(F29:R29)*0.16</f>
        <v>124206.40000000001</v>
      </c>
      <c r="Z207" s="70"/>
      <c r="AA207" s="40"/>
      <c r="AB207" s="98"/>
      <c r="AC207" s="43"/>
      <c r="AD207" s="22"/>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c r="BO207" s="23"/>
      <c r="BP207" s="23"/>
      <c r="BQ207" s="23"/>
      <c r="BR207" s="23"/>
      <c r="BS207" s="23"/>
      <c r="BT207" s="23"/>
      <c r="BU207" s="23"/>
      <c r="BV207" s="23"/>
      <c r="BW207" s="23"/>
      <c r="BX207" s="23"/>
      <c r="BY207" s="23"/>
      <c r="BZ207" s="23"/>
      <c r="CA207" s="23"/>
      <c r="CB207" s="23"/>
      <c r="CC207" s="23"/>
      <c r="CD207" s="23"/>
      <c r="CE207" s="23"/>
      <c r="CF207" s="23"/>
      <c r="CG207" s="23"/>
      <c r="CH207" s="23"/>
      <c r="CI207" s="23"/>
      <c r="CJ207" s="23"/>
      <c r="CK207" s="23"/>
      <c r="CL207" s="23"/>
      <c r="CM207" s="23"/>
      <c r="CN207" s="23"/>
      <c r="CO207" s="23"/>
      <c r="CP207" s="23"/>
      <c r="CQ207" s="23"/>
      <c r="CR207" s="23"/>
      <c r="CS207" s="23"/>
      <c r="CT207" s="23"/>
      <c r="CU207" s="23"/>
      <c r="CV207" s="23"/>
      <c r="CW207" s="23"/>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c r="EB207" s="23"/>
      <c r="EC207" s="23"/>
      <c r="ED207" s="23"/>
      <c r="EE207" s="23"/>
      <c r="EF207" s="23"/>
      <c r="EG207" s="23"/>
      <c r="EH207" s="23"/>
      <c r="EI207" s="23"/>
      <c r="EJ207" s="23"/>
      <c r="EK207" s="23"/>
      <c r="EL207" s="23"/>
      <c r="EM207" s="23"/>
      <c r="EN207" s="23"/>
      <c r="EO207" s="23"/>
      <c r="EP207" s="23"/>
      <c r="EQ207" s="23"/>
      <c r="ER207" s="23"/>
      <c r="ES207" s="23"/>
      <c r="ET207" s="23"/>
      <c r="EU207" s="23"/>
      <c r="EV207" s="23"/>
      <c r="EW207" s="23"/>
      <c r="EX207" s="23"/>
      <c r="EY207" s="23"/>
      <c r="EZ207" s="23"/>
      <c r="FA207" s="23"/>
      <c r="FB207" s="23"/>
      <c r="FC207" s="23"/>
      <c r="FD207" s="23"/>
      <c r="FE207" s="23"/>
      <c r="FF207" s="23"/>
      <c r="FG207" s="23"/>
      <c r="FH207" s="23"/>
      <c r="FI207" s="23"/>
      <c r="FJ207" s="23"/>
      <c r="FK207" s="23"/>
      <c r="FL207" s="23"/>
      <c r="FM207" s="23"/>
      <c r="FN207" s="23"/>
      <c r="FO207" s="23"/>
      <c r="FP207" s="23"/>
      <c r="FQ207" s="23"/>
      <c r="FR207" s="23"/>
      <c r="FS207" s="23"/>
      <c r="FT207" s="23"/>
      <c r="FU207" s="23"/>
      <c r="FV207" s="23"/>
      <c r="FW207" s="23"/>
      <c r="FX207" s="23"/>
      <c r="FY207" s="23"/>
      <c r="FZ207" s="23"/>
      <c r="GA207" s="23"/>
      <c r="GB207" s="23"/>
      <c r="GC207" s="23"/>
      <c r="GD207" s="23"/>
      <c r="GE207" s="23"/>
      <c r="GF207" s="23"/>
      <c r="GG207" s="23"/>
      <c r="GH207" s="23"/>
      <c r="GI207" s="23"/>
      <c r="GJ207" s="23"/>
      <c r="GK207" s="23"/>
      <c r="GL207" s="23"/>
      <c r="GM207" s="23"/>
      <c r="GN207" s="23"/>
      <c r="GO207" s="23"/>
      <c r="GP207" s="23"/>
      <c r="GQ207" s="23"/>
      <c r="GR207" s="23"/>
      <c r="GS207" s="23"/>
      <c r="GT207" s="23"/>
      <c r="GU207" s="23"/>
      <c r="GV207" s="23"/>
      <c r="GW207" s="23"/>
      <c r="GX207" s="23"/>
      <c r="GY207" s="23"/>
      <c r="GZ207" s="23"/>
      <c r="HA207" s="23"/>
      <c r="HB207" s="23"/>
      <c r="HC207" s="23"/>
      <c r="HD207" s="23"/>
      <c r="HE207" s="23"/>
      <c r="HF207" s="23"/>
      <c r="HG207" s="23"/>
      <c r="HH207" s="23"/>
      <c r="HI207" s="23"/>
      <c r="HJ207" s="23"/>
      <c r="HK207" s="23"/>
      <c r="HL207" s="23"/>
      <c r="HM207" s="23"/>
      <c r="HN207" s="23"/>
      <c r="HO207" s="23"/>
      <c r="HP207" s="23"/>
      <c r="HQ207" s="23"/>
      <c r="HR207" s="23"/>
      <c r="HS207" s="23"/>
      <c r="HT207" s="23"/>
      <c r="HU207" s="23"/>
      <c r="HV207" s="23"/>
      <c r="HW207" s="23"/>
      <c r="HX207" s="23"/>
      <c r="HY207" s="23"/>
      <c r="HZ207" s="23"/>
      <c r="IA207" s="23"/>
      <c r="IB207" s="23"/>
      <c r="IC207" s="23"/>
      <c r="ID207" s="23"/>
      <c r="IE207" s="23"/>
      <c r="IF207" s="23"/>
      <c r="IG207" s="23"/>
      <c r="IH207" s="23"/>
      <c r="II207" s="23"/>
      <c r="IJ207" s="23"/>
      <c r="IK207" s="23"/>
      <c r="IL207" s="23"/>
      <c r="IM207" s="23"/>
      <c r="IN207" s="23"/>
      <c r="IO207" s="23"/>
      <c r="IP207" s="23"/>
      <c r="IQ207" s="23"/>
      <c r="IR207" s="23"/>
      <c r="IS207" s="23"/>
      <c r="IT207" s="23"/>
      <c r="IU207" s="23"/>
      <c r="IV207" s="23"/>
      <c r="IW207" s="23"/>
      <c r="IX207" s="23"/>
      <c r="IY207" s="23"/>
      <c r="IZ207" s="23"/>
      <c r="JA207" s="23"/>
      <c r="JB207" s="23"/>
    </row>
    <row r="208" spans="1:262" s="137" customFormat="1" x14ac:dyDescent="0.3">
      <c r="A208" s="47"/>
      <c r="B208" s="40" t="s">
        <v>239</v>
      </c>
      <c r="C208" s="40"/>
      <c r="D208" s="40"/>
      <c r="E208" s="40"/>
      <c r="F208" s="40"/>
      <c r="G208" s="40"/>
      <c r="H208" s="40"/>
      <c r="I208" s="40"/>
      <c r="J208" s="40"/>
      <c r="K208" s="40"/>
      <c r="L208" s="40"/>
      <c r="M208" s="40"/>
      <c r="N208" s="40"/>
      <c r="O208" s="40"/>
      <c r="P208" s="40"/>
      <c r="Q208" s="40"/>
      <c r="R208" s="40"/>
      <c r="S208" s="40"/>
      <c r="T208" s="40"/>
      <c r="U208" s="40"/>
      <c r="V208" s="40"/>
      <c r="W208" s="40"/>
      <c r="X208" s="40"/>
      <c r="Y208" s="98">
        <f>+'March 2022'!Y210</f>
        <v>0</v>
      </c>
      <c r="Z208" s="98">
        <f>+'March 2022'!Z210</f>
        <v>382</v>
      </c>
      <c r="AA208" s="40"/>
      <c r="AB208" s="98">
        <f>Y208+Z208</f>
        <v>382</v>
      </c>
      <c r="AC208" s="43"/>
      <c r="AD208" s="22"/>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c r="BO208" s="23"/>
      <c r="BP208" s="23"/>
      <c r="BQ208" s="23"/>
      <c r="BR208" s="23"/>
      <c r="BS208" s="23"/>
      <c r="BT208" s="23"/>
      <c r="BU208" s="23"/>
      <c r="BV208" s="23"/>
      <c r="BW208" s="23"/>
      <c r="BX208" s="23"/>
      <c r="BY208" s="23"/>
      <c r="BZ208" s="23"/>
      <c r="CA208" s="23"/>
      <c r="CB208" s="23"/>
      <c r="CC208" s="23"/>
      <c r="CD208" s="23"/>
      <c r="CE208" s="23"/>
      <c r="CF208" s="23"/>
      <c r="CG208" s="23"/>
      <c r="CH208" s="23"/>
      <c r="CI208" s="23"/>
      <c r="CJ208" s="23"/>
      <c r="CK208" s="23"/>
      <c r="CL208" s="23"/>
      <c r="CM208" s="23"/>
      <c r="CN208" s="23"/>
      <c r="CO208" s="23"/>
      <c r="CP208" s="23"/>
      <c r="CQ208" s="23"/>
      <c r="CR208" s="23"/>
      <c r="CS208" s="23"/>
      <c r="CT208" s="23"/>
      <c r="CU208" s="23"/>
      <c r="CV208" s="23"/>
      <c r="CW208" s="23"/>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c r="EB208" s="23"/>
      <c r="EC208" s="23"/>
      <c r="ED208" s="23"/>
      <c r="EE208" s="23"/>
      <c r="EF208" s="23"/>
      <c r="EG208" s="23"/>
      <c r="EH208" s="23"/>
      <c r="EI208" s="23"/>
      <c r="EJ208" s="23"/>
      <c r="EK208" s="23"/>
      <c r="EL208" s="23"/>
      <c r="EM208" s="23"/>
      <c r="EN208" s="23"/>
      <c r="EO208" s="23"/>
      <c r="EP208" s="23"/>
      <c r="EQ208" s="23"/>
      <c r="ER208" s="23"/>
      <c r="ES208" s="23"/>
      <c r="ET208" s="23"/>
      <c r="EU208" s="23"/>
      <c r="EV208" s="23"/>
      <c r="EW208" s="23"/>
      <c r="EX208" s="23"/>
      <c r="EY208" s="23"/>
      <c r="EZ208" s="23"/>
      <c r="FA208" s="23"/>
      <c r="FB208" s="23"/>
      <c r="FC208" s="23"/>
      <c r="FD208" s="23"/>
      <c r="FE208" s="23"/>
      <c r="FF208" s="23"/>
      <c r="FG208" s="23"/>
      <c r="FH208" s="23"/>
      <c r="FI208" s="23"/>
      <c r="FJ208" s="23"/>
      <c r="FK208" s="23"/>
      <c r="FL208" s="23"/>
      <c r="FM208" s="23"/>
      <c r="FN208" s="23"/>
      <c r="FO208" s="23"/>
      <c r="FP208" s="23"/>
      <c r="FQ208" s="23"/>
      <c r="FR208" s="23"/>
      <c r="FS208" s="23"/>
      <c r="FT208" s="23"/>
      <c r="FU208" s="23"/>
      <c r="FV208" s="23"/>
      <c r="FW208" s="23"/>
      <c r="FX208" s="23"/>
      <c r="FY208" s="23"/>
      <c r="FZ208" s="23"/>
      <c r="GA208" s="23"/>
      <c r="GB208" s="23"/>
      <c r="GC208" s="23"/>
      <c r="GD208" s="23"/>
      <c r="GE208" s="23"/>
      <c r="GF208" s="23"/>
      <c r="GG208" s="23"/>
      <c r="GH208" s="23"/>
      <c r="GI208" s="23"/>
      <c r="GJ208" s="23"/>
      <c r="GK208" s="23"/>
      <c r="GL208" s="23"/>
      <c r="GM208" s="23"/>
      <c r="GN208" s="23"/>
      <c r="GO208" s="23"/>
      <c r="GP208" s="23"/>
      <c r="GQ208" s="23"/>
      <c r="GR208" s="23"/>
      <c r="GS208" s="23"/>
      <c r="GT208" s="23"/>
      <c r="GU208" s="23"/>
      <c r="GV208" s="23"/>
      <c r="GW208" s="23"/>
      <c r="GX208" s="23"/>
      <c r="GY208" s="23"/>
      <c r="GZ208" s="23"/>
      <c r="HA208" s="23"/>
      <c r="HB208" s="23"/>
      <c r="HC208" s="23"/>
      <c r="HD208" s="23"/>
      <c r="HE208" s="23"/>
      <c r="HF208" s="23"/>
      <c r="HG208" s="23"/>
      <c r="HH208" s="23"/>
      <c r="HI208" s="23"/>
      <c r="HJ208" s="23"/>
      <c r="HK208" s="23"/>
      <c r="HL208" s="23"/>
      <c r="HM208" s="23"/>
      <c r="HN208" s="23"/>
      <c r="HO208" s="23"/>
      <c r="HP208" s="23"/>
      <c r="HQ208" s="23"/>
      <c r="HR208" s="23"/>
      <c r="HS208" s="23"/>
      <c r="HT208" s="23"/>
      <c r="HU208" s="23"/>
      <c r="HV208" s="23"/>
      <c r="HW208" s="23"/>
      <c r="HX208" s="23"/>
      <c r="HY208" s="23"/>
      <c r="HZ208" s="23"/>
      <c r="IA208" s="23"/>
      <c r="IB208" s="23"/>
      <c r="IC208" s="23"/>
      <c r="ID208" s="23"/>
      <c r="IE208" s="23"/>
      <c r="IF208" s="23"/>
      <c r="IG208" s="23"/>
      <c r="IH208" s="23"/>
      <c r="II208" s="23"/>
      <c r="IJ208" s="23"/>
      <c r="IK208" s="23"/>
      <c r="IL208" s="23"/>
      <c r="IM208" s="23"/>
      <c r="IN208" s="23"/>
      <c r="IO208" s="23"/>
      <c r="IP208" s="23"/>
      <c r="IQ208" s="23"/>
      <c r="IR208" s="23"/>
      <c r="IS208" s="23"/>
      <c r="IT208" s="23"/>
      <c r="IU208" s="23"/>
      <c r="IV208" s="23"/>
      <c r="IW208" s="23"/>
      <c r="IX208" s="23"/>
      <c r="IY208" s="23"/>
      <c r="IZ208" s="23"/>
      <c r="JA208" s="23"/>
      <c r="JB208" s="23"/>
    </row>
    <row r="209" spans="1:262" s="137" customFormat="1" x14ac:dyDescent="0.3">
      <c r="A209" s="47"/>
      <c r="B209" s="40" t="s">
        <v>240</v>
      </c>
      <c r="C209" s="40"/>
      <c r="D209" s="40"/>
      <c r="E209" s="40"/>
      <c r="F209" s="40"/>
      <c r="G209" s="40"/>
      <c r="H209" s="40"/>
      <c r="I209" s="40"/>
      <c r="J209" s="40"/>
      <c r="K209" s="40"/>
      <c r="L209" s="40"/>
      <c r="M209" s="40"/>
      <c r="N209" s="40"/>
      <c r="O209" s="40"/>
      <c r="P209" s="40"/>
      <c r="Q209" s="40"/>
      <c r="R209" s="40"/>
      <c r="S209" s="40"/>
      <c r="T209" s="40"/>
      <c r="U209" s="40"/>
      <c r="V209" s="40"/>
      <c r="W209" s="40"/>
      <c r="X209" s="40"/>
      <c r="Y209" s="97">
        <v>0</v>
      </c>
      <c r="Z209" s="97">
        <v>0</v>
      </c>
      <c r="AA209" s="40"/>
      <c r="AB209" s="98">
        <f>Y209+Z209</f>
        <v>0</v>
      </c>
      <c r="AC209" s="43"/>
      <c r="AD209" s="22"/>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c r="BO209" s="23"/>
      <c r="BP209" s="23"/>
      <c r="BQ209" s="23"/>
      <c r="BR209" s="23"/>
      <c r="BS209" s="23"/>
      <c r="BT209" s="23"/>
      <c r="BU209" s="23"/>
      <c r="BV209" s="23"/>
      <c r="BW209" s="23"/>
      <c r="BX209" s="23"/>
      <c r="BY209" s="23"/>
      <c r="BZ209" s="23"/>
      <c r="CA209" s="23"/>
      <c r="CB209" s="23"/>
      <c r="CC209" s="23"/>
      <c r="CD209" s="23"/>
      <c r="CE209" s="23"/>
      <c r="CF209" s="23"/>
      <c r="CG209" s="23"/>
      <c r="CH209" s="23"/>
      <c r="CI209" s="23"/>
      <c r="CJ209" s="23"/>
      <c r="CK209" s="23"/>
      <c r="CL209" s="23"/>
      <c r="CM209" s="23"/>
      <c r="CN209" s="23"/>
      <c r="CO209" s="23"/>
      <c r="CP209" s="23"/>
      <c r="CQ209" s="23"/>
      <c r="CR209" s="23"/>
      <c r="CS209" s="23"/>
      <c r="CT209" s="23"/>
      <c r="CU209" s="23"/>
      <c r="CV209" s="23"/>
      <c r="CW209" s="23"/>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c r="EB209" s="23"/>
      <c r="EC209" s="23"/>
      <c r="ED209" s="23"/>
      <c r="EE209" s="23"/>
      <c r="EF209" s="23"/>
      <c r="EG209" s="23"/>
      <c r="EH209" s="23"/>
      <c r="EI209" s="23"/>
      <c r="EJ209" s="23"/>
      <c r="EK209" s="23"/>
      <c r="EL209" s="23"/>
      <c r="EM209" s="23"/>
      <c r="EN209" s="23"/>
      <c r="EO209" s="23"/>
      <c r="EP209" s="23"/>
      <c r="EQ209" s="23"/>
      <c r="ER209" s="23"/>
      <c r="ES209" s="23"/>
      <c r="ET209" s="23"/>
      <c r="EU209" s="23"/>
      <c r="EV209" s="23"/>
      <c r="EW209" s="23"/>
      <c r="EX209" s="23"/>
      <c r="EY209" s="23"/>
      <c r="EZ209" s="23"/>
      <c r="FA209" s="23"/>
      <c r="FB209" s="23"/>
      <c r="FC209" s="23"/>
      <c r="FD209" s="23"/>
      <c r="FE209" s="23"/>
      <c r="FF209" s="23"/>
      <c r="FG209" s="23"/>
      <c r="FH209" s="23"/>
      <c r="FI209" s="23"/>
      <c r="FJ209" s="23"/>
      <c r="FK209" s="23"/>
      <c r="FL209" s="23"/>
      <c r="FM209" s="23"/>
      <c r="FN209" s="23"/>
      <c r="FO209" s="23"/>
      <c r="FP209" s="23"/>
      <c r="FQ209" s="23"/>
      <c r="FR209" s="23"/>
      <c r="FS209" s="23"/>
      <c r="FT209" s="23"/>
      <c r="FU209" s="23"/>
      <c r="FV209" s="23"/>
      <c r="FW209" s="23"/>
      <c r="FX209" s="23"/>
      <c r="FY209" s="23"/>
      <c r="FZ209" s="23"/>
      <c r="GA209" s="23"/>
      <c r="GB209" s="23"/>
      <c r="GC209" s="23"/>
      <c r="GD209" s="23"/>
      <c r="GE209" s="23"/>
      <c r="GF209" s="23"/>
      <c r="GG209" s="23"/>
      <c r="GH209" s="23"/>
      <c r="GI209" s="23"/>
      <c r="GJ209" s="23"/>
      <c r="GK209" s="23"/>
      <c r="GL209" s="23"/>
      <c r="GM209" s="23"/>
      <c r="GN209" s="23"/>
      <c r="GO209" s="23"/>
      <c r="GP209" s="23"/>
      <c r="GQ209" s="23"/>
      <c r="GR209" s="23"/>
      <c r="GS209" s="23"/>
      <c r="GT209" s="23"/>
      <c r="GU209" s="23"/>
      <c r="GV209" s="23"/>
      <c r="GW209" s="23"/>
      <c r="GX209" s="23"/>
      <c r="GY209" s="23"/>
      <c r="GZ209" s="23"/>
      <c r="HA209" s="23"/>
      <c r="HB209" s="23"/>
      <c r="HC209" s="23"/>
      <c r="HD209" s="23"/>
      <c r="HE209" s="23"/>
      <c r="HF209" s="23"/>
      <c r="HG209" s="23"/>
      <c r="HH209" s="23"/>
      <c r="HI209" s="23"/>
      <c r="HJ209" s="23"/>
      <c r="HK209" s="23"/>
      <c r="HL209" s="23"/>
      <c r="HM209" s="23"/>
      <c r="HN209" s="23"/>
      <c r="HO209" s="23"/>
      <c r="HP209" s="23"/>
      <c r="HQ209" s="23"/>
      <c r="HR209" s="23"/>
      <c r="HS209" s="23"/>
      <c r="HT209" s="23"/>
      <c r="HU209" s="23"/>
      <c r="HV209" s="23"/>
      <c r="HW209" s="23"/>
      <c r="HX209" s="23"/>
      <c r="HY209" s="23"/>
      <c r="HZ209" s="23"/>
      <c r="IA209" s="23"/>
      <c r="IB209" s="23"/>
      <c r="IC209" s="23"/>
      <c r="ID209" s="23"/>
      <c r="IE209" s="23"/>
      <c r="IF209" s="23"/>
      <c r="IG209" s="23"/>
      <c r="IH209" s="23"/>
      <c r="II209" s="23"/>
      <c r="IJ209" s="23"/>
      <c r="IK209" s="23"/>
      <c r="IL209" s="23"/>
      <c r="IM209" s="23"/>
      <c r="IN209" s="23"/>
      <c r="IO209" s="23"/>
      <c r="IP209" s="23"/>
      <c r="IQ209" s="23"/>
      <c r="IR209" s="23"/>
      <c r="IS209" s="23"/>
      <c r="IT209" s="23"/>
      <c r="IU209" s="23"/>
      <c r="IV209" s="23"/>
      <c r="IW209" s="23"/>
      <c r="IX209" s="23"/>
      <c r="IY209" s="23"/>
      <c r="IZ209" s="23"/>
      <c r="JA209" s="23"/>
      <c r="JB209" s="23"/>
    </row>
    <row r="210" spans="1:262" s="137" customFormat="1" x14ac:dyDescent="0.3">
      <c r="A210" s="47"/>
      <c r="B210" s="40" t="s">
        <v>241</v>
      </c>
      <c r="C210" s="40"/>
      <c r="D210" s="40"/>
      <c r="E210" s="40"/>
      <c r="F210" s="40"/>
      <c r="G210" s="40"/>
      <c r="H210" s="40"/>
      <c r="I210" s="40"/>
      <c r="J210" s="40"/>
      <c r="K210" s="40"/>
      <c r="L210" s="40"/>
      <c r="M210" s="40"/>
      <c r="N210" s="40"/>
      <c r="O210" s="40"/>
      <c r="P210" s="40"/>
      <c r="Q210" s="40"/>
      <c r="R210" s="40"/>
      <c r="S210" s="40"/>
      <c r="T210" s="40"/>
      <c r="U210" s="40"/>
      <c r="V210" s="40"/>
      <c r="W210" s="40"/>
      <c r="X210" s="40"/>
      <c r="Y210" s="98">
        <f>Y208+Y209</f>
        <v>0</v>
      </c>
      <c r="Z210" s="98">
        <f>Z209+Z208</f>
        <v>382</v>
      </c>
      <c r="AA210" s="40"/>
      <c r="AB210" s="98">
        <f>Y210+Z210</f>
        <v>382</v>
      </c>
      <c r="AC210" s="43"/>
      <c r="AD210" s="22"/>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c r="BO210" s="23"/>
      <c r="BP210" s="23"/>
      <c r="BQ210" s="23"/>
      <c r="BR210" s="23"/>
      <c r="BS210" s="23"/>
      <c r="BT210" s="23"/>
      <c r="BU210" s="23"/>
      <c r="BV210" s="23"/>
      <c r="BW210" s="23"/>
      <c r="BX210" s="23"/>
      <c r="BY210" s="23"/>
      <c r="BZ210" s="23"/>
      <c r="CA210" s="23"/>
      <c r="CB210" s="23"/>
      <c r="CC210" s="23"/>
      <c r="CD210" s="23"/>
      <c r="CE210" s="23"/>
      <c r="CF210" s="23"/>
      <c r="CG210" s="23"/>
      <c r="CH210" s="23"/>
      <c r="CI210" s="23"/>
      <c r="CJ210" s="23"/>
      <c r="CK210" s="23"/>
      <c r="CL210" s="23"/>
      <c r="CM210" s="23"/>
      <c r="CN210" s="23"/>
      <c r="CO210" s="23"/>
      <c r="CP210" s="23"/>
      <c r="CQ210" s="23"/>
      <c r="CR210" s="23"/>
      <c r="CS210" s="23"/>
      <c r="CT210" s="23"/>
      <c r="CU210" s="23"/>
      <c r="CV210" s="23"/>
      <c r="CW210" s="23"/>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c r="EB210" s="23"/>
      <c r="EC210" s="23"/>
      <c r="ED210" s="23"/>
      <c r="EE210" s="23"/>
      <c r="EF210" s="23"/>
      <c r="EG210" s="23"/>
      <c r="EH210" s="23"/>
      <c r="EI210" s="23"/>
      <c r="EJ210" s="23"/>
      <c r="EK210" s="23"/>
      <c r="EL210" s="23"/>
      <c r="EM210" s="23"/>
      <c r="EN210" s="23"/>
      <c r="EO210" s="23"/>
      <c r="EP210" s="23"/>
      <c r="EQ210" s="23"/>
      <c r="ER210" s="23"/>
      <c r="ES210" s="23"/>
      <c r="ET210" s="23"/>
      <c r="EU210" s="23"/>
      <c r="EV210" s="23"/>
      <c r="EW210" s="23"/>
      <c r="EX210" s="23"/>
      <c r="EY210" s="23"/>
      <c r="EZ210" s="23"/>
      <c r="FA210" s="23"/>
      <c r="FB210" s="23"/>
      <c r="FC210" s="23"/>
      <c r="FD210" s="23"/>
      <c r="FE210" s="23"/>
      <c r="FF210" s="23"/>
      <c r="FG210" s="23"/>
      <c r="FH210" s="23"/>
      <c r="FI210" s="23"/>
      <c r="FJ210" s="23"/>
      <c r="FK210" s="23"/>
      <c r="FL210" s="23"/>
      <c r="FM210" s="23"/>
      <c r="FN210" s="23"/>
      <c r="FO210" s="23"/>
      <c r="FP210" s="23"/>
      <c r="FQ210" s="23"/>
      <c r="FR210" s="23"/>
      <c r="FS210" s="23"/>
      <c r="FT210" s="23"/>
      <c r="FU210" s="23"/>
      <c r="FV210" s="23"/>
      <c r="FW210" s="23"/>
      <c r="FX210" s="23"/>
      <c r="FY210" s="23"/>
      <c r="FZ210" s="23"/>
      <c r="GA210" s="23"/>
      <c r="GB210" s="23"/>
      <c r="GC210" s="23"/>
      <c r="GD210" s="23"/>
      <c r="GE210" s="23"/>
      <c r="GF210" s="23"/>
      <c r="GG210" s="23"/>
      <c r="GH210" s="23"/>
      <c r="GI210" s="23"/>
      <c r="GJ210" s="23"/>
      <c r="GK210" s="23"/>
      <c r="GL210" s="23"/>
      <c r="GM210" s="23"/>
      <c r="GN210" s="23"/>
      <c r="GO210" s="23"/>
      <c r="GP210" s="23"/>
      <c r="GQ210" s="23"/>
      <c r="GR210" s="23"/>
      <c r="GS210" s="23"/>
      <c r="GT210" s="23"/>
      <c r="GU210" s="23"/>
      <c r="GV210" s="23"/>
      <c r="GW210" s="23"/>
      <c r="GX210" s="23"/>
      <c r="GY210" s="23"/>
      <c r="GZ210" s="23"/>
      <c r="HA210" s="23"/>
      <c r="HB210" s="23"/>
      <c r="HC210" s="23"/>
      <c r="HD210" s="23"/>
      <c r="HE210" s="23"/>
      <c r="HF210" s="23"/>
      <c r="HG210" s="23"/>
      <c r="HH210" s="23"/>
      <c r="HI210" s="23"/>
      <c r="HJ210" s="23"/>
      <c r="HK210" s="23"/>
      <c r="HL210" s="23"/>
      <c r="HM210" s="23"/>
      <c r="HN210" s="23"/>
      <c r="HO210" s="23"/>
      <c r="HP210" s="23"/>
      <c r="HQ210" s="23"/>
      <c r="HR210" s="23"/>
      <c r="HS210" s="23"/>
      <c r="HT210" s="23"/>
      <c r="HU210" s="23"/>
      <c r="HV210" s="23"/>
      <c r="HW210" s="23"/>
      <c r="HX210" s="23"/>
      <c r="HY210" s="23"/>
      <c r="HZ210" s="23"/>
      <c r="IA210" s="23"/>
      <c r="IB210" s="23"/>
      <c r="IC210" s="23"/>
      <c r="ID210" s="23"/>
      <c r="IE210" s="23"/>
      <c r="IF210" s="23"/>
      <c r="IG210" s="23"/>
      <c r="IH210" s="23"/>
      <c r="II210" s="23"/>
      <c r="IJ210" s="23"/>
      <c r="IK210" s="23"/>
      <c r="IL210" s="23"/>
      <c r="IM210" s="23"/>
      <c r="IN210" s="23"/>
      <c r="IO210" s="23"/>
      <c r="IP210" s="23"/>
      <c r="IQ210" s="23"/>
      <c r="IR210" s="23"/>
      <c r="IS210" s="23"/>
      <c r="IT210" s="23"/>
      <c r="IU210" s="23"/>
      <c r="IV210" s="23"/>
      <c r="IW210" s="23"/>
      <c r="IX210" s="23"/>
      <c r="IY210" s="23"/>
      <c r="IZ210" s="23"/>
      <c r="JA210" s="23"/>
      <c r="JB210" s="23"/>
    </row>
    <row r="211" spans="1:262" s="137" customFormat="1" x14ac:dyDescent="0.3">
      <c r="A211" s="47"/>
      <c r="B211" s="40" t="s">
        <v>242</v>
      </c>
      <c r="C211" s="40"/>
      <c r="D211" s="40"/>
      <c r="E211" s="40"/>
      <c r="F211" s="40"/>
      <c r="G211" s="40"/>
      <c r="H211" s="40"/>
      <c r="I211" s="40"/>
      <c r="J211" s="40"/>
      <c r="K211" s="40"/>
      <c r="L211" s="40"/>
      <c r="M211" s="40"/>
      <c r="N211" s="40"/>
      <c r="O211" s="40"/>
      <c r="P211" s="40"/>
      <c r="Q211" s="40"/>
      <c r="R211" s="40"/>
      <c r="S211" s="40"/>
      <c r="T211" s="40"/>
      <c r="U211" s="40"/>
      <c r="V211" s="40"/>
      <c r="W211" s="40"/>
      <c r="X211" s="40"/>
      <c r="Y211" s="98">
        <f>Y207-Y210-Z210</f>
        <v>123824.40000000001</v>
      </c>
      <c r="Z211" s="70"/>
      <c r="AA211" s="40"/>
      <c r="AB211" s="98"/>
      <c r="AC211" s="43"/>
      <c r="AD211" s="22"/>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c r="BO211" s="23"/>
      <c r="BP211" s="23"/>
      <c r="BQ211" s="23"/>
      <c r="BR211" s="23"/>
      <c r="BS211" s="23"/>
      <c r="BT211" s="23"/>
      <c r="BU211" s="23"/>
      <c r="BV211" s="23"/>
      <c r="BW211" s="23"/>
      <c r="BX211" s="23"/>
      <c r="BY211" s="23"/>
      <c r="BZ211" s="23"/>
      <c r="CA211" s="23"/>
      <c r="CB211" s="23"/>
      <c r="CC211" s="23"/>
      <c r="CD211" s="23"/>
      <c r="CE211" s="23"/>
      <c r="CF211" s="23"/>
      <c r="CG211" s="23"/>
      <c r="CH211" s="23"/>
      <c r="CI211" s="23"/>
      <c r="CJ211" s="23"/>
      <c r="CK211" s="23"/>
      <c r="CL211" s="23"/>
      <c r="CM211" s="23"/>
      <c r="CN211" s="23"/>
      <c r="CO211" s="23"/>
      <c r="CP211" s="23"/>
      <c r="CQ211" s="23"/>
      <c r="CR211" s="23"/>
      <c r="CS211" s="23"/>
      <c r="CT211" s="23"/>
      <c r="CU211" s="23"/>
      <c r="CV211" s="23"/>
      <c r="CW211" s="23"/>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c r="EB211" s="23"/>
      <c r="EC211" s="23"/>
      <c r="ED211" s="23"/>
      <c r="EE211" s="23"/>
      <c r="EF211" s="23"/>
      <c r="EG211" s="23"/>
      <c r="EH211" s="23"/>
      <c r="EI211" s="23"/>
      <c r="EJ211" s="23"/>
      <c r="EK211" s="23"/>
      <c r="EL211" s="23"/>
      <c r="EM211" s="23"/>
      <c r="EN211" s="23"/>
      <c r="EO211" s="23"/>
      <c r="EP211" s="23"/>
      <c r="EQ211" s="23"/>
      <c r="ER211" s="23"/>
      <c r="ES211" s="23"/>
      <c r="ET211" s="23"/>
      <c r="EU211" s="23"/>
      <c r="EV211" s="23"/>
      <c r="EW211" s="23"/>
      <c r="EX211" s="23"/>
      <c r="EY211" s="23"/>
      <c r="EZ211" s="23"/>
      <c r="FA211" s="23"/>
      <c r="FB211" s="23"/>
      <c r="FC211" s="23"/>
      <c r="FD211" s="23"/>
      <c r="FE211" s="23"/>
      <c r="FF211" s="23"/>
      <c r="FG211" s="23"/>
      <c r="FH211" s="23"/>
      <c r="FI211" s="23"/>
      <c r="FJ211" s="23"/>
      <c r="FK211" s="23"/>
      <c r="FL211" s="23"/>
      <c r="FM211" s="23"/>
      <c r="FN211" s="23"/>
      <c r="FO211" s="23"/>
      <c r="FP211" s="23"/>
      <c r="FQ211" s="23"/>
      <c r="FR211" s="23"/>
      <c r="FS211" s="23"/>
      <c r="FT211" s="23"/>
      <c r="FU211" s="23"/>
      <c r="FV211" s="23"/>
      <c r="FW211" s="23"/>
      <c r="FX211" s="23"/>
      <c r="FY211" s="23"/>
      <c r="FZ211" s="23"/>
      <c r="GA211" s="23"/>
      <c r="GB211" s="23"/>
      <c r="GC211" s="23"/>
      <c r="GD211" s="23"/>
      <c r="GE211" s="23"/>
      <c r="GF211" s="23"/>
      <c r="GG211" s="23"/>
      <c r="GH211" s="23"/>
      <c r="GI211" s="23"/>
      <c r="GJ211" s="23"/>
      <c r="GK211" s="23"/>
      <c r="GL211" s="23"/>
      <c r="GM211" s="23"/>
      <c r="GN211" s="23"/>
      <c r="GO211" s="23"/>
      <c r="GP211" s="23"/>
      <c r="GQ211" s="23"/>
      <c r="GR211" s="23"/>
      <c r="GS211" s="23"/>
      <c r="GT211" s="23"/>
      <c r="GU211" s="23"/>
      <c r="GV211" s="23"/>
      <c r="GW211" s="23"/>
      <c r="GX211" s="23"/>
      <c r="GY211" s="23"/>
      <c r="GZ211" s="23"/>
      <c r="HA211" s="23"/>
      <c r="HB211" s="23"/>
      <c r="HC211" s="23"/>
      <c r="HD211" s="23"/>
      <c r="HE211" s="23"/>
      <c r="HF211" s="23"/>
      <c r="HG211" s="23"/>
      <c r="HH211" s="23"/>
      <c r="HI211" s="23"/>
      <c r="HJ211" s="23"/>
      <c r="HK211" s="23"/>
      <c r="HL211" s="23"/>
      <c r="HM211" s="23"/>
      <c r="HN211" s="23"/>
      <c r="HO211" s="23"/>
      <c r="HP211" s="23"/>
      <c r="HQ211" s="23"/>
      <c r="HR211" s="23"/>
      <c r="HS211" s="23"/>
      <c r="HT211" s="23"/>
      <c r="HU211" s="23"/>
      <c r="HV211" s="23"/>
      <c r="HW211" s="23"/>
      <c r="HX211" s="23"/>
      <c r="HY211" s="23"/>
      <c r="HZ211" s="23"/>
      <c r="IA211" s="23"/>
      <c r="IB211" s="23"/>
      <c r="IC211" s="23"/>
      <c r="ID211" s="23"/>
      <c r="IE211" s="23"/>
      <c r="IF211" s="23"/>
      <c r="IG211" s="23"/>
      <c r="IH211" s="23"/>
      <c r="II211" s="23"/>
      <c r="IJ211" s="23"/>
      <c r="IK211" s="23"/>
      <c r="IL211" s="23"/>
      <c r="IM211" s="23"/>
      <c r="IN211" s="23"/>
      <c r="IO211" s="23"/>
      <c r="IP211" s="23"/>
      <c r="IQ211" s="23"/>
      <c r="IR211" s="23"/>
      <c r="IS211" s="23"/>
      <c r="IT211" s="23"/>
      <c r="IU211" s="23"/>
      <c r="IV211" s="23"/>
      <c r="IW211" s="23"/>
      <c r="IX211" s="23"/>
      <c r="IY211" s="23"/>
      <c r="IZ211" s="23"/>
      <c r="JA211" s="23"/>
      <c r="JB211" s="23"/>
    </row>
    <row r="212" spans="1:262" s="139" customFormat="1" ht="16.2" thickBot="1" x14ac:dyDescent="0.35">
      <c r="A212" s="138"/>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c r="AA212" s="99"/>
      <c r="AB212" s="126"/>
      <c r="AC212" s="10"/>
      <c r="AD212" s="5"/>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row>
    <row r="213" spans="1:262" x14ac:dyDescent="0.3">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134"/>
      <c r="AC213" s="4"/>
      <c r="AD213" s="5"/>
    </row>
    <row r="214" spans="1:262" s="136" customFormat="1" x14ac:dyDescent="0.3">
      <c r="A214" s="7"/>
      <c r="B214" s="125" t="s">
        <v>267</v>
      </c>
      <c r="C214" s="99"/>
      <c r="D214" s="99"/>
      <c r="E214" s="99"/>
      <c r="F214" s="99"/>
      <c r="G214" s="99"/>
      <c r="H214" s="99"/>
      <c r="I214" s="99"/>
      <c r="J214" s="99"/>
      <c r="K214" s="99"/>
      <c r="L214" s="99"/>
      <c r="M214" s="99"/>
      <c r="N214" s="99"/>
      <c r="O214" s="99"/>
      <c r="P214" s="99"/>
      <c r="Q214" s="99"/>
      <c r="R214" s="99"/>
      <c r="S214" s="99"/>
      <c r="T214" s="99"/>
      <c r="U214" s="99"/>
      <c r="V214" s="99"/>
      <c r="W214" s="99"/>
      <c r="X214" s="99"/>
      <c r="Y214" s="233"/>
      <c r="Z214" s="233"/>
      <c r="AA214" s="12"/>
      <c r="AB214" s="234" t="s">
        <v>80</v>
      </c>
      <c r="AC214" s="10"/>
      <c r="AD214" s="5"/>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row>
    <row r="215" spans="1:262" s="137" customFormat="1" x14ac:dyDescent="0.3">
      <c r="A215" s="47"/>
      <c r="B215" s="40" t="s">
        <v>265</v>
      </c>
      <c r="C215" s="40"/>
      <c r="D215" s="40"/>
      <c r="E215" s="40"/>
      <c r="F215" s="40"/>
      <c r="G215" s="40"/>
      <c r="H215" s="40"/>
      <c r="I215" s="40"/>
      <c r="J215" s="40"/>
      <c r="K215" s="40"/>
      <c r="L215" s="40"/>
      <c r="M215" s="40"/>
      <c r="N215" s="40"/>
      <c r="O215" s="40"/>
      <c r="P215" s="40"/>
      <c r="Q215" s="40"/>
      <c r="R215" s="40"/>
      <c r="S215" s="40"/>
      <c r="T215" s="40"/>
      <c r="U215" s="40"/>
      <c r="V215" s="40"/>
      <c r="W215" s="40"/>
      <c r="X215" s="40"/>
      <c r="Y215" s="98"/>
      <c r="Z215" s="70"/>
      <c r="AA215" s="40"/>
      <c r="AB215" s="237">
        <v>651000</v>
      </c>
      <c r="AC215" s="43"/>
      <c r="AD215" s="22"/>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c r="BO215" s="23"/>
      <c r="BP215" s="23"/>
      <c r="BQ215" s="23"/>
      <c r="BR215" s="23"/>
      <c r="BS215" s="23"/>
      <c r="BT215" s="23"/>
      <c r="BU215" s="23"/>
      <c r="BV215" s="23"/>
      <c r="BW215" s="23"/>
      <c r="BX215" s="23"/>
      <c r="BY215" s="23"/>
      <c r="BZ215" s="23"/>
      <c r="CA215" s="23"/>
      <c r="CB215" s="23"/>
      <c r="CC215" s="23"/>
      <c r="CD215" s="23"/>
      <c r="CE215" s="23"/>
      <c r="CF215" s="23"/>
      <c r="CG215" s="23"/>
      <c r="CH215" s="23"/>
      <c r="CI215" s="23"/>
      <c r="CJ215" s="23"/>
      <c r="CK215" s="23"/>
      <c r="CL215" s="23"/>
      <c r="CM215" s="23"/>
      <c r="CN215" s="23"/>
      <c r="CO215" s="23"/>
      <c r="CP215" s="23"/>
      <c r="CQ215" s="23"/>
      <c r="CR215" s="23"/>
      <c r="CS215" s="23"/>
      <c r="CT215" s="23"/>
      <c r="CU215" s="23"/>
      <c r="CV215" s="23"/>
      <c r="CW215" s="23"/>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c r="EB215" s="23"/>
      <c r="EC215" s="23"/>
      <c r="ED215" s="23"/>
      <c r="EE215" s="23"/>
      <c r="EF215" s="23"/>
      <c r="EG215" s="23"/>
      <c r="EH215" s="23"/>
      <c r="EI215" s="23"/>
      <c r="EJ215" s="23"/>
      <c r="EK215" s="23"/>
      <c r="EL215" s="23"/>
      <c r="EM215" s="23"/>
      <c r="EN215" s="23"/>
      <c r="EO215" s="23"/>
      <c r="EP215" s="23"/>
      <c r="EQ215" s="23"/>
      <c r="ER215" s="23"/>
      <c r="ES215" s="23"/>
      <c r="ET215" s="23"/>
      <c r="EU215" s="23"/>
      <c r="EV215" s="23"/>
      <c r="EW215" s="23"/>
      <c r="EX215" s="23"/>
      <c r="EY215" s="23"/>
      <c r="EZ215" s="23"/>
      <c r="FA215" s="23"/>
      <c r="FB215" s="23"/>
      <c r="FC215" s="23"/>
      <c r="FD215" s="23"/>
      <c r="FE215" s="23"/>
      <c r="FF215" s="23"/>
      <c r="FG215" s="23"/>
      <c r="FH215" s="23"/>
      <c r="FI215" s="23"/>
      <c r="FJ215" s="23"/>
      <c r="FK215" s="23"/>
      <c r="FL215" s="23"/>
      <c r="FM215" s="23"/>
      <c r="FN215" s="23"/>
      <c r="FO215" s="23"/>
      <c r="FP215" s="23"/>
      <c r="FQ215" s="23"/>
      <c r="FR215" s="23"/>
      <c r="FS215" s="23"/>
      <c r="FT215" s="23"/>
      <c r="FU215" s="23"/>
      <c r="FV215" s="23"/>
      <c r="FW215" s="23"/>
      <c r="FX215" s="23"/>
      <c r="FY215" s="23"/>
      <c r="FZ215" s="23"/>
      <c r="GA215" s="23"/>
      <c r="GB215" s="23"/>
      <c r="GC215" s="23"/>
      <c r="GD215" s="23"/>
      <c r="GE215" s="23"/>
      <c r="GF215" s="23"/>
      <c r="GG215" s="23"/>
      <c r="GH215" s="23"/>
      <c r="GI215" s="23"/>
      <c r="GJ215" s="23"/>
      <c r="GK215" s="23"/>
      <c r="GL215" s="23"/>
      <c r="GM215" s="23"/>
      <c r="GN215" s="23"/>
      <c r="GO215" s="23"/>
      <c r="GP215" s="23"/>
      <c r="GQ215" s="23"/>
      <c r="GR215" s="23"/>
      <c r="GS215" s="23"/>
      <c r="GT215" s="23"/>
      <c r="GU215" s="23"/>
      <c r="GV215" s="23"/>
      <c r="GW215" s="23"/>
      <c r="GX215" s="23"/>
      <c r="GY215" s="23"/>
      <c r="GZ215" s="23"/>
      <c r="HA215" s="23"/>
      <c r="HB215" s="23"/>
      <c r="HC215" s="23"/>
      <c r="HD215" s="23"/>
      <c r="HE215" s="23"/>
      <c r="HF215" s="23"/>
      <c r="HG215" s="23"/>
      <c r="HH215" s="23"/>
      <c r="HI215" s="23"/>
      <c r="HJ215" s="23"/>
      <c r="HK215" s="23"/>
      <c r="HL215" s="23"/>
      <c r="HM215" s="23"/>
      <c r="HN215" s="23"/>
      <c r="HO215" s="23"/>
      <c r="HP215" s="23"/>
      <c r="HQ215" s="23"/>
      <c r="HR215" s="23"/>
      <c r="HS215" s="23"/>
      <c r="HT215" s="23"/>
      <c r="HU215" s="23"/>
      <c r="HV215" s="23"/>
      <c r="HW215" s="23"/>
      <c r="HX215" s="23"/>
      <c r="HY215" s="23"/>
      <c r="HZ215" s="23"/>
      <c r="IA215" s="23"/>
      <c r="IB215" s="23"/>
      <c r="IC215" s="23"/>
      <c r="ID215" s="23"/>
      <c r="IE215" s="23"/>
      <c r="IF215" s="23"/>
      <c r="IG215" s="23"/>
      <c r="IH215" s="23"/>
      <c r="II215" s="23"/>
      <c r="IJ215" s="23"/>
      <c r="IK215" s="23"/>
      <c r="IL215" s="23"/>
      <c r="IM215" s="23"/>
      <c r="IN215" s="23"/>
      <c r="IO215" s="23"/>
      <c r="IP215" s="23"/>
      <c r="IQ215" s="23"/>
      <c r="IR215" s="23"/>
      <c r="IS215" s="23"/>
      <c r="IT215" s="23"/>
      <c r="IU215" s="23"/>
      <c r="IV215" s="23"/>
      <c r="IW215" s="23"/>
      <c r="IX215" s="23"/>
      <c r="IY215" s="23"/>
      <c r="IZ215" s="23"/>
      <c r="JA215" s="23"/>
      <c r="JB215" s="23"/>
    </row>
    <row r="216" spans="1:262" s="137" customFormat="1" x14ac:dyDescent="0.3">
      <c r="A216" s="47"/>
      <c r="B216" s="40" t="s">
        <v>325</v>
      </c>
      <c r="C216" s="40"/>
      <c r="D216" s="40"/>
      <c r="E216" s="40"/>
      <c r="F216" s="40"/>
      <c r="G216" s="40"/>
      <c r="H216" s="40"/>
      <c r="I216" s="40"/>
      <c r="J216" s="40"/>
      <c r="K216" s="40"/>
      <c r="L216" s="40"/>
      <c r="M216" s="40"/>
      <c r="N216" s="40"/>
      <c r="O216" s="40"/>
      <c r="P216" s="40"/>
      <c r="Q216" s="40"/>
      <c r="R216" s="40"/>
      <c r="S216" s="40"/>
      <c r="T216" s="40"/>
      <c r="U216" s="40"/>
      <c r="V216" s="40"/>
      <c r="W216" s="40"/>
      <c r="X216" s="40"/>
      <c r="Y216" s="98"/>
      <c r="Z216" s="98"/>
      <c r="AA216" s="40"/>
      <c r="AB216" s="237">
        <v>650941</v>
      </c>
      <c r="AC216" s="43"/>
      <c r="AD216" s="22"/>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c r="BO216" s="23"/>
      <c r="BP216" s="23"/>
      <c r="BQ216" s="23"/>
      <c r="BR216" s="23"/>
      <c r="BS216" s="23"/>
      <c r="BT216" s="23"/>
      <c r="BU216" s="23"/>
      <c r="BV216" s="23"/>
      <c r="BW216" s="23"/>
      <c r="BX216" s="23"/>
      <c r="BY216" s="23"/>
      <c r="BZ216" s="23"/>
      <c r="CA216" s="23"/>
      <c r="CB216" s="23"/>
      <c r="CC216" s="23"/>
      <c r="CD216" s="23"/>
      <c r="CE216" s="23"/>
      <c r="CF216" s="23"/>
      <c r="CG216" s="23"/>
      <c r="CH216" s="23"/>
      <c r="CI216" s="23"/>
      <c r="CJ216" s="23"/>
      <c r="CK216" s="23"/>
      <c r="CL216" s="23"/>
      <c r="CM216" s="23"/>
      <c r="CN216" s="23"/>
      <c r="CO216" s="23"/>
      <c r="CP216" s="23"/>
      <c r="CQ216" s="23"/>
      <c r="CR216" s="23"/>
      <c r="CS216" s="23"/>
      <c r="CT216" s="23"/>
      <c r="CU216" s="23"/>
      <c r="CV216" s="23"/>
      <c r="CW216" s="23"/>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c r="EB216" s="23"/>
      <c r="EC216" s="23"/>
      <c r="ED216" s="23"/>
      <c r="EE216" s="23"/>
      <c r="EF216" s="23"/>
      <c r="EG216" s="23"/>
      <c r="EH216" s="23"/>
      <c r="EI216" s="23"/>
      <c r="EJ216" s="23"/>
      <c r="EK216" s="23"/>
      <c r="EL216" s="23"/>
      <c r="EM216" s="23"/>
      <c r="EN216" s="23"/>
      <c r="EO216" s="23"/>
      <c r="EP216" s="23"/>
      <c r="EQ216" s="23"/>
      <c r="ER216" s="23"/>
      <c r="ES216" s="23"/>
      <c r="ET216" s="23"/>
      <c r="EU216" s="23"/>
      <c r="EV216" s="23"/>
      <c r="EW216" s="23"/>
      <c r="EX216" s="23"/>
      <c r="EY216" s="23"/>
      <c r="EZ216" s="23"/>
      <c r="FA216" s="23"/>
      <c r="FB216" s="23"/>
      <c r="FC216" s="23"/>
      <c r="FD216" s="23"/>
      <c r="FE216" s="23"/>
      <c r="FF216" s="23"/>
      <c r="FG216" s="23"/>
      <c r="FH216" s="23"/>
      <c r="FI216" s="23"/>
      <c r="FJ216" s="23"/>
      <c r="FK216" s="23"/>
      <c r="FL216" s="23"/>
      <c r="FM216" s="23"/>
      <c r="FN216" s="23"/>
      <c r="FO216" s="23"/>
      <c r="FP216" s="23"/>
      <c r="FQ216" s="23"/>
      <c r="FR216" s="23"/>
      <c r="FS216" s="23"/>
      <c r="FT216" s="23"/>
      <c r="FU216" s="23"/>
      <c r="FV216" s="23"/>
      <c r="FW216" s="23"/>
      <c r="FX216" s="23"/>
      <c r="FY216" s="23"/>
      <c r="FZ216" s="23"/>
      <c r="GA216" s="23"/>
      <c r="GB216" s="23"/>
      <c r="GC216" s="23"/>
      <c r="GD216" s="23"/>
      <c r="GE216" s="23"/>
      <c r="GF216" s="23"/>
      <c r="GG216" s="23"/>
      <c r="GH216" s="23"/>
      <c r="GI216" s="23"/>
      <c r="GJ216" s="23"/>
      <c r="GK216" s="23"/>
      <c r="GL216" s="23"/>
      <c r="GM216" s="23"/>
      <c r="GN216" s="23"/>
      <c r="GO216" s="23"/>
      <c r="GP216" s="23"/>
      <c r="GQ216" s="23"/>
      <c r="GR216" s="23"/>
      <c r="GS216" s="23"/>
      <c r="GT216" s="23"/>
      <c r="GU216" s="23"/>
      <c r="GV216" s="23"/>
      <c r="GW216" s="23"/>
      <c r="GX216" s="23"/>
      <c r="GY216" s="23"/>
      <c r="GZ216" s="23"/>
      <c r="HA216" s="23"/>
      <c r="HB216" s="23"/>
      <c r="HC216" s="23"/>
      <c r="HD216" s="23"/>
      <c r="HE216" s="23"/>
      <c r="HF216" s="23"/>
      <c r="HG216" s="23"/>
      <c r="HH216" s="23"/>
      <c r="HI216" s="23"/>
      <c r="HJ216" s="23"/>
      <c r="HK216" s="23"/>
      <c r="HL216" s="23"/>
      <c r="HM216" s="23"/>
      <c r="HN216" s="23"/>
      <c r="HO216" s="23"/>
      <c r="HP216" s="23"/>
      <c r="HQ216" s="23"/>
      <c r="HR216" s="23"/>
      <c r="HS216" s="23"/>
      <c r="HT216" s="23"/>
      <c r="HU216" s="23"/>
      <c r="HV216" s="23"/>
      <c r="HW216" s="23"/>
      <c r="HX216" s="23"/>
      <c r="HY216" s="23"/>
      <c r="HZ216" s="23"/>
      <c r="IA216" s="23"/>
      <c r="IB216" s="23"/>
      <c r="IC216" s="23"/>
      <c r="ID216" s="23"/>
      <c r="IE216" s="23"/>
      <c r="IF216" s="23"/>
      <c r="IG216" s="23"/>
      <c r="IH216" s="23"/>
      <c r="II216" s="23"/>
      <c r="IJ216" s="23"/>
      <c r="IK216" s="23"/>
      <c r="IL216" s="23"/>
      <c r="IM216" s="23"/>
      <c r="IN216" s="23"/>
      <c r="IO216" s="23"/>
      <c r="IP216" s="23"/>
      <c r="IQ216" s="23"/>
      <c r="IR216" s="23"/>
      <c r="IS216" s="23"/>
      <c r="IT216" s="23"/>
      <c r="IU216" s="23"/>
      <c r="IV216" s="23"/>
      <c r="IW216" s="23"/>
      <c r="IX216" s="23"/>
      <c r="IY216" s="23"/>
      <c r="IZ216" s="23"/>
      <c r="JA216" s="23"/>
      <c r="JB216" s="23"/>
    </row>
    <row r="217" spans="1:262" s="137" customFormat="1" x14ac:dyDescent="0.3">
      <c r="A217" s="47"/>
      <c r="B217" s="40" t="s">
        <v>266</v>
      </c>
      <c r="C217" s="40"/>
      <c r="D217" s="40"/>
      <c r="E217" s="40"/>
      <c r="F217" s="40"/>
      <c r="G217" s="40"/>
      <c r="H217" s="40"/>
      <c r="I217" s="40"/>
      <c r="J217" s="40"/>
      <c r="K217" s="40"/>
      <c r="L217" s="40"/>
      <c r="M217" s="40"/>
      <c r="N217" s="40"/>
      <c r="O217" s="40"/>
      <c r="P217" s="40"/>
      <c r="Q217" s="40"/>
      <c r="R217" s="40"/>
      <c r="S217" s="40"/>
      <c r="T217" s="40"/>
      <c r="U217" s="40"/>
      <c r="V217" s="40"/>
      <c r="W217" s="40"/>
      <c r="X217" s="40"/>
      <c r="Y217" s="98"/>
      <c r="Z217" s="98"/>
      <c r="AA217" s="40"/>
      <c r="AB217" s="98">
        <f>AB215-AB216</f>
        <v>59</v>
      </c>
      <c r="AC217" s="43"/>
      <c r="AD217" s="22"/>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R217" s="23"/>
      <c r="BS217" s="23"/>
      <c r="BT217" s="23"/>
      <c r="BU217" s="23"/>
      <c r="BV217" s="23"/>
      <c r="BW217" s="23"/>
      <c r="BX217" s="23"/>
      <c r="BY217" s="23"/>
      <c r="BZ217" s="23"/>
      <c r="CA217" s="23"/>
      <c r="CB217" s="23"/>
      <c r="CC217" s="23"/>
      <c r="CD217" s="23"/>
      <c r="CE217" s="23"/>
      <c r="CF217" s="23"/>
      <c r="CG217" s="23"/>
      <c r="CH217" s="23"/>
      <c r="CI217" s="23"/>
      <c r="CJ217" s="23"/>
      <c r="CK217" s="23"/>
      <c r="CL217" s="23"/>
      <c r="CM217" s="23"/>
      <c r="CN217" s="23"/>
      <c r="CO217" s="23"/>
      <c r="CP217" s="23"/>
      <c r="CQ217" s="23"/>
      <c r="CR217" s="23"/>
      <c r="CS217" s="23"/>
      <c r="CT217" s="23"/>
      <c r="CU217" s="23"/>
      <c r="CV217" s="23"/>
      <c r="CW217" s="23"/>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c r="EB217" s="23"/>
      <c r="EC217" s="23"/>
      <c r="ED217" s="23"/>
      <c r="EE217" s="23"/>
      <c r="EF217" s="23"/>
      <c r="EG217" s="23"/>
      <c r="EH217" s="23"/>
      <c r="EI217" s="23"/>
      <c r="EJ217" s="23"/>
      <c r="EK217" s="23"/>
      <c r="EL217" s="23"/>
      <c r="EM217" s="23"/>
      <c r="EN217" s="23"/>
      <c r="EO217" s="23"/>
      <c r="EP217" s="23"/>
      <c r="EQ217" s="23"/>
      <c r="ER217" s="23"/>
      <c r="ES217" s="23"/>
      <c r="ET217" s="23"/>
      <c r="EU217" s="23"/>
      <c r="EV217" s="23"/>
      <c r="EW217" s="23"/>
      <c r="EX217" s="23"/>
      <c r="EY217" s="23"/>
      <c r="EZ217" s="23"/>
      <c r="FA217" s="23"/>
      <c r="FB217" s="23"/>
      <c r="FC217" s="23"/>
      <c r="FD217" s="23"/>
      <c r="FE217" s="23"/>
      <c r="FF217" s="23"/>
      <c r="FG217" s="23"/>
      <c r="FH217" s="23"/>
      <c r="FI217" s="23"/>
      <c r="FJ217" s="23"/>
      <c r="FK217" s="23"/>
      <c r="FL217" s="23"/>
      <c r="FM217" s="23"/>
      <c r="FN217" s="23"/>
      <c r="FO217" s="23"/>
      <c r="FP217" s="23"/>
      <c r="FQ217" s="23"/>
      <c r="FR217" s="23"/>
      <c r="FS217" s="23"/>
      <c r="FT217" s="23"/>
      <c r="FU217" s="23"/>
      <c r="FV217" s="23"/>
      <c r="FW217" s="23"/>
      <c r="FX217" s="23"/>
      <c r="FY217" s="23"/>
      <c r="FZ217" s="23"/>
      <c r="GA217" s="23"/>
      <c r="GB217" s="23"/>
      <c r="GC217" s="23"/>
      <c r="GD217" s="23"/>
      <c r="GE217" s="23"/>
      <c r="GF217" s="23"/>
      <c r="GG217" s="23"/>
      <c r="GH217" s="23"/>
      <c r="GI217" s="23"/>
      <c r="GJ217" s="23"/>
      <c r="GK217" s="23"/>
      <c r="GL217" s="23"/>
      <c r="GM217" s="23"/>
      <c r="GN217" s="23"/>
      <c r="GO217" s="23"/>
      <c r="GP217" s="23"/>
      <c r="GQ217" s="23"/>
      <c r="GR217" s="23"/>
      <c r="GS217" s="23"/>
      <c r="GT217" s="23"/>
      <c r="GU217" s="23"/>
      <c r="GV217" s="23"/>
      <c r="GW217" s="23"/>
      <c r="GX217" s="23"/>
      <c r="GY217" s="23"/>
      <c r="GZ217" s="23"/>
      <c r="HA217" s="23"/>
      <c r="HB217" s="23"/>
      <c r="HC217" s="23"/>
      <c r="HD217" s="23"/>
      <c r="HE217" s="23"/>
      <c r="HF217" s="23"/>
      <c r="HG217" s="23"/>
      <c r="HH217" s="23"/>
      <c r="HI217" s="23"/>
      <c r="HJ217" s="23"/>
      <c r="HK217" s="23"/>
      <c r="HL217" s="23"/>
      <c r="HM217" s="23"/>
      <c r="HN217" s="23"/>
      <c r="HO217" s="23"/>
      <c r="HP217" s="23"/>
      <c r="HQ217" s="23"/>
      <c r="HR217" s="23"/>
      <c r="HS217" s="23"/>
      <c r="HT217" s="23"/>
      <c r="HU217" s="23"/>
      <c r="HV217" s="23"/>
      <c r="HW217" s="23"/>
      <c r="HX217" s="23"/>
      <c r="HY217" s="23"/>
      <c r="HZ217" s="23"/>
      <c r="IA217" s="23"/>
      <c r="IB217" s="23"/>
      <c r="IC217" s="23"/>
      <c r="ID217" s="23"/>
      <c r="IE217" s="23"/>
      <c r="IF217" s="23"/>
      <c r="IG217" s="23"/>
      <c r="IH217" s="23"/>
      <c r="II217" s="23"/>
      <c r="IJ217" s="23"/>
      <c r="IK217" s="23"/>
      <c r="IL217" s="23"/>
      <c r="IM217" s="23"/>
      <c r="IN217" s="23"/>
      <c r="IO217" s="23"/>
      <c r="IP217" s="23"/>
      <c r="IQ217" s="23"/>
      <c r="IR217" s="23"/>
      <c r="IS217" s="23"/>
      <c r="IT217" s="23"/>
      <c r="IU217" s="23"/>
      <c r="IV217" s="23"/>
      <c r="IW217" s="23"/>
      <c r="IX217" s="23"/>
      <c r="IY217" s="23"/>
      <c r="IZ217" s="23"/>
      <c r="JA217" s="23"/>
      <c r="JB217" s="23"/>
    </row>
    <row r="218" spans="1:262" s="137" customFormat="1" x14ac:dyDescent="0.3">
      <c r="A218" s="47"/>
      <c r="B218" s="40" t="s">
        <v>279</v>
      </c>
      <c r="C218" s="40"/>
      <c r="D218" s="40"/>
      <c r="E218" s="40"/>
      <c r="F218" s="40"/>
      <c r="G218" s="40"/>
      <c r="H218" s="40"/>
      <c r="I218" s="40"/>
      <c r="J218" s="40"/>
      <c r="K218" s="40"/>
      <c r="L218" s="40"/>
      <c r="M218" s="40"/>
      <c r="N218" s="40"/>
      <c r="O218" s="40"/>
      <c r="P218" s="40"/>
      <c r="Q218" s="40"/>
      <c r="R218" s="40"/>
      <c r="S218" s="40"/>
      <c r="T218" s="40"/>
      <c r="U218" s="40"/>
      <c r="V218" s="40"/>
      <c r="W218" s="40"/>
      <c r="X218" s="40"/>
      <c r="Y218" s="97"/>
      <c r="Z218" s="97"/>
      <c r="AA218" s="40"/>
      <c r="AB218" s="240">
        <v>5.8248694316436296E-3</v>
      </c>
      <c r="AC218" s="43"/>
      <c r="AD218" s="22"/>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R218" s="23"/>
      <c r="BS218" s="23"/>
      <c r="BT218" s="23"/>
      <c r="BU218" s="23"/>
      <c r="BV218" s="23"/>
      <c r="BW218" s="23"/>
      <c r="BX218" s="23"/>
      <c r="BY218" s="23"/>
      <c r="BZ218" s="23"/>
      <c r="CA218" s="23"/>
      <c r="CB218" s="23"/>
      <c r="CC218" s="23"/>
      <c r="CD218" s="23"/>
      <c r="CE218" s="23"/>
      <c r="CF218" s="23"/>
      <c r="CG218" s="23"/>
      <c r="CH218" s="23"/>
      <c r="CI218" s="23"/>
      <c r="CJ218" s="23"/>
      <c r="CK218" s="23"/>
      <c r="CL218" s="23"/>
      <c r="CM218" s="23"/>
      <c r="CN218" s="23"/>
      <c r="CO218" s="23"/>
      <c r="CP218" s="23"/>
      <c r="CQ218" s="23"/>
      <c r="CR218" s="23"/>
      <c r="CS218" s="23"/>
      <c r="CT218" s="23"/>
      <c r="CU218" s="23"/>
      <c r="CV218" s="23"/>
      <c r="CW218" s="23"/>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c r="EB218" s="23"/>
      <c r="EC218" s="23"/>
      <c r="ED218" s="23"/>
      <c r="EE218" s="23"/>
      <c r="EF218" s="23"/>
      <c r="EG218" s="23"/>
      <c r="EH218" s="23"/>
      <c r="EI218" s="23"/>
      <c r="EJ218" s="23"/>
      <c r="EK218" s="23"/>
      <c r="EL218" s="23"/>
      <c r="EM218" s="23"/>
      <c r="EN218" s="23"/>
      <c r="EO218" s="23"/>
      <c r="EP218" s="23"/>
      <c r="EQ218" s="23"/>
      <c r="ER218" s="23"/>
      <c r="ES218" s="23"/>
      <c r="ET218" s="23"/>
      <c r="EU218" s="23"/>
      <c r="EV218" s="23"/>
      <c r="EW218" s="23"/>
      <c r="EX218" s="23"/>
      <c r="EY218" s="23"/>
      <c r="EZ218" s="23"/>
      <c r="FA218" s="23"/>
      <c r="FB218" s="23"/>
      <c r="FC218" s="23"/>
      <c r="FD218" s="23"/>
      <c r="FE218" s="23"/>
      <c r="FF218" s="23"/>
      <c r="FG218" s="23"/>
      <c r="FH218" s="23"/>
      <c r="FI218" s="23"/>
      <c r="FJ218" s="23"/>
      <c r="FK218" s="23"/>
      <c r="FL218" s="23"/>
      <c r="FM218" s="23"/>
      <c r="FN218" s="23"/>
      <c r="FO218" s="23"/>
      <c r="FP218" s="23"/>
      <c r="FQ218" s="23"/>
      <c r="FR218" s="23"/>
      <c r="FS218" s="23"/>
      <c r="FT218" s="23"/>
      <c r="FU218" s="23"/>
      <c r="FV218" s="23"/>
      <c r="FW218" s="23"/>
      <c r="FX218" s="23"/>
      <c r="FY218" s="23"/>
      <c r="FZ218" s="23"/>
      <c r="GA218" s="23"/>
      <c r="GB218" s="23"/>
      <c r="GC218" s="23"/>
      <c r="GD218" s="23"/>
      <c r="GE218" s="23"/>
      <c r="GF218" s="23"/>
      <c r="GG218" s="23"/>
      <c r="GH218" s="23"/>
      <c r="GI218" s="23"/>
      <c r="GJ218" s="23"/>
      <c r="GK218" s="23"/>
      <c r="GL218" s="23"/>
      <c r="GM218" s="23"/>
      <c r="GN218" s="23"/>
      <c r="GO218" s="23"/>
      <c r="GP218" s="23"/>
      <c r="GQ218" s="23"/>
      <c r="GR218" s="23"/>
      <c r="GS218" s="23"/>
      <c r="GT218" s="23"/>
      <c r="GU218" s="23"/>
      <c r="GV218" s="23"/>
      <c r="GW218" s="23"/>
      <c r="GX218" s="23"/>
      <c r="GY218" s="23"/>
      <c r="GZ218" s="23"/>
      <c r="HA218" s="23"/>
      <c r="HB218" s="23"/>
      <c r="HC218" s="23"/>
      <c r="HD218" s="23"/>
      <c r="HE218" s="23"/>
      <c r="HF218" s="23"/>
      <c r="HG218" s="23"/>
      <c r="HH218" s="23"/>
      <c r="HI218" s="23"/>
      <c r="HJ218" s="23"/>
      <c r="HK218" s="23"/>
      <c r="HL218" s="23"/>
      <c r="HM218" s="23"/>
      <c r="HN218" s="23"/>
      <c r="HO218" s="23"/>
      <c r="HP218" s="23"/>
      <c r="HQ218" s="23"/>
      <c r="HR218" s="23"/>
      <c r="HS218" s="23"/>
      <c r="HT218" s="23"/>
      <c r="HU218" s="23"/>
      <c r="HV218" s="23"/>
      <c r="HW218" s="23"/>
      <c r="HX218" s="23"/>
      <c r="HY218" s="23"/>
      <c r="HZ218" s="23"/>
      <c r="IA218" s="23"/>
      <c r="IB218" s="23"/>
      <c r="IC218" s="23"/>
      <c r="ID218" s="23"/>
      <c r="IE218" s="23"/>
      <c r="IF218" s="23"/>
      <c r="IG218" s="23"/>
      <c r="IH218" s="23"/>
      <c r="II218" s="23"/>
      <c r="IJ218" s="23"/>
      <c r="IK218" s="23"/>
      <c r="IL218" s="23"/>
      <c r="IM218" s="23"/>
      <c r="IN218" s="23"/>
      <c r="IO218" s="23"/>
      <c r="IP218" s="23"/>
      <c r="IQ218" s="23"/>
      <c r="IR218" s="23"/>
      <c r="IS218" s="23"/>
      <c r="IT218" s="23"/>
      <c r="IU218" s="23"/>
      <c r="IV218" s="23"/>
      <c r="IW218" s="23"/>
      <c r="IX218" s="23"/>
      <c r="IY218" s="23"/>
      <c r="IZ218" s="23"/>
      <c r="JA218" s="23"/>
      <c r="JB218" s="23"/>
    </row>
    <row r="219" spans="1:262" s="139" customFormat="1" ht="16.2" thickBot="1" x14ac:dyDescent="0.35">
      <c r="A219" s="138"/>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c r="AA219" s="99"/>
      <c r="AB219" s="126"/>
      <c r="AC219" s="10"/>
      <c r="AD219" s="5"/>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row>
    <row r="220" spans="1:262" x14ac:dyDescent="0.3">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134"/>
      <c r="AC220" s="4"/>
      <c r="AD220" s="5"/>
    </row>
    <row r="221" spans="1:262" x14ac:dyDescent="0.3">
      <c r="A221" s="7"/>
      <c r="B221" s="125" t="s">
        <v>39</v>
      </c>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140"/>
      <c r="AC221" s="10"/>
      <c r="AD221" s="5"/>
    </row>
    <row r="222" spans="1:262" s="23" customFormat="1" x14ac:dyDescent="0.3">
      <c r="A222" s="47"/>
      <c r="B222" s="40" t="s">
        <v>40</v>
      </c>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142">
        <f>(AB86+AB88+AB89+AB90+AB91)/-AB92</f>
        <v>3.2878189004671219</v>
      </c>
      <c r="AC222" s="43" t="s">
        <v>81</v>
      </c>
      <c r="AD222" s="22"/>
    </row>
    <row r="223" spans="1:262" s="23" customFormat="1" x14ac:dyDescent="0.3">
      <c r="A223" s="47"/>
      <c r="B223" s="40" t="s">
        <v>41</v>
      </c>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142">
        <v>3.02</v>
      </c>
      <c r="AC223" s="43" t="s">
        <v>81</v>
      </c>
      <c r="AD223" s="22"/>
    </row>
    <row r="224" spans="1:262" s="23" customFormat="1" x14ac:dyDescent="0.3">
      <c r="A224" s="47"/>
      <c r="B224" s="40" t="s">
        <v>144</v>
      </c>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141">
        <f>(AB86+AB88+AB89+AB90+AB91+AB92)/-(AB93)</f>
        <v>26.201646090534979</v>
      </c>
      <c r="AC224" s="43" t="s">
        <v>81</v>
      </c>
      <c r="AD224" s="22"/>
    </row>
    <row r="225" spans="1:30" s="23" customFormat="1" x14ac:dyDescent="0.3">
      <c r="A225" s="47"/>
      <c r="B225" s="40" t="s">
        <v>145</v>
      </c>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142">
        <v>22.94</v>
      </c>
      <c r="AC225" s="43" t="s">
        <v>81</v>
      </c>
      <c r="AD225" s="22"/>
    </row>
    <row r="226" spans="1:30" s="23" customFormat="1" x14ac:dyDescent="0.3">
      <c r="A226" s="47"/>
      <c r="B226" s="40" t="s">
        <v>146</v>
      </c>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141">
        <f>(AB86+AB88+AB89+AB90+AB91+AB92+AB93)/-(AB95)</f>
        <v>41.100671140939596</v>
      </c>
      <c r="AC226" s="43" t="s">
        <v>81</v>
      </c>
      <c r="AD226" s="22"/>
    </row>
    <row r="227" spans="1:30" s="23" customFormat="1" x14ac:dyDescent="0.3">
      <c r="A227" s="47"/>
      <c r="B227" s="40" t="s">
        <v>147</v>
      </c>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142">
        <v>34.200000000000003</v>
      </c>
      <c r="AC227" s="43" t="s">
        <v>81</v>
      </c>
      <c r="AD227" s="22"/>
    </row>
    <row r="228" spans="1:30" s="23" customFormat="1" x14ac:dyDescent="0.3">
      <c r="A228" s="47"/>
      <c r="B228" s="40" t="s">
        <v>177</v>
      </c>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141">
        <f>(AB86+AB88+AB89+AB90+AB91+AB92+AB93+AB95)/-(AB96)</f>
        <v>36.212121212121211</v>
      </c>
      <c r="AC228" s="43" t="s">
        <v>81</v>
      </c>
      <c r="AD228" s="22"/>
    </row>
    <row r="229" spans="1:30" s="23" customFormat="1" x14ac:dyDescent="0.3">
      <c r="A229" s="47"/>
      <c r="B229" s="40" t="s">
        <v>178</v>
      </c>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142">
        <v>28.84</v>
      </c>
      <c r="AC229" s="43" t="s">
        <v>81</v>
      </c>
      <c r="AD229" s="22"/>
    </row>
    <row r="230" spans="1:30" s="23" customFormat="1" x14ac:dyDescent="0.3">
      <c r="A230" s="47"/>
      <c r="B230" s="40" t="s">
        <v>164</v>
      </c>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141">
        <f>(AB86+AB88+AB89+AB90+AB91+AB92+AB93+AB95+AB96)/-(AB105)</f>
        <v>24.411764705882351</v>
      </c>
      <c r="AC230" s="43" t="s">
        <v>81</v>
      </c>
      <c r="AD230" s="22"/>
    </row>
    <row r="231" spans="1:30" s="23" customFormat="1" x14ac:dyDescent="0.3">
      <c r="A231" s="47"/>
      <c r="B231" s="40" t="s">
        <v>165</v>
      </c>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142">
        <v>17.91</v>
      </c>
      <c r="AC231" s="43" t="s">
        <v>81</v>
      </c>
      <c r="AD231" s="22"/>
    </row>
    <row r="232" spans="1:30" s="23" customFormat="1" x14ac:dyDescent="0.3">
      <c r="A232" s="18"/>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21"/>
      <c r="AD232" s="22"/>
    </row>
    <row r="233" spans="1:30" s="23" customFormat="1" x14ac:dyDescent="0.3">
      <c r="A233" s="18"/>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1"/>
      <c r="AD233" s="22"/>
    </row>
    <row r="234" spans="1:30" s="23" customFormat="1" ht="18.600000000000001" thickBot="1" x14ac:dyDescent="0.4">
      <c r="A234" s="83"/>
      <c r="B234" s="84" t="str">
        <f>B131</f>
        <v>PM27 INVESTOR REPORT QUARTER ENDING JUNE 2022</v>
      </c>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7"/>
      <c r="AD234" s="22"/>
    </row>
    <row r="235" spans="1:30" x14ac:dyDescent="0.3">
      <c r="A235" s="119"/>
      <c r="B235" s="120" t="s">
        <v>42</v>
      </c>
      <c r="C235" s="143"/>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v>44742</v>
      </c>
      <c r="AA235" s="121"/>
      <c r="AB235" s="121"/>
      <c r="AC235" s="123"/>
      <c r="AD235" s="5"/>
    </row>
    <row r="236" spans="1:30" x14ac:dyDescent="0.3">
      <c r="A236" s="145"/>
      <c r="B236" s="146"/>
      <c r="C236" s="147"/>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9"/>
      <c r="AB236" s="9"/>
      <c r="AC236" s="10"/>
      <c r="AD236" s="5"/>
    </row>
    <row r="237" spans="1:30" s="23" customFormat="1" x14ac:dyDescent="0.3">
      <c r="A237" s="47"/>
      <c r="B237" s="40" t="s">
        <v>43</v>
      </c>
      <c r="C237" s="149"/>
      <c r="D237" s="73"/>
      <c r="E237" s="73"/>
      <c r="F237" s="73"/>
      <c r="G237" s="73"/>
      <c r="H237" s="73"/>
      <c r="I237" s="73"/>
      <c r="J237" s="73"/>
      <c r="K237" s="73"/>
      <c r="L237" s="73"/>
      <c r="M237" s="73"/>
      <c r="N237" s="73"/>
      <c r="O237" s="73"/>
      <c r="P237" s="73"/>
      <c r="Q237" s="73"/>
      <c r="R237" s="73"/>
      <c r="S237" s="73"/>
      <c r="T237" s="73"/>
      <c r="U237" s="73"/>
      <c r="V237" s="73"/>
      <c r="W237" s="73"/>
      <c r="X237" s="73"/>
      <c r="Y237" s="73"/>
      <c r="Z237" s="67">
        <v>3.5749999999999997E-2</v>
      </c>
      <c r="AA237" s="40"/>
      <c r="AB237" s="40"/>
      <c r="AC237" s="43"/>
      <c r="AD237" s="22"/>
    </row>
    <row r="238" spans="1:30" s="23" customFormat="1" x14ac:dyDescent="0.3">
      <c r="A238" s="47"/>
      <c r="B238" s="40" t="s">
        <v>132</v>
      </c>
      <c r="C238" s="149"/>
      <c r="D238" s="73"/>
      <c r="E238" s="73"/>
      <c r="F238" s="73"/>
      <c r="G238" s="73"/>
      <c r="H238" s="73"/>
      <c r="I238" s="73"/>
      <c r="J238" s="73"/>
      <c r="K238" s="73"/>
      <c r="L238" s="73"/>
      <c r="M238" s="73"/>
      <c r="N238" s="73"/>
      <c r="O238" s="73"/>
      <c r="P238" s="73"/>
      <c r="Q238" s="73"/>
      <c r="R238" s="73"/>
      <c r="S238" s="73"/>
      <c r="T238" s="73"/>
      <c r="U238" s="73"/>
      <c r="V238" s="73"/>
      <c r="W238" s="73"/>
      <c r="X238" s="73"/>
      <c r="Y238" s="73"/>
      <c r="Z238" s="67">
        <v>1.3036129402559968E-2</v>
      </c>
      <c r="AA238" s="40"/>
      <c r="AB238" s="40"/>
      <c r="AC238" s="43"/>
      <c r="AD238" s="22"/>
    </row>
    <row r="239" spans="1:30" s="23" customFormat="1" x14ac:dyDescent="0.3">
      <c r="A239" s="47"/>
      <c r="B239" s="40" t="s">
        <v>44</v>
      </c>
      <c r="C239" s="149"/>
      <c r="D239" s="73"/>
      <c r="E239" s="73"/>
      <c r="F239" s="73"/>
      <c r="G239" s="73"/>
      <c r="H239" s="73"/>
      <c r="I239" s="73"/>
      <c r="J239" s="73"/>
      <c r="K239" s="73"/>
      <c r="L239" s="73"/>
      <c r="M239" s="73"/>
      <c r="N239" s="73"/>
      <c r="O239" s="73"/>
      <c r="P239" s="73"/>
      <c r="Q239" s="73"/>
      <c r="R239" s="73"/>
      <c r="S239" s="73"/>
      <c r="T239" s="73"/>
      <c r="U239" s="73"/>
      <c r="V239" s="73"/>
      <c r="W239" s="73"/>
      <c r="X239" s="73"/>
      <c r="Y239" s="73"/>
      <c r="Z239" s="67">
        <f>Z237-Z238</f>
        <v>2.2713870597440029E-2</v>
      </c>
      <c r="AA239" s="40"/>
      <c r="AB239" s="40"/>
      <c r="AC239" s="43"/>
      <c r="AD239" s="22"/>
    </row>
    <row r="240" spans="1:30" s="23" customFormat="1" x14ac:dyDescent="0.3">
      <c r="A240" s="47"/>
      <c r="B240" s="40" t="s">
        <v>45</v>
      </c>
      <c r="C240" s="149"/>
      <c r="D240" s="73"/>
      <c r="E240" s="73"/>
      <c r="F240" s="73"/>
      <c r="G240" s="73"/>
      <c r="H240" s="73"/>
      <c r="I240" s="73"/>
      <c r="J240" s="73"/>
      <c r="K240" s="73"/>
      <c r="L240" s="73"/>
      <c r="M240" s="73"/>
      <c r="N240" s="73"/>
      <c r="O240" s="73"/>
      <c r="P240" s="73"/>
      <c r="Q240" s="73"/>
      <c r="R240" s="73"/>
      <c r="S240" s="73"/>
      <c r="T240" s="73"/>
      <c r="U240" s="73"/>
      <c r="V240" s="73"/>
      <c r="W240" s="73"/>
      <c r="X240" s="73"/>
      <c r="Y240" s="73"/>
      <c r="Z240" s="67">
        <v>3.7080000000000002E-2</v>
      </c>
      <c r="AA240" s="40"/>
      <c r="AB240" s="40"/>
      <c r="AC240" s="43"/>
      <c r="AD240" s="22"/>
    </row>
    <row r="241" spans="1:30" s="23" customFormat="1" x14ac:dyDescent="0.3">
      <c r="A241" s="47"/>
      <c r="B241" s="40" t="s">
        <v>133</v>
      </c>
      <c r="C241" s="149"/>
      <c r="D241" s="73"/>
      <c r="E241" s="73"/>
      <c r="F241" s="73"/>
      <c r="G241" s="73"/>
      <c r="H241" s="73"/>
      <c r="I241" s="73"/>
      <c r="J241" s="73"/>
      <c r="K241" s="73"/>
      <c r="L241" s="73"/>
      <c r="M241" s="73"/>
      <c r="N241" s="73"/>
      <c r="O241" s="73"/>
      <c r="P241" s="73"/>
      <c r="Q241" s="73"/>
      <c r="R241" s="73"/>
      <c r="S241" s="73"/>
      <c r="T241" s="73"/>
      <c r="U241" s="73"/>
      <c r="V241" s="73"/>
      <c r="W241" s="73"/>
      <c r="X241" s="73"/>
      <c r="Y241" s="73"/>
      <c r="Z241" s="67">
        <f>+AB35</f>
        <v>2.1910474302078219E-2</v>
      </c>
      <c r="AA241" s="40"/>
      <c r="AB241" s="40"/>
      <c r="AC241" s="43"/>
      <c r="AD241" s="22"/>
    </row>
    <row r="242" spans="1:30" s="23" customFormat="1" x14ac:dyDescent="0.3">
      <c r="A242" s="47"/>
      <c r="B242" s="40" t="s">
        <v>46</v>
      </c>
      <c r="C242" s="149"/>
      <c r="D242" s="73"/>
      <c r="E242" s="73"/>
      <c r="F242" s="73"/>
      <c r="G242" s="73"/>
      <c r="H242" s="73"/>
      <c r="I242" s="73"/>
      <c r="J242" s="73"/>
      <c r="K242" s="73"/>
      <c r="L242" s="73"/>
      <c r="M242" s="73"/>
      <c r="N242" s="73"/>
      <c r="O242" s="73"/>
      <c r="P242" s="73"/>
      <c r="Q242" s="73"/>
      <c r="R242" s="73"/>
      <c r="S242" s="73"/>
      <c r="T242" s="73"/>
      <c r="U242" s="73"/>
      <c r="V242" s="73"/>
      <c r="W242" s="73"/>
      <c r="X242" s="73"/>
      <c r="Y242" s="73"/>
      <c r="Z242" s="67">
        <f>Z240-Z241</f>
        <v>1.5169525697921783E-2</v>
      </c>
      <c r="AA242" s="40"/>
      <c r="AB242" s="40"/>
      <c r="AC242" s="43"/>
      <c r="AD242" s="22"/>
    </row>
    <row r="243" spans="1:30" s="23" customFormat="1" x14ac:dyDescent="0.3">
      <c r="A243" s="47"/>
      <c r="B243" s="40" t="s">
        <v>119</v>
      </c>
      <c r="C243" s="149"/>
      <c r="D243" s="73"/>
      <c r="E243" s="73"/>
      <c r="F243" s="73"/>
      <c r="G243" s="73"/>
      <c r="H243" s="73"/>
      <c r="I243" s="73"/>
      <c r="J243" s="73"/>
      <c r="K243" s="73"/>
      <c r="L243" s="73"/>
      <c r="M243" s="73"/>
      <c r="N243" s="73"/>
      <c r="O243" s="73"/>
      <c r="P243" s="73"/>
      <c r="Q243" s="73"/>
      <c r="R243" s="73"/>
      <c r="S243" s="73"/>
      <c r="T243" s="73"/>
      <c r="U243" s="73"/>
      <c r="V243" s="73"/>
      <c r="W243" s="73"/>
      <c r="X243" s="73"/>
      <c r="Y243" s="73"/>
      <c r="Z243" s="67">
        <f>(+AB86+AB88+AB91)/R66</f>
        <v>1.3888625312216706E-2</v>
      </c>
      <c r="AA243" s="40"/>
      <c r="AB243" s="40"/>
      <c r="AC243" s="43"/>
      <c r="AD243" s="22"/>
    </row>
    <row r="244" spans="1:30" s="23" customFormat="1" x14ac:dyDescent="0.3">
      <c r="A244" s="47"/>
      <c r="B244" s="40" t="s">
        <v>112</v>
      </c>
      <c r="C244" s="149"/>
      <c r="D244" s="73"/>
      <c r="E244" s="73"/>
      <c r="F244" s="73"/>
      <c r="G244" s="73"/>
      <c r="H244" s="73"/>
      <c r="I244" s="73"/>
      <c r="J244" s="73"/>
      <c r="K244" s="73"/>
      <c r="L244" s="73"/>
      <c r="M244" s="73"/>
      <c r="N244" s="73"/>
      <c r="O244" s="73"/>
      <c r="P244" s="73"/>
      <c r="Q244" s="73"/>
      <c r="R244" s="73"/>
      <c r="S244" s="73"/>
      <c r="T244" s="73"/>
      <c r="U244" s="73"/>
      <c r="V244" s="73"/>
      <c r="W244" s="73"/>
      <c r="X244" s="73"/>
      <c r="Y244" s="73"/>
      <c r="Z244" s="150">
        <v>53797</v>
      </c>
      <c r="AA244" s="40"/>
      <c r="AB244" s="40"/>
      <c r="AC244" s="43"/>
      <c r="AD244" s="22"/>
    </row>
    <row r="245" spans="1:30" s="23" customFormat="1" x14ac:dyDescent="0.3">
      <c r="A245" s="47"/>
      <c r="B245" s="40" t="s">
        <v>148</v>
      </c>
      <c r="C245" s="149"/>
      <c r="D245" s="73"/>
      <c r="E245" s="73"/>
      <c r="F245" s="73"/>
      <c r="G245" s="73"/>
      <c r="H245" s="73"/>
      <c r="I245" s="73"/>
      <c r="J245" s="73"/>
      <c r="K245" s="73"/>
      <c r="L245" s="73"/>
      <c r="M245" s="73"/>
      <c r="N245" s="73"/>
      <c r="O245" s="73"/>
      <c r="P245" s="73"/>
      <c r="Q245" s="73"/>
      <c r="R245" s="73"/>
      <c r="S245" s="73"/>
      <c r="T245" s="73"/>
      <c r="U245" s="73"/>
      <c r="V245" s="73"/>
      <c r="W245" s="73"/>
      <c r="X245" s="73"/>
      <c r="Y245" s="73"/>
      <c r="Z245" s="150">
        <v>53797</v>
      </c>
      <c r="AA245" s="40"/>
      <c r="AB245" s="40"/>
      <c r="AC245" s="43"/>
      <c r="AD245" s="22"/>
    </row>
    <row r="246" spans="1:30" s="23" customFormat="1" x14ac:dyDescent="0.3">
      <c r="A246" s="47"/>
      <c r="B246" s="40" t="s">
        <v>149</v>
      </c>
      <c r="C246" s="149"/>
      <c r="D246" s="73"/>
      <c r="E246" s="73"/>
      <c r="F246" s="73"/>
      <c r="G246" s="73"/>
      <c r="H246" s="73"/>
      <c r="I246" s="73"/>
      <c r="J246" s="73"/>
      <c r="K246" s="73"/>
      <c r="L246" s="73"/>
      <c r="M246" s="73"/>
      <c r="N246" s="73"/>
      <c r="O246" s="73"/>
      <c r="P246" s="73"/>
      <c r="Q246" s="73"/>
      <c r="R246" s="73"/>
      <c r="S246" s="73"/>
      <c r="T246" s="73"/>
      <c r="U246" s="73"/>
      <c r="V246" s="73"/>
      <c r="W246" s="73"/>
      <c r="X246" s="73"/>
      <c r="Y246" s="73"/>
      <c r="Z246" s="150">
        <v>53797</v>
      </c>
      <c r="AA246" s="40"/>
      <c r="AB246" s="40"/>
      <c r="AC246" s="43"/>
      <c r="AD246" s="22"/>
    </row>
    <row r="247" spans="1:30" s="23" customFormat="1" x14ac:dyDescent="0.3">
      <c r="A247" s="47"/>
      <c r="B247" s="40" t="s">
        <v>179</v>
      </c>
      <c r="C247" s="149"/>
      <c r="D247" s="73"/>
      <c r="E247" s="73"/>
      <c r="F247" s="73"/>
      <c r="G247" s="73"/>
      <c r="H247" s="73"/>
      <c r="I247" s="73"/>
      <c r="J247" s="73"/>
      <c r="K247" s="73"/>
      <c r="L247" s="73"/>
      <c r="M247" s="73"/>
      <c r="N247" s="73"/>
      <c r="O247" s="73"/>
      <c r="P247" s="73"/>
      <c r="Q247" s="73"/>
      <c r="R247" s="73"/>
      <c r="S247" s="73"/>
      <c r="T247" s="73"/>
      <c r="U247" s="73"/>
      <c r="V247" s="73"/>
      <c r="W247" s="73"/>
      <c r="X247" s="73"/>
      <c r="Y247" s="73"/>
      <c r="Z247" s="150">
        <v>53797</v>
      </c>
      <c r="AA247" s="40"/>
      <c r="AB247" s="40"/>
      <c r="AC247" s="43"/>
      <c r="AD247" s="22"/>
    </row>
    <row r="248" spans="1:30" s="23" customFormat="1" x14ac:dyDescent="0.3">
      <c r="A248" s="47"/>
      <c r="B248" s="40" t="s">
        <v>166</v>
      </c>
      <c r="C248" s="149"/>
      <c r="D248" s="73"/>
      <c r="E248" s="73"/>
      <c r="F248" s="73"/>
      <c r="G248" s="73"/>
      <c r="H248" s="73"/>
      <c r="I248" s="73"/>
      <c r="J248" s="73"/>
      <c r="K248" s="73"/>
      <c r="L248" s="73"/>
      <c r="M248" s="73"/>
      <c r="N248" s="73"/>
      <c r="O248" s="73"/>
      <c r="P248" s="73"/>
      <c r="Q248" s="73"/>
      <c r="R248" s="73"/>
      <c r="S248" s="73"/>
      <c r="T248" s="73"/>
      <c r="U248" s="73"/>
      <c r="V248" s="73"/>
      <c r="W248" s="73"/>
      <c r="X248" s="73"/>
      <c r="Y248" s="73"/>
      <c r="Z248" s="150">
        <v>53797</v>
      </c>
      <c r="AA248" s="40"/>
      <c r="AB248" s="40"/>
      <c r="AC248" s="43"/>
      <c r="AD248" s="22"/>
    </row>
    <row r="249" spans="1:30" s="23" customFormat="1" x14ac:dyDescent="0.3">
      <c r="A249" s="47"/>
      <c r="B249" s="40" t="s">
        <v>194</v>
      </c>
      <c r="C249" s="149"/>
      <c r="D249" s="73"/>
      <c r="E249" s="73"/>
      <c r="F249" s="73"/>
      <c r="G249" s="73"/>
      <c r="H249" s="73"/>
      <c r="I249" s="73"/>
      <c r="J249" s="73"/>
      <c r="K249" s="73"/>
      <c r="L249" s="73"/>
      <c r="M249" s="73"/>
      <c r="N249" s="73"/>
      <c r="O249" s="73"/>
      <c r="P249" s="73"/>
      <c r="Q249" s="73"/>
      <c r="R249" s="73"/>
      <c r="S249" s="73"/>
      <c r="T249" s="73"/>
      <c r="U249" s="73"/>
      <c r="V249" s="73"/>
      <c r="W249" s="73"/>
      <c r="X249" s="73"/>
      <c r="Y249" s="73"/>
      <c r="Z249" s="150">
        <v>53797</v>
      </c>
      <c r="AA249" s="40"/>
      <c r="AB249" s="40"/>
      <c r="AC249" s="43"/>
      <c r="AD249" s="22"/>
    </row>
    <row r="250" spans="1:30" s="23" customFormat="1" x14ac:dyDescent="0.3">
      <c r="A250" s="47"/>
      <c r="B250" s="40" t="s">
        <v>195</v>
      </c>
      <c r="C250" s="149"/>
      <c r="D250" s="73"/>
      <c r="E250" s="73"/>
      <c r="F250" s="73"/>
      <c r="G250" s="73"/>
      <c r="H250" s="73"/>
      <c r="I250" s="73"/>
      <c r="J250" s="73"/>
      <c r="K250" s="73"/>
      <c r="L250" s="73"/>
      <c r="M250" s="73"/>
      <c r="N250" s="73"/>
      <c r="O250" s="73"/>
      <c r="P250" s="73"/>
      <c r="Q250" s="73"/>
      <c r="R250" s="73"/>
      <c r="S250" s="73"/>
      <c r="T250" s="73"/>
      <c r="U250" s="73"/>
      <c r="V250" s="73"/>
      <c r="W250" s="73"/>
      <c r="X250" s="73"/>
      <c r="Y250" s="73"/>
      <c r="Z250" s="150">
        <v>53797</v>
      </c>
      <c r="AA250" s="40"/>
      <c r="AB250" s="40"/>
      <c r="AC250" s="43"/>
      <c r="AD250" s="22"/>
    </row>
    <row r="251" spans="1:30" s="23" customFormat="1" x14ac:dyDescent="0.3">
      <c r="A251" s="47"/>
      <c r="B251" s="40" t="s">
        <v>47</v>
      </c>
      <c r="C251" s="149"/>
      <c r="D251" s="73"/>
      <c r="E251" s="73"/>
      <c r="F251" s="73"/>
      <c r="G251" s="73"/>
      <c r="H251" s="73"/>
      <c r="I251" s="73"/>
      <c r="J251" s="73"/>
      <c r="K251" s="73"/>
      <c r="L251" s="73"/>
      <c r="M251" s="73"/>
      <c r="N251" s="73"/>
      <c r="O251" s="73"/>
      <c r="P251" s="73"/>
      <c r="Q251" s="73"/>
      <c r="R251" s="73"/>
      <c r="S251" s="73"/>
      <c r="T251" s="73"/>
      <c r="U251" s="73"/>
      <c r="V251" s="73"/>
      <c r="W251" s="73"/>
      <c r="X251" s="73"/>
      <c r="Y251" s="73"/>
      <c r="Z251" s="71">
        <v>21.18</v>
      </c>
      <c r="AA251" s="40" t="s">
        <v>76</v>
      </c>
      <c r="AB251" s="40"/>
      <c r="AC251" s="43"/>
      <c r="AD251" s="22"/>
    </row>
    <row r="252" spans="1:30" s="23" customFormat="1" x14ac:dyDescent="0.3">
      <c r="A252" s="47"/>
      <c r="B252" s="40" t="s">
        <v>48</v>
      </c>
      <c r="C252" s="149"/>
      <c r="D252" s="73"/>
      <c r="E252" s="73"/>
      <c r="F252" s="73"/>
      <c r="G252" s="73"/>
      <c r="H252" s="73"/>
      <c r="I252" s="73"/>
      <c r="J252" s="73"/>
      <c r="K252" s="73"/>
      <c r="L252" s="73"/>
      <c r="M252" s="73"/>
      <c r="N252" s="73"/>
      <c r="O252" s="73"/>
      <c r="P252" s="73"/>
      <c r="Q252" s="73"/>
      <c r="R252" s="73"/>
      <c r="S252" s="73"/>
      <c r="T252" s="73"/>
      <c r="U252" s="73"/>
      <c r="V252" s="73"/>
      <c r="W252" s="73"/>
      <c r="X252" s="73"/>
      <c r="Y252" s="73"/>
      <c r="Z252" s="71">
        <v>19.04</v>
      </c>
      <c r="AA252" s="40" t="s">
        <v>76</v>
      </c>
      <c r="AB252" s="40"/>
      <c r="AC252" s="43"/>
      <c r="AD252" s="22"/>
    </row>
    <row r="253" spans="1:30" s="23" customFormat="1" x14ac:dyDescent="0.3">
      <c r="A253" s="47"/>
      <c r="B253" s="40" t="s">
        <v>49</v>
      </c>
      <c r="C253" s="149"/>
      <c r="D253" s="73"/>
      <c r="E253" s="73"/>
      <c r="F253" s="73"/>
      <c r="G253" s="73"/>
      <c r="H253" s="73"/>
      <c r="I253" s="73"/>
      <c r="J253" s="73"/>
      <c r="K253" s="73"/>
      <c r="L253" s="73"/>
      <c r="M253" s="73"/>
      <c r="N253" s="73"/>
      <c r="O253" s="73"/>
      <c r="P253" s="73"/>
      <c r="Q253" s="73"/>
      <c r="R253" s="73"/>
      <c r="S253" s="73"/>
      <c r="T253" s="73"/>
      <c r="U253" s="73"/>
      <c r="V253" s="73"/>
      <c r="W253" s="73"/>
      <c r="X253" s="73"/>
      <c r="Y253" s="73"/>
      <c r="Z253" s="67">
        <f>(+T57+V57+Z57)/(R57+R63+R64)</f>
        <v>1.8310387564760788E-2</v>
      </c>
      <c r="AA253" s="40"/>
      <c r="AB253" s="40"/>
      <c r="AC253" s="43"/>
      <c r="AD253" s="22"/>
    </row>
    <row r="254" spans="1:30" s="23" customFormat="1" x14ac:dyDescent="0.3">
      <c r="A254" s="47"/>
      <c r="B254" s="40" t="s">
        <v>50</v>
      </c>
      <c r="C254" s="149"/>
      <c r="D254" s="73"/>
      <c r="E254" s="73"/>
      <c r="F254" s="73"/>
      <c r="G254" s="73"/>
      <c r="H254" s="73"/>
      <c r="I254" s="73"/>
      <c r="J254" s="73"/>
      <c r="K254" s="73"/>
      <c r="L254" s="73"/>
      <c r="M254" s="73"/>
      <c r="N254" s="73"/>
      <c r="O254" s="73"/>
      <c r="P254" s="73"/>
      <c r="Q254" s="73"/>
      <c r="R254" s="73"/>
      <c r="S254" s="73"/>
      <c r="T254" s="73"/>
      <c r="U254" s="73"/>
      <c r="V254" s="73"/>
      <c r="W254" s="73"/>
      <c r="X254" s="73"/>
      <c r="Y254" s="73"/>
      <c r="Z254" s="67">
        <v>5.3900000000000003E-2</v>
      </c>
      <c r="AA254" s="40"/>
      <c r="AB254" s="40"/>
      <c r="AC254" s="43"/>
      <c r="AD254" s="22"/>
    </row>
    <row r="255" spans="1:30" x14ac:dyDescent="0.3">
      <c r="A255" s="145"/>
      <c r="B255" s="151"/>
      <c r="C255" s="151"/>
      <c r="D255" s="99"/>
      <c r="E255" s="99"/>
      <c r="F255" s="99"/>
      <c r="G255" s="99"/>
      <c r="H255" s="99"/>
      <c r="I255" s="99"/>
      <c r="J255" s="99"/>
      <c r="K255" s="99"/>
      <c r="L255" s="99"/>
      <c r="M255" s="99"/>
      <c r="N255" s="99"/>
      <c r="O255" s="99"/>
      <c r="P255" s="99"/>
      <c r="Q255" s="99"/>
      <c r="R255" s="99"/>
      <c r="S255" s="99"/>
      <c r="T255" s="99"/>
      <c r="U255" s="99"/>
      <c r="V255" s="99"/>
      <c r="W255" s="99"/>
      <c r="X255" s="99"/>
      <c r="Y255" s="99"/>
      <c r="Z255" s="126"/>
      <c r="AA255" s="99"/>
      <c r="AB255" s="152"/>
      <c r="AC255" s="10"/>
      <c r="AD255" s="5"/>
    </row>
    <row r="256" spans="1:30" x14ac:dyDescent="0.3">
      <c r="A256" s="153"/>
      <c r="B256" s="102" t="s">
        <v>51</v>
      </c>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t="s">
        <v>69</v>
      </c>
      <c r="Z256" s="154" t="s">
        <v>74</v>
      </c>
      <c r="AA256" s="34"/>
      <c r="AB256" s="34"/>
      <c r="AC256" s="36"/>
      <c r="AD256" s="5"/>
    </row>
    <row r="257" spans="1:30" s="23" customFormat="1" x14ac:dyDescent="0.3">
      <c r="A257" s="155"/>
      <c r="B257" s="37" t="s">
        <v>52</v>
      </c>
      <c r="C257" s="10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v>0</v>
      </c>
      <c r="Z257" s="157">
        <v>0</v>
      </c>
      <c r="AA257" s="37"/>
      <c r="AB257" s="158"/>
      <c r="AC257" s="159"/>
      <c r="AD257" s="22"/>
    </row>
    <row r="258" spans="1:30" s="23" customFormat="1" x14ac:dyDescent="0.3">
      <c r="A258" s="160"/>
      <c r="B258" s="40" t="s">
        <v>97</v>
      </c>
      <c r="C258" s="97"/>
      <c r="D258" s="48"/>
      <c r="E258" s="48"/>
      <c r="F258" s="48"/>
      <c r="G258" s="48"/>
      <c r="H258" s="48"/>
      <c r="I258" s="48"/>
      <c r="J258" s="48"/>
      <c r="K258" s="48"/>
      <c r="L258" s="48"/>
      <c r="M258" s="48"/>
      <c r="N258" s="48"/>
      <c r="O258" s="48"/>
      <c r="P258" s="48"/>
      <c r="Q258" s="48"/>
      <c r="R258" s="48"/>
      <c r="S258" s="48"/>
      <c r="T258" s="48"/>
      <c r="U258" s="48"/>
      <c r="V258" s="48"/>
      <c r="W258" s="48"/>
      <c r="X258" s="48"/>
      <c r="Y258" s="161">
        <f>+X310</f>
        <v>0</v>
      </c>
      <c r="Z258" s="162">
        <f>+Z310</f>
        <v>0</v>
      </c>
      <c r="AA258" s="40"/>
      <c r="AB258" s="163"/>
      <c r="AC258" s="164"/>
      <c r="AD258" s="22"/>
    </row>
    <row r="259" spans="1:30" s="23" customFormat="1" x14ac:dyDescent="0.3">
      <c r="A259" s="160"/>
      <c r="B259" s="40" t="s">
        <v>53</v>
      </c>
      <c r="C259" s="97"/>
      <c r="D259" s="48"/>
      <c r="E259" s="48"/>
      <c r="F259" s="48"/>
      <c r="G259" s="48"/>
      <c r="H259" s="48"/>
      <c r="I259" s="48"/>
      <c r="J259" s="48"/>
      <c r="K259" s="48"/>
      <c r="L259" s="48"/>
      <c r="M259" s="48"/>
      <c r="N259" s="48"/>
      <c r="O259" s="48"/>
      <c r="P259" s="48"/>
      <c r="Q259" s="48"/>
      <c r="R259" s="48"/>
      <c r="S259" s="48"/>
      <c r="T259" s="48"/>
      <c r="U259" s="48"/>
      <c r="V259" s="48"/>
      <c r="W259" s="48"/>
      <c r="X259" s="48"/>
      <c r="Y259" s="161">
        <f>+X332</f>
        <v>0</v>
      </c>
      <c r="Z259" s="162">
        <f>+Z332</f>
        <v>0</v>
      </c>
      <c r="AA259" s="40"/>
      <c r="AB259" s="163"/>
      <c r="AC259" s="164"/>
      <c r="AD259" s="22"/>
    </row>
    <row r="260" spans="1:30" x14ac:dyDescent="0.3">
      <c r="A260" s="165"/>
      <c r="B260" s="166" t="s">
        <v>167</v>
      </c>
      <c r="C260" s="167"/>
      <c r="D260" s="59"/>
      <c r="E260" s="59"/>
      <c r="F260" s="59"/>
      <c r="G260" s="59"/>
      <c r="H260" s="59"/>
      <c r="I260" s="59"/>
      <c r="J260" s="59"/>
      <c r="K260" s="59"/>
      <c r="L260" s="59"/>
      <c r="M260" s="59"/>
      <c r="N260" s="59"/>
      <c r="O260" s="59"/>
      <c r="P260" s="59"/>
      <c r="Q260" s="59"/>
      <c r="R260" s="59"/>
      <c r="S260" s="59"/>
      <c r="T260" s="59"/>
      <c r="U260" s="59"/>
      <c r="V260" s="59"/>
      <c r="W260" s="59"/>
      <c r="X260" s="59"/>
      <c r="Y260" s="112"/>
      <c r="Z260" s="162">
        <f>Z57</f>
        <v>0</v>
      </c>
      <c r="AA260" s="59"/>
      <c r="AB260" s="168"/>
      <c r="AC260" s="169"/>
      <c r="AD260" s="5"/>
    </row>
    <row r="261" spans="1:30" x14ac:dyDescent="0.3">
      <c r="A261" s="165"/>
      <c r="B261" s="166" t="s">
        <v>261</v>
      </c>
      <c r="C261" s="167"/>
      <c r="D261" s="59"/>
      <c r="E261" s="59"/>
      <c r="F261" s="59"/>
      <c r="G261" s="59"/>
      <c r="H261" s="59"/>
      <c r="I261" s="59"/>
      <c r="J261" s="59"/>
      <c r="K261" s="59"/>
      <c r="L261" s="59"/>
      <c r="M261" s="59"/>
      <c r="N261" s="59"/>
      <c r="O261" s="59"/>
      <c r="P261" s="59"/>
      <c r="Q261" s="59"/>
      <c r="R261" s="59"/>
      <c r="S261" s="59"/>
      <c r="T261" s="59"/>
      <c r="U261" s="59"/>
      <c r="V261" s="59"/>
      <c r="W261" s="59"/>
      <c r="X261" s="59"/>
      <c r="Y261" s="112"/>
      <c r="Z261" s="162">
        <f>-T63</f>
        <v>0</v>
      </c>
      <c r="AA261" s="59"/>
      <c r="AB261" s="168"/>
      <c r="AC261" s="169"/>
      <c r="AD261" s="5"/>
    </row>
    <row r="262" spans="1:30" x14ac:dyDescent="0.3">
      <c r="A262" s="170"/>
      <c r="B262" s="166" t="s">
        <v>54</v>
      </c>
      <c r="C262" s="171"/>
      <c r="D262" s="59"/>
      <c r="E262" s="59"/>
      <c r="F262" s="59"/>
      <c r="G262" s="59"/>
      <c r="H262" s="59"/>
      <c r="I262" s="59"/>
      <c r="J262" s="59"/>
      <c r="K262" s="59"/>
      <c r="L262" s="59"/>
      <c r="M262" s="59"/>
      <c r="N262" s="59"/>
      <c r="O262" s="59"/>
      <c r="P262" s="59"/>
      <c r="Q262" s="59"/>
      <c r="R262" s="59"/>
      <c r="S262" s="59"/>
      <c r="T262" s="59"/>
      <c r="U262" s="59"/>
      <c r="V262" s="59"/>
      <c r="W262" s="59"/>
      <c r="X262" s="59"/>
      <c r="Y262" s="112"/>
      <c r="Z262" s="172"/>
      <c r="AA262" s="59"/>
      <c r="AB262" s="168"/>
      <c r="AC262" s="173"/>
      <c r="AD262" s="5"/>
    </row>
    <row r="263" spans="1:30" s="23" customFormat="1" x14ac:dyDescent="0.3">
      <c r="A263" s="174"/>
      <c r="B263" s="40" t="s">
        <v>55</v>
      </c>
      <c r="C263" s="40"/>
      <c r="D263" s="40"/>
      <c r="E263" s="40"/>
      <c r="F263" s="40"/>
      <c r="G263" s="40"/>
      <c r="H263" s="40"/>
      <c r="I263" s="40"/>
      <c r="J263" s="40"/>
      <c r="K263" s="40"/>
      <c r="L263" s="40"/>
      <c r="M263" s="40"/>
      <c r="N263" s="40"/>
      <c r="O263" s="40"/>
      <c r="P263" s="40"/>
      <c r="Q263" s="40"/>
      <c r="R263" s="40"/>
      <c r="S263" s="40"/>
      <c r="T263" s="40"/>
      <c r="U263" s="40"/>
      <c r="V263" s="40"/>
      <c r="W263" s="40"/>
      <c r="X263" s="40"/>
      <c r="Y263" s="48"/>
      <c r="Z263" s="162">
        <f>AB166</f>
        <v>0</v>
      </c>
      <c r="AA263" s="40"/>
      <c r="AB263" s="163"/>
      <c r="AC263" s="175"/>
      <c r="AD263" s="22"/>
    </row>
    <row r="264" spans="1:30" s="23" customFormat="1" x14ac:dyDescent="0.3">
      <c r="A264" s="160"/>
      <c r="B264" s="40" t="s">
        <v>56</v>
      </c>
      <c r="C264" s="97"/>
      <c r="D264" s="40"/>
      <c r="E264" s="40"/>
      <c r="F264" s="40"/>
      <c r="G264" s="40"/>
      <c r="H264" s="40"/>
      <c r="I264" s="40"/>
      <c r="J264" s="40"/>
      <c r="K264" s="40"/>
      <c r="L264" s="40"/>
      <c r="M264" s="40"/>
      <c r="N264" s="40"/>
      <c r="O264" s="40"/>
      <c r="P264" s="40"/>
      <c r="Q264" s="40"/>
      <c r="R264" s="40"/>
      <c r="S264" s="40"/>
      <c r="T264" s="40"/>
      <c r="U264" s="40"/>
      <c r="V264" s="40"/>
      <c r="W264" s="40"/>
      <c r="X264" s="40"/>
      <c r="Y264" s="48"/>
      <c r="Z264" s="162">
        <f>Z263+'March 2022'!Z264</f>
        <v>5</v>
      </c>
      <c r="AA264" s="40"/>
      <c r="AB264" s="163"/>
      <c r="AC264" s="175"/>
      <c r="AD264" s="22"/>
    </row>
    <row r="265" spans="1:30" x14ac:dyDescent="0.3">
      <c r="A265" s="170"/>
      <c r="B265" s="166" t="s">
        <v>125</v>
      </c>
      <c r="C265" s="171"/>
      <c r="D265" s="59"/>
      <c r="E265" s="59"/>
      <c r="F265" s="59"/>
      <c r="G265" s="59"/>
      <c r="H265" s="59"/>
      <c r="I265" s="59"/>
      <c r="J265" s="59"/>
      <c r="K265" s="59"/>
      <c r="L265" s="59"/>
      <c r="M265" s="59"/>
      <c r="N265" s="59"/>
      <c r="O265" s="59"/>
      <c r="P265" s="59"/>
      <c r="Q265" s="59"/>
      <c r="R265" s="59"/>
      <c r="S265" s="59"/>
      <c r="T265" s="59"/>
      <c r="U265" s="59"/>
      <c r="V265" s="59"/>
      <c r="W265" s="59"/>
      <c r="X265" s="59"/>
      <c r="Y265" s="176"/>
      <c r="Z265" s="172"/>
      <c r="AA265" s="59"/>
      <c r="AB265" s="168"/>
      <c r="AC265" s="173"/>
      <c r="AD265" s="5"/>
    </row>
    <row r="266" spans="1:30" s="23" customFormat="1" x14ac:dyDescent="0.3">
      <c r="A266" s="174"/>
      <c r="B266" s="40" t="s">
        <v>134</v>
      </c>
      <c r="C266" s="40"/>
      <c r="D266" s="40"/>
      <c r="E266" s="40"/>
      <c r="F266" s="40"/>
      <c r="G266" s="40"/>
      <c r="H266" s="40"/>
      <c r="I266" s="40"/>
      <c r="J266" s="40"/>
      <c r="K266" s="40"/>
      <c r="L266" s="40"/>
      <c r="M266" s="40"/>
      <c r="N266" s="40"/>
      <c r="O266" s="40"/>
      <c r="P266" s="40"/>
      <c r="Q266" s="40"/>
      <c r="R266" s="40"/>
      <c r="S266" s="40"/>
      <c r="T266" s="40"/>
      <c r="U266" s="40"/>
      <c r="V266" s="40"/>
      <c r="W266" s="40"/>
      <c r="X266" s="40"/>
      <c r="Y266" s="48">
        <v>0</v>
      </c>
      <c r="Z266" s="162">
        <v>0</v>
      </c>
      <c r="AA266" s="40"/>
      <c r="AB266" s="163"/>
      <c r="AC266" s="175"/>
      <c r="AD266" s="22"/>
    </row>
    <row r="267" spans="1:30" s="23" customFormat="1" x14ac:dyDescent="0.3">
      <c r="A267" s="160"/>
      <c r="B267" s="40" t="s">
        <v>57</v>
      </c>
      <c r="C267" s="70"/>
      <c r="D267" s="40"/>
      <c r="E267" s="40"/>
      <c r="F267" s="40"/>
      <c r="G267" s="40"/>
      <c r="H267" s="40"/>
      <c r="I267" s="40"/>
      <c r="J267" s="40"/>
      <c r="K267" s="40"/>
      <c r="L267" s="40"/>
      <c r="M267" s="40"/>
      <c r="N267" s="40"/>
      <c r="O267" s="40"/>
      <c r="P267" s="40"/>
      <c r="Q267" s="40"/>
      <c r="R267" s="40"/>
      <c r="S267" s="40"/>
      <c r="T267" s="40"/>
      <c r="U267" s="40"/>
      <c r="V267" s="40"/>
      <c r="W267" s="40"/>
      <c r="X267" s="40"/>
      <c r="Y267" s="40"/>
      <c r="Z267" s="177">
        <v>0</v>
      </c>
      <c r="AA267" s="40"/>
      <c r="AB267" s="163"/>
      <c r="AC267" s="175"/>
      <c r="AD267" s="22"/>
    </row>
    <row r="268" spans="1:30" s="23" customFormat="1" x14ac:dyDescent="0.3">
      <c r="A268" s="160"/>
      <c r="B268" s="40" t="s">
        <v>58</v>
      </c>
      <c r="C268" s="70"/>
      <c r="D268" s="40"/>
      <c r="E268" s="40"/>
      <c r="F268" s="40"/>
      <c r="G268" s="40"/>
      <c r="H268" s="40"/>
      <c r="I268" s="40"/>
      <c r="J268" s="40"/>
      <c r="K268" s="40"/>
      <c r="L268" s="40"/>
      <c r="M268" s="40"/>
      <c r="N268" s="40"/>
      <c r="O268" s="40"/>
      <c r="P268" s="40"/>
      <c r="Q268" s="40"/>
      <c r="R268" s="40"/>
      <c r="S268" s="40"/>
      <c r="T268" s="40"/>
      <c r="U268" s="40"/>
      <c r="V268" s="40"/>
      <c r="W268" s="40"/>
      <c r="X268" s="40"/>
      <c r="Y268" s="40"/>
      <c r="Z268" s="177">
        <v>0</v>
      </c>
      <c r="AA268" s="40"/>
      <c r="AB268" s="163"/>
      <c r="AC268" s="175"/>
      <c r="AD268" s="22"/>
    </row>
    <row r="269" spans="1:30" x14ac:dyDescent="0.3">
      <c r="A269" s="165"/>
      <c r="B269" s="166" t="s">
        <v>116</v>
      </c>
      <c r="C269" s="178"/>
      <c r="D269" s="59"/>
      <c r="E269" s="59"/>
      <c r="F269" s="59"/>
      <c r="G269" s="59"/>
      <c r="H269" s="59"/>
      <c r="I269" s="59"/>
      <c r="J269" s="59"/>
      <c r="K269" s="59"/>
      <c r="L269" s="59"/>
      <c r="M269" s="59"/>
      <c r="N269" s="59"/>
      <c r="O269" s="59"/>
      <c r="P269" s="59"/>
      <c r="Q269" s="59"/>
      <c r="R269" s="59"/>
      <c r="S269" s="59"/>
      <c r="T269" s="59"/>
      <c r="U269" s="59"/>
      <c r="V269" s="59"/>
      <c r="W269" s="59"/>
      <c r="X269" s="59"/>
      <c r="Y269" s="112"/>
      <c r="Z269" s="179"/>
      <c r="AA269" s="59"/>
      <c r="AB269" s="168"/>
      <c r="AC269" s="173"/>
      <c r="AD269" s="5"/>
    </row>
    <row r="270" spans="1:30" s="23" customFormat="1" x14ac:dyDescent="0.3">
      <c r="A270" s="160"/>
      <c r="B270" s="40" t="s">
        <v>134</v>
      </c>
      <c r="C270" s="70"/>
      <c r="D270" s="40"/>
      <c r="E270" s="40"/>
      <c r="F270" s="40"/>
      <c r="G270" s="40"/>
      <c r="H270" s="40"/>
      <c r="I270" s="40"/>
      <c r="J270" s="40"/>
      <c r="K270" s="40"/>
      <c r="L270" s="40"/>
      <c r="M270" s="40"/>
      <c r="N270" s="40"/>
      <c r="O270" s="40"/>
      <c r="P270" s="40"/>
      <c r="Q270" s="40"/>
      <c r="R270" s="40"/>
      <c r="S270" s="40"/>
      <c r="T270" s="40"/>
      <c r="U270" s="40"/>
      <c r="V270" s="40"/>
      <c r="W270" s="40"/>
      <c r="X270" s="40"/>
      <c r="Y270" s="48">
        <v>0</v>
      </c>
      <c r="Z270" s="162">
        <v>0</v>
      </c>
      <c r="AA270" s="40"/>
      <c r="AB270" s="163"/>
      <c r="AC270" s="175"/>
      <c r="AD270" s="22"/>
    </row>
    <row r="271" spans="1:30" s="23" customFormat="1" x14ac:dyDescent="0.3">
      <c r="A271" s="160"/>
      <c r="B271" s="40" t="s">
        <v>117</v>
      </c>
      <c r="C271" s="70"/>
      <c r="D271" s="40"/>
      <c r="E271" s="40"/>
      <c r="F271" s="40"/>
      <c r="G271" s="40"/>
      <c r="H271" s="40"/>
      <c r="I271" s="40"/>
      <c r="J271" s="40"/>
      <c r="K271" s="40"/>
      <c r="L271" s="40"/>
      <c r="M271" s="40"/>
      <c r="N271" s="40"/>
      <c r="O271" s="40"/>
      <c r="P271" s="40"/>
      <c r="Q271" s="40"/>
      <c r="R271" s="40"/>
      <c r="S271" s="40"/>
      <c r="T271" s="40"/>
      <c r="U271" s="40"/>
      <c r="V271" s="40"/>
      <c r="W271" s="40"/>
      <c r="X271" s="40"/>
      <c r="Y271" s="40"/>
      <c r="Z271" s="177">
        <v>0</v>
      </c>
      <c r="AA271" s="40"/>
      <c r="AB271" s="163"/>
      <c r="AC271" s="175"/>
      <c r="AD271" s="22"/>
    </row>
    <row r="272" spans="1:30" x14ac:dyDescent="0.3">
      <c r="A272" s="165"/>
      <c r="B272" s="171"/>
      <c r="C272" s="178"/>
      <c r="D272" s="59"/>
      <c r="E272" s="59"/>
      <c r="F272" s="59"/>
      <c r="G272" s="59"/>
      <c r="H272" s="59"/>
      <c r="I272" s="59"/>
      <c r="J272" s="59"/>
      <c r="K272" s="59"/>
      <c r="L272" s="59"/>
      <c r="M272" s="59"/>
      <c r="N272" s="59"/>
      <c r="O272" s="59"/>
      <c r="P272" s="59"/>
      <c r="Q272" s="59"/>
      <c r="R272" s="59"/>
      <c r="S272" s="59"/>
      <c r="T272" s="59"/>
      <c r="U272" s="59"/>
      <c r="V272" s="59"/>
      <c r="W272" s="59"/>
      <c r="X272" s="59"/>
      <c r="Y272" s="112"/>
      <c r="Z272" s="179"/>
      <c r="AA272" s="59"/>
      <c r="AB272" s="168"/>
      <c r="AC272" s="173"/>
      <c r="AD272" s="5"/>
    </row>
    <row r="273" spans="1:30" x14ac:dyDescent="0.3">
      <c r="A273" s="165"/>
      <c r="B273" s="171"/>
      <c r="C273" s="178"/>
      <c r="D273" s="59"/>
      <c r="E273" s="59"/>
      <c r="F273" s="59"/>
      <c r="G273" s="59"/>
      <c r="H273" s="59"/>
      <c r="I273" s="59"/>
      <c r="J273" s="59"/>
      <c r="K273" s="59"/>
      <c r="L273" s="59"/>
      <c r="M273" s="59"/>
      <c r="N273" s="59"/>
      <c r="O273" s="59"/>
      <c r="P273" s="59"/>
      <c r="Q273" s="59"/>
      <c r="R273" s="59"/>
      <c r="S273" s="59"/>
      <c r="T273" s="59"/>
      <c r="U273" s="59"/>
      <c r="V273" s="59"/>
      <c r="W273" s="59"/>
      <c r="X273" s="59"/>
      <c r="Y273" s="59"/>
      <c r="Z273" s="180"/>
      <c r="AA273" s="59"/>
      <c r="AB273" s="168"/>
      <c r="AC273" s="173"/>
      <c r="AD273" s="5"/>
    </row>
    <row r="274" spans="1:30" ht="18" x14ac:dyDescent="0.35">
      <c r="A274" s="165"/>
      <c r="B274" s="181" t="s">
        <v>109</v>
      </c>
      <c r="C274" s="178"/>
      <c r="D274" s="59"/>
      <c r="E274" s="59"/>
      <c r="F274" s="59"/>
      <c r="G274" s="59"/>
      <c r="H274" s="59"/>
      <c r="I274" s="59"/>
      <c r="J274" s="59"/>
      <c r="K274" s="59"/>
      <c r="L274" s="182"/>
      <c r="M274" s="182"/>
      <c r="N274" s="182"/>
      <c r="O274" s="182"/>
      <c r="P274" s="261" t="s">
        <v>168</v>
      </c>
      <c r="Q274" s="182"/>
      <c r="R274" s="182"/>
      <c r="S274" s="182"/>
      <c r="T274" s="182"/>
      <c r="U274" s="182"/>
      <c r="V274" s="182"/>
      <c r="W274" s="59"/>
      <c r="X274" s="183"/>
      <c r="Y274" s="182"/>
      <c r="Z274" s="180"/>
      <c r="AA274" s="59"/>
      <c r="AB274" s="168"/>
      <c r="AC274" s="173"/>
      <c r="AD274" s="5"/>
    </row>
    <row r="275" spans="1:30" ht="18" x14ac:dyDescent="0.35">
      <c r="A275" s="184"/>
      <c r="B275" s="185"/>
      <c r="C275" s="186"/>
      <c r="D275" s="99"/>
      <c r="E275" s="99"/>
      <c r="F275" s="99"/>
      <c r="G275" s="99"/>
      <c r="H275" s="99"/>
      <c r="I275" s="99"/>
      <c r="J275" s="99"/>
      <c r="K275" s="99"/>
      <c r="L275" s="187"/>
      <c r="M275" s="187"/>
      <c r="N275" s="187"/>
      <c r="O275" s="187"/>
      <c r="P275" s="187"/>
      <c r="Q275" s="187"/>
      <c r="R275" s="187"/>
      <c r="S275" s="187"/>
      <c r="T275" s="187"/>
      <c r="U275" s="187"/>
      <c r="V275" s="187"/>
      <c r="W275" s="99"/>
      <c r="X275" s="99"/>
      <c r="Y275" s="99"/>
      <c r="Z275" s="188"/>
      <c r="AA275" s="99"/>
      <c r="AB275" s="152"/>
      <c r="AC275" s="189"/>
      <c r="AD275" s="5"/>
    </row>
    <row r="276" spans="1:30" x14ac:dyDescent="0.3">
      <c r="A276" s="33"/>
      <c r="B276" s="102" t="s">
        <v>126</v>
      </c>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54" t="s">
        <v>69</v>
      </c>
      <c r="Y276" s="103" t="s">
        <v>70</v>
      </c>
      <c r="Z276" s="154" t="s">
        <v>75</v>
      </c>
      <c r="AA276" s="103" t="s">
        <v>70</v>
      </c>
      <c r="AB276" s="34"/>
      <c r="AC276" s="190"/>
      <c r="AD276" s="5"/>
    </row>
    <row r="277" spans="1:30" s="23" customFormat="1" x14ac:dyDescent="0.3">
      <c r="A277" s="18"/>
      <c r="B277" s="106" t="s">
        <v>59</v>
      </c>
      <c r="C277" s="191"/>
      <c r="D277" s="191"/>
      <c r="E277" s="191"/>
      <c r="F277" s="191"/>
      <c r="G277" s="191"/>
      <c r="H277" s="191"/>
      <c r="I277" s="191"/>
      <c r="J277" s="191"/>
      <c r="K277" s="191"/>
      <c r="L277" s="191"/>
      <c r="M277" s="191"/>
      <c r="N277" s="191"/>
      <c r="O277" s="191"/>
      <c r="P277" s="191"/>
      <c r="Q277" s="191"/>
      <c r="R277" s="191"/>
      <c r="S277" s="191"/>
      <c r="T277" s="191"/>
      <c r="U277" s="191"/>
      <c r="V277" s="191"/>
      <c r="W277" s="191"/>
      <c r="X277" s="106">
        <f t="shared" ref="X277:X284" si="0">+X289+X301+X323</f>
        <v>3580</v>
      </c>
      <c r="Y277" s="192">
        <f>X277/$X$286</f>
        <v>0.9988839285714286</v>
      </c>
      <c r="Z277" s="107">
        <f t="shared" ref="Z277:Z284" si="1">+Z289+Z301+Z323</f>
        <v>671834</v>
      </c>
      <c r="AA277" s="192">
        <f>Z277/$Z$286</f>
        <v>0.99904680471392993</v>
      </c>
      <c r="AB277" s="158"/>
      <c r="AC277" s="193"/>
      <c r="AD277" s="22"/>
    </row>
    <row r="278" spans="1:30" s="23" customFormat="1" x14ac:dyDescent="0.3">
      <c r="A278" s="47"/>
      <c r="B278" s="97" t="s">
        <v>60</v>
      </c>
      <c r="C278" s="194"/>
      <c r="D278" s="194"/>
      <c r="E278" s="194"/>
      <c r="F278" s="194"/>
      <c r="G278" s="194"/>
      <c r="H278" s="194"/>
      <c r="I278" s="194"/>
      <c r="J278" s="194"/>
      <c r="K278" s="194"/>
      <c r="L278" s="194"/>
      <c r="M278" s="194"/>
      <c r="N278" s="194"/>
      <c r="O278" s="194"/>
      <c r="P278" s="194"/>
      <c r="Q278" s="194"/>
      <c r="R278" s="194"/>
      <c r="S278" s="194"/>
      <c r="T278" s="194"/>
      <c r="U278" s="194"/>
      <c r="V278" s="194"/>
      <c r="W278" s="194"/>
      <c r="X278" s="195">
        <f t="shared" si="0"/>
        <v>0</v>
      </c>
      <c r="Y278" s="196">
        <f t="shared" ref="Y278:Y284" si="2">X278/$X$286</f>
        <v>0</v>
      </c>
      <c r="Z278" s="197">
        <f t="shared" si="1"/>
        <v>0</v>
      </c>
      <c r="AA278" s="198">
        <f>Z278/$Z$286</f>
        <v>0</v>
      </c>
      <c r="AB278" s="163"/>
      <c r="AC278" s="175"/>
      <c r="AD278" s="22"/>
    </row>
    <row r="279" spans="1:30" s="23" customFormat="1" x14ac:dyDescent="0.3">
      <c r="A279" s="47"/>
      <c r="B279" s="97" t="s">
        <v>61</v>
      </c>
      <c r="C279" s="194"/>
      <c r="D279" s="194"/>
      <c r="E279" s="194"/>
      <c r="F279" s="194"/>
      <c r="G279" s="194"/>
      <c r="H279" s="194"/>
      <c r="I279" s="194"/>
      <c r="J279" s="194"/>
      <c r="K279" s="194"/>
      <c r="L279" s="194"/>
      <c r="M279" s="194"/>
      <c r="N279" s="194"/>
      <c r="O279" s="194"/>
      <c r="P279" s="194"/>
      <c r="Q279" s="194"/>
      <c r="R279" s="194"/>
      <c r="S279" s="194"/>
      <c r="T279" s="194"/>
      <c r="U279" s="194"/>
      <c r="V279" s="194"/>
      <c r="W279" s="194"/>
      <c r="X279" s="199">
        <f t="shared" si="0"/>
        <v>0</v>
      </c>
      <c r="Y279" s="200">
        <f t="shared" si="2"/>
        <v>0</v>
      </c>
      <c r="Z279" s="131">
        <f t="shared" si="1"/>
        <v>0</v>
      </c>
      <c r="AA279" s="198">
        <f t="shared" ref="AA279:AA284" si="3">Z279/$Z$286</f>
        <v>0</v>
      </c>
      <c r="AB279" s="163"/>
      <c r="AC279" s="175"/>
      <c r="AD279" s="22"/>
    </row>
    <row r="280" spans="1:30" s="23" customFormat="1" x14ac:dyDescent="0.3">
      <c r="A280" s="47"/>
      <c r="B280" s="97" t="s">
        <v>100</v>
      </c>
      <c r="C280" s="194"/>
      <c r="D280" s="194"/>
      <c r="E280" s="194"/>
      <c r="F280" s="194"/>
      <c r="G280" s="194"/>
      <c r="H280" s="194"/>
      <c r="I280" s="194"/>
      <c r="J280" s="194"/>
      <c r="K280" s="194"/>
      <c r="L280" s="194"/>
      <c r="M280" s="194"/>
      <c r="N280" s="194"/>
      <c r="O280" s="194"/>
      <c r="P280" s="194"/>
      <c r="Q280" s="194"/>
      <c r="R280" s="194"/>
      <c r="S280" s="194"/>
      <c r="T280" s="194"/>
      <c r="U280" s="194"/>
      <c r="V280" s="194"/>
      <c r="W280" s="194"/>
      <c r="X280" s="199">
        <f t="shared" si="0"/>
        <v>4</v>
      </c>
      <c r="Y280" s="200">
        <f t="shared" si="2"/>
        <v>1.1160714285714285E-3</v>
      </c>
      <c r="Z280" s="131">
        <f t="shared" si="1"/>
        <v>641</v>
      </c>
      <c r="AA280" s="198">
        <f t="shared" si="3"/>
        <v>9.531952860701141E-4</v>
      </c>
      <c r="AB280" s="163"/>
      <c r="AC280" s="175"/>
      <c r="AD280" s="22"/>
    </row>
    <row r="281" spans="1:30" s="23" customFormat="1" x14ac:dyDescent="0.3">
      <c r="A281" s="47"/>
      <c r="B281" s="97" t="s">
        <v>101</v>
      </c>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9">
        <f t="shared" si="0"/>
        <v>0</v>
      </c>
      <c r="Y281" s="200">
        <f t="shared" si="2"/>
        <v>0</v>
      </c>
      <c r="Z281" s="131">
        <f t="shared" si="1"/>
        <v>0</v>
      </c>
      <c r="AA281" s="198">
        <f t="shared" si="3"/>
        <v>0</v>
      </c>
      <c r="AB281" s="163"/>
      <c r="AC281" s="175"/>
      <c r="AD281" s="22"/>
    </row>
    <row r="282" spans="1:30" s="23" customFormat="1" x14ac:dyDescent="0.3">
      <c r="A282" s="47"/>
      <c r="B282" s="97" t="s">
        <v>102</v>
      </c>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9">
        <f t="shared" si="0"/>
        <v>0</v>
      </c>
      <c r="Y282" s="200">
        <f t="shared" si="2"/>
        <v>0</v>
      </c>
      <c r="Z282" s="131">
        <f t="shared" si="1"/>
        <v>0</v>
      </c>
      <c r="AA282" s="198">
        <f t="shared" si="3"/>
        <v>0</v>
      </c>
      <c r="AB282" s="163"/>
      <c r="AC282" s="175"/>
      <c r="AD282" s="22"/>
    </row>
    <row r="283" spans="1:30" s="23" customFormat="1" x14ac:dyDescent="0.3">
      <c r="A283" s="47"/>
      <c r="B283" s="97" t="s">
        <v>103</v>
      </c>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201">
        <f t="shared" si="0"/>
        <v>0</v>
      </c>
      <c r="Y283" s="202">
        <f t="shared" si="2"/>
        <v>0</v>
      </c>
      <c r="Z283" s="203">
        <f t="shared" si="1"/>
        <v>0</v>
      </c>
      <c r="AA283" s="198">
        <f t="shared" si="3"/>
        <v>0</v>
      </c>
      <c r="AB283" s="163"/>
      <c r="AC283" s="175"/>
      <c r="AD283" s="22"/>
    </row>
    <row r="284" spans="1:30" s="23" customFormat="1" x14ac:dyDescent="0.3">
      <c r="A284" s="47"/>
      <c r="B284" s="97" t="s">
        <v>104</v>
      </c>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06">
        <f t="shared" si="0"/>
        <v>0</v>
      </c>
      <c r="Y284" s="198">
        <f t="shared" si="2"/>
        <v>0</v>
      </c>
      <c r="Z284" s="107">
        <f t="shared" si="1"/>
        <v>0</v>
      </c>
      <c r="AA284" s="198">
        <f t="shared" si="3"/>
        <v>0</v>
      </c>
      <c r="AB284" s="163"/>
      <c r="AC284" s="175"/>
      <c r="AD284" s="22"/>
    </row>
    <row r="285" spans="1:30" s="23" customFormat="1" x14ac:dyDescent="0.3">
      <c r="A285" s="47"/>
      <c r="B285" s="97"/>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97"/>
      <c r="Y285" s="198"/>
      <c r="Z285" s="98"/>
      <c r="AA285" s="198"/>
      <c r="AB285" s="163"/>
      <c r="AC285" s="175"/>
      <c r="AD285" s="22"/>
    </row>
    <row r="286" spans="1:30" s="23" customFormat="1" x14ac:dyDescent="0.3">
      <c r="A286" s="47"/>
      <c r="B286" s="40" t="s">
        <v>80</v>
      </c>
      <c r="C286" s="40"/>
      <c r="D286" s="204"/>
      <c r="E286" s="204"/>
      <c r="F286" s="204"/>
      <c r="G286" s="204"/>
      <c r="H286" s="204"/>
      <c r="I286" s="204"/>
      <c r="J286" s="204"/>
      <c r="K286" s="204"/>
      <c r="L286" s="204"/>
      <c r="M286" s="204"/>
      <c r="N286" s="204"/>
      <c r="O286" s="204"/>
      <c r="P286" s="204"/>
      <c r="Q286" s="204"/>
      <c r="R286" s="204"/>
      <c r="S286" s="204"/>
      <c r="T286" s="204"/>
      <c r="U286" s="204"/>
      <c r="V286" s="204"/>
      <c r="W286" s="204"/>
      <c r="X286" s="97">
        <f>SUM(X277:X285)</f>
        <v>3584</v>
      </c>
      <c r="Y286" s="198">
        <f>SUM(Y277:Y285)</f>
        <v>1</v>
      </c>
      <c r="Z286" s="98">
        <f>SUM(Z277:Z285)</f>
        <v>672475</v>
      </c>
      <c r="AA286" s="198">
        <f>SUM(AA277:AA285)</f>
        <v>1</v>
      </c>
      <c r="AB286" s="40"/>
      <c r="AC286" s="43"/>
      <c r="AD286" s="22"/>
    </row>
    <row r="287" spans="1:30" x14ac:dyDescent="0.3">
      <c r="A287" s="7"/>
      <c r="B287" s="151"/>
      <c r="C287" s="186"/>
      <c r="D287" s="99"/>
      <c r="E287" s="99"/>
      <c r="F287" s="99"/>
      <c r="G287" s="99"/>
      <c r="H287" s="99"/>
      <c r="I287" s="99"/>
      <c r="J287" s="99"/>
      <c r="K287" s="99"/>
      <c r="L287" s="99"/>
      <c r="M287" s="99"/>
      <c r="N287" s="99"/>
      <c r="O287" s="99"/>
      <c r="P287" s="99"/>
      <c r="Q287" s="99"/>
      <c r="R287" s="99"/>
      <c r="S287" s="99"/>
      <c r="T287" s="99"/>
      <c r="U287" s="99"/>
      <c r="V287" s="99"/>
      <c r="W287" s="99"/>
      <c r="X287" s="99"/>
      <c r="Y287" s="99"/>
      <c r="Z287" s="188"/>
      <c r="AA287" s="99"/>
      <c r="AB287" s="99"/>
      <c r="AC287" s="10"/>
      <c r="AD287" s="5"/>
    </row>
    <row r="288" spans="1:30" x14ac:dyDescent="0.3">
      <c r="A288" s="33"/>
      <c r="B288" s="102" t="s">
        <v>105</v>
      </c>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54" t="s">
        <v>69</v>
      </c>
      <c r="Y288" s="103" t="s">
        <v>70</v>
      </c>
      <c r="Z288" s="154" t="s">
        <v>75</v>
      </c>
      <c r="AA288" s="103" t="s">
        <v>70</v>
      </c>
      <c r="AB288" s="34"/>
      <c r="AC288" s="190"/>
      <c r="AD288" s="5"/>
    </row>
    <row r="289" spans="1:31" s="23" customFormat="1" x14ac:dyDescent="0.3">
      <c r="A289" s="18"/>
      <c r="B289" s="106" t="s">
        <v>59</v>
      </c>
      <c r="C289" s="191"/>
      <c r="D289" s="191"/>
      <c r="E289" s="191"/>
      <c r="F289" s="191"/>
      <c r="G289" s="191"/>
      <c r="H289" s="191"/>
      <c r="I289" s="191"/>
      <c r="J289" s="191"/>
      <c r="K289" s="191"/>
      <c r="L289" s="191"/>
      <c r="M289" s="191"/>
      <c r="N289" s="191"/>
      <c r="O289" s="191"/>
      <c r="P289" s="191"/>
      <c r="Q289" s="191"/>
      <c r="R289" s="191"/>
      <c r="S289" s="191"/>
      <c r="T289" s="191"/>
      <c r="U289" s="191"/>
      <c r="V289" s="191"/>
      <c r="W289" s="191"/>
      <c r="X289" s="106">
        <v>3580</v>
      </c>
      <c r="Y289" s="192">
        <f>X289/$X$298</f>
        <v>0.9988839285714286</v>
      </c>
      <c r="Z289" s="107">
        <v>671834</v>
      </c>
      <c r="AA289" s="192">
        <f>Z289/$Z$298</f>
        <v>0.99904680471392993</v>
      </c>
      <c r="AB289" s="158"/>
      <c r="AC289" s="193"/>
      <c r="AD289" s="22"/>
    </row>
    <row r="290" spans="1:31" s="23" customFormat="1" x14ac:dyDescent="0.3">
      <c r="A290" s="47"/>
      <c r="B290" s="97" t="s">
        <v>60</v>
      </c>
      <c r="C290" s="194"/>
      <c r="D290" s="194"/>
      <c r="E290" s="194"/>
      <c r="F290" s="194"/>
      <c r="G290" s="194"/>
      <c r="H290" s="194"/>
      <c r="I290" s="194"/>
      <c r="J290" s="194"/>
      <c r="K290" s="194"/>
      <c r="L290" s="194"/>
      <c r="M290" s="194"/>
      <c r="N290" s="194"/>
      <c r="O290" s="194"/>
      <c r="P290" s="194"/>
      <c r="Q290" s="194"/>
      <c r="R290" s="194"/>
      <c r="S290" s="194"/>
      <c r="T290" s="194"/>
      <c r="U290" s="194"/>
      <c r="V290" s="194"/>
      <c r="W290" s="194"/>
      <c r="X290" s="97">
        <v>0</v>
      </c>
      <c r="Y290" s="198">
        <f t="shared" ref="Y290:Y296" si="4">X290/$X$298</f>
        <v>0</v>
      </c>
      <c r="Z290" s="98">
        <v>0</v>
      </c>
      <c r="AA290" s="198">
        <f t="shared" ref="AA290:AA296" si="5">Z290/$Z$298</f>
        <v>0</v>
      </c>
      <c r="AB290" s="163"/>
      <c r="AC290" s="175"/>
      <c r="AD290" s="22"/>
      <c r="AE290" s="115"/>
    </row>
    <row r="291" spans="1:31" s="23" customFormat="1" x14ac:dyDescent="0.3">
      <c r="A291" s="47"/>
      <c r="B291" s="97" t="s">
        <v>61</v>
      </c>
      <c r="C291" s="194"/>
      <c r="D291" s="194"/>
      <c r="E291" s="194"/>
      <c r="F291" s="194"/>
      <c r="G291" s="194"/>
      <c r="H291" s="194"/>
      <c r="I291" s="194"/>
      <c r="J291" s="194"/>
      <c r="K291" s="194"/>
      <c r="L291" s="194"/>
      <c r="M291" s="194"/>
      <c r="N291" s="194"/>
      <c r="O291" s="194"/>
      <c r="P291" s="194"/>
      <c r="Q291" s="194"/>
      <c r="R291" s="194"/>
      <c r="S291" s="194"/>
      <c r="T291" s="194"/>
      <c r="U291" s="194"/>
      <c r="V291" s="194"/>
      <c r="W291" s="194"/>
      <c r="X291" s="97">
        <v>0</v>
      </c>
      <c r="Y291" s="198">
        <f t="shared" si="4"/>
        <v>0</v>
      </c>
      <c r="Z291" s="98">
        <v>0</v>
      </c>
      <c r="AA291" s="198">
        <f t="shared" si="5"/>
        <v>0</v>
      </c>
      <c r="AB291" s="163"/>
      <c r="AC291" s="175"/>
      <c r="AD291" s="22"/>
    </row>
    <row r="292" spans="1:31" s="23" customFormat="1" x14ac:dyDescent="0.3">
      <c r="A292" s="47"/>
      <c r="B292" s="97" t="s">
        <v>100</v>
      </c>
      <c r="C292" s="194"/>
      <c r="D292" s="194"/>
      <c r="E292" s="194"/>
      <c r="F292" s="194"/>
      <c r="G292" s="194"/>
      <c r="H292" s="194"/>
      <c r="I292" s="194"/>
      <c r="J292" s="194"/>
      <c r="K292" s="194"/>
      <c r="L292" s="194"/>
      <c r="M292" s="194"/>
      <c r="N292" s="194"/>
      <c r="O292" s="194"/>
      <c r="P292" s="194"/>
      <c r="Q292" s="194"/>
      <c r="R292" s="194"/>
      <c r="S292" s="194"/>
      <c r="T292" s="194"/>
      <c r="U292" s="194"/>
      <c r="V292" s="194"/>
      <c r="W292" s="194"/>
      <c r="X292" s="97">
        <v>4</v>
      </c>
      <c r="Y292" s="198">
        <f t="shared" si="4"/>
        <v>1.1160714285714285E-3</v>
      </c>
      <c r="Z292" s="98">
        <v>641</v>
      </c>
      <c r="AA292" s="198">
        <f t="shared" si="5"/>
        <v>9.531952860701141E-4</v>
      </c>
      <c r="AB292" s="163"/>
      <c r="AC292" s="175"/>
      <c r="AD292" s="22"/>
      <c r="AE292" s="115"/>
    </row>
    <row r="293" spans="1:31" s="23" customFormat="1" x14ac:dyDescent="0.3">
      <c r="A293" s="47"/>
      <c r="B293" s="97" t="s">
        <v>101</v>
      </c>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97">
        <v>0</v>
      </c>
      <c r="Y293" s="198">
        <f t="shared" si="4"/>
        <v>0</v>
      </c>
      <c r="Z293" s="98">
        <v>0</v>
      </c>
      <c r="AA293" s="198">
        <f t="shared" si="5"/>
        <v>0</v>
      </c>
      <c r="AB293" s="163"/>
      <c r="AC293" s="175"/>
      <c r="AD293" s="22"/>
    </row>
    <row r="294" spans="1:31" s="23" customFormat="1" x14ac:dyDescent="0.3">
      <c r="A294" s="47"/>
      <c r="B294" s="97" t="s">
        <v>102</v>
      </c>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97">
        <v>0</v>
      </c>
      <c r="Y294" s="198">
        <f t="shared" si="4"/>
        <v>0</v>
      </c>
      <c r="Z294" s="98">
        <v>0</v>
      </c>
      <c r="AA294" s="198">
        <f t="shared" si="5"/>
        <v>0</v>
      </c>
      <c r="AB294" s="163"/>
      <c r="AC294" s="175"/>
      <c r="AD294" s="22"/>
      <c r="AE294" s="115"/>
    </row>
    <row r="295" spans="1:31" s="23" customFormat="1" x14ac:dyDescent="0.3">
      <c r="A295" s="47"/>
      <c r="B295" s="97" t="s">
        <v>103</v>
      </c>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97">
        <v>0</v>
      </c>
      <c r="Y295" s="198">
        <f>X295/$X$298</f>
        <v>0</v>
      </c>
      <c r="Z295" s="98">
        <v>0</v>
      </c>
      <c r="AA295" s="198">
        <f t="shared" si="5"/>
        <v>0</v>
      </c>
      <c r="AB295" s="163"/>
      <c r="AC295" s="175"/>
      <c r="AD295" s="22"/>
    </row>
    <row r="296" spans="1:31" s="23" customFormat="1" x14ac:dyDescent="0.3">
      <c r="A296" s="47"/>
      <c r="B296" s="97" t="s">
        <v>104</v>
      </c>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97">
        <v>0</v>
      </c>
      <c r="Y296" s="198">
        <f t="shared" si="4"/>
        <v>0</v>
      </c>
      <c r="Z296" s="98">
        <v>0</v>
      </c>
      <c r="AA296" s="198">
        <f t="shared" si="5"/>
        <v>0</v>
      </c>
      <c r="AB296" s="163"/>
      <c r="AC296" s="175"/>
      <c r="AD296" s="22"/>
      <c r="AE296" s="115"/>
    </row>
    <row r="297" spans="1:31" s="23" customFormat="1" x14ac:dyDescent="0.3">
      <c r="A297" s="47"/>
      <c r="B297" s="97"/>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97"/>
      <c r="Y297" s="198"/>
      <c r="Z297" s="98"/>
      <c r="AA297" s="198"/>
      <c r="AB297" s="163"/>
      <c r="AC297" s="175"/>
      <c r="AD297" s="22"/>
    </row>
    <row r="298" spans="1:31" s="23" customFormat="1" x14ac:dyDescent="0.3">
      <c r="A298" s="47"/>
      <c r="B298" s="40" t="s">
        <v>80</v>
      </c>
      <c r="C298" s="40"/>
      <c r="D298" s="204"/>
      <c r="E298" s="204"/>
      <c r="F298" s="204"/>
      <c r="G298" s="204"/>
      <c r="H298" s="204"/>
      <c r="I298" s="204"/>
      <c r="J298" s="204"/>
      <c r="K298" s="204"/>
      <c r="L298" s="204"/>
      <c r="M298" s="204"/>
      <c r="N298" s="204"/>
      <c r="O298" s="204"/>
      <c r="P298" s="204"/>
      <c r="Q298" s="204"/>
      <c r="R298" s="204"/>
      <c r="S298" s="204"/>
      <c r="T298" s="204"/>
      <c r="U298" s="204"/>
      <c r="V298" s="204"/>
      <c r="W298" s="204"/>
      <c r="X298" s="97">
        <f>SUM(X289:X297)</f>
        <v>3584</v>
      </c>
      <c r="Y298" s="198">
        <f>SUM(Y289:Y297)</f>
        <v>1</v>
      </c>
      <c r="Z298" s="98">
        <f>SUM(Z289:Z297)</f>
        <v>672475</v>
      </c>
      <c r="AA298" s="198">
        <f>SUM(AA289:AA297)</f>
        <v>1</v>
      </c>
      <c r="AB298" s="40"/>
      <c r="AC298" s="43"/>
      <c r="AD298" s="22"/>
    </row>
    <row r="299" spans="1:31" x14ac:dyDescent="0.3">
      <c r="A299" s="7"/>
      <c r="B299" s="99"/>
      <c r="C299" s="99"/>
      <c r="D299" s="205"/>
      <c r="E299" s="205"/>
      <c r="F299" s="205"/>
      <c r="G299" s="205"/>
      <c r="H299" s="205"/>
      <c r="I299" s="205"/>
      <c r="J299" s="205"/>
      <c r="K299" s="205"/>
      <c r="L299" s="205"/>
      <c r="M299" s="205"/>
      <c r="N299" s="205"/>
      <c r="O299" s="205"/>
      <c r="P299" s="205"/>
      <c r="Q299" s="205"/>
      <c r="R299" s="205"/>
      <c r="S299" s="205"/>
      <c r="T299" s="205"/>
      <c r="U299" s="205"/>
      <c r="V299" s="205"/>
      <c r="W299" s="205"/>
      <c r="X299" s="100"/>
      <c r="Y299" s="206"/>
      <c r="Z299" s="207"/>
      <c r="AA299" s="206"/>
      <c r="AB299" s="99"/>
      <c r="AC299" s="10"/>
      <c r="AD299" s="5"/>
    </row>
    <row r="300" spans="1:31" x14ac:dyDescent="0.3">
      <c r="A300" s="33"/>
      <c r="B300" s="102" t="s">
        <v>121</v>
      </c>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54" t="s">
        <v>69</v>
      </c>
      <c r="Y300" s="103" t="s">
        <v>70</v>
      </c>
      <c r="Z300" s="154" t="s">
        <v>75</v>
      </c>
      <c r="AA300" s="103" t="s">
        <v>70</v>
      </c>
      <c r="AB300" s="34"/>
      <c r="AC300" s="36"/>
      <c r="AD300" s="5"/>
    </row>
    <row r="301" spans="1:31" s="23" customFormat="1" x14ac:dyDescent="0.3">
      <c r="A301" s="18"/>
      <c r="B301" s="106" t="s">
        <v>59</v>
      </c>
      <c r="C301" s="191"/>
      <c r="D301" s="191"/>
      <c r="E301" s="191"/>
      <c r="F301" s="191"/>
      <c r="G301" s="191"/>
      <c r="H301" s="191"/>
      <c r="I301" s="191"/>
      <c r="J301" s="191"/>
      <c r="K301" s="191"/>
      <c r="L301" s="191"/>
      <c r="M301" s="191"/>
      <c r="N301" s="191"/>
      <c r="O301" s="191"/>
      <c r="P301" s="191"/>
      <c r="Q301" s="191"/>
      <c r="R301" s="191"/>
      <c r="S301" s="191"/>
      <c r="T301" s="191"/>
      <c r="U301" s="191"/>
      <c r="V301" s="191"/>
      <c r="W301" s="191"/>
      <c r="X301" s="106">
        <v>0</v>
      </c>
      <c r="Y301" s="192">
        <v>0</v>
      </c>
      <c r="Z301" s="107">
        <v>0</v>
      </c>
      <c r="AA301" s="192">
        <v>0</v>
      </c>
      <c r="AB301" s="37"/>
      <c r="AC301" s="21"/>
      <c r="AD301" s="22"/>
    </row>
    <row r="302" spans="1:31" s="23" customFormat="1" x14ac:dyDescent="0.3">
      <c r="A302" s="47"/>
      <c r="B302" s="97" t="s">
        <v>60</v>
      </c>
      <c r="C302" s="194"/>
      <c r="D302" s="194"/>
      <c r="E302" s="194"/>
      <c r="F302" s="194"/>
      <c r="G302" s="194"/>
      <c r="H302" s="194"/>
      <c r="I302" s="194"/>
      <c r="J302" s="194"/>
      <c r="K302" s="194"/>
      <c r="L302" s="194"/>
      <c r="M302" s="194"/>
      <c r="N302" s="194"/>
      <c r="O302" s="194"/>
      <c r="P302" s="194"/>
      <c r="Q302" s="194"/>
      <c r="R302" s="194"/>
      <c r="S302" s="194"/>
      <c r="T302" s="194"/>
      <c r="U302" s="194"/>
      <c r="V302" s="194"/>
      <c r="W302" s="194"/>
      <c r="X302" s="97">
        <v>0</v>
      </c>
      <c r="Y302" s="198">
        <v>0</v>
      </c>
      <c r="Z302" s="98">
        <v>0</v>
      </c>
      <c r="AA302" s="198">
        <v>0</v>
      </c>
      <c r="AB302" s="40"/>
      <c r="AC302" s="43"/>
      <c r="AD302" s="22"/>
    </row>
    <row r="303" spans="1:31" s="23" customFormat="1" x14ac:dyDescent="0.3">
      <c r="A303" s="47"/>
      <c r="B303" s="97" t="s">
        <v>61</v>
      </c>
      <c r="C303" s="194"/>
      <c r="D303" s="194"/>
      <c r="E303" s="194"/>
      <c r="F303" s="194"/>
      <c r="G303" s="194"/>
      <c r="H303" s="194"/>
      <c r="I303" s="194"/>
      <c r="J303" s="194"/>
      <c r="K303" s="194"/>
      <c r="L303" s="194"/>
      <c r="M303" s="194"/>
      <c r="N303" s="194"/>
      <c r="O303" s="194"/>
      <c r="P303" s="194"/>
      <c r="Q303" s="194"/>
      <c r="R303" s="194"/>
      <c r="S303" s="194"/>
      <c r="T303" s="194"/>
      <c r="U303" s="194"/>
      <c r="V303" s="194"/>
      <c r="W303" s="194"/>
      <c r="X303" s="97">
        <v>0</v>
      </c>
      <c r="Y303" s="198">
        <v>0</v>
      </c>
      <c r="Z303" s="98">
        <v>0</v>
      </c>
      <c r="AA303" s="198">
        <v>0</v>
      </c>
      <c r="AB303" s="40"/>
      <c r="AC303" s="43"/>
      <c r="AD303" s="22"/>
    </row>
    <row r="304" spans="1:31" s="23" customFormat="1" x14ac:dyDescent="0.3">
      <c r="A304" s="47"/>
      <c r="B304" s="97" t="s">
        <v>100</v>
      </c>
      <c r="C304" s="194"/>
      <c r="D304" s="194"/>
      <c r="E304" s="194"/>
      <c r="F304" s="194"/>
      <c r="G304" s="194"/>
      <c r="H304" s="194"/>
      <c r="I304" s="194"/>
      <c r="J304" s="194"/>
      <c r="K304" s="194"/>
      <c r="L304" s="194"/>
      <c r="M304" s="194"/>
      <c r="N304" s="194"/>
      <c r="O304" s="194"/>
      <c r="P304" s="194"/>
      <c r="Q304" s="194"/>
      <c r="R304" s="194"/>
      <c r="S304" s="194"/>
      <c r="T304" s="194"/>
      <c r="U304" s="194"/>
      <c r="V304" s="194"/>
      <c r="W304" s="194"/>
      <c r="X304" s="97">
        <v>0</v>
      </c>
      <c r="Y304" s="198">
        <v>0</v>
      </c>
      <c r="Z304" s="98">
        <v>0</v>
      </c>
      <c r="AA304" s="198">
        <v>0</v>
      </c>
      <c r="AB304" s="40"/>
      <c r="AC304" s="43"/>
      <c r="AD304" s="22"/>
    </row>
    <row r="305" spans="1:30" s="23" customFormat="1" x14ac:dyDescent="0.3">
      <c r="A305" s="47"/>
      <c r="B305" s="97" t="s">
        <v>101</v>
      </c>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97">
        <v>0</v>
      </c>
      <c r="Y305" s="198">
        <v>0</v>
      </c>
      <c r="Z305" s="98">
        <v>0</v>
      </c>
      <c r="AA305" s="198">
        <v>0</v>
      </c>
      <c r="AB305" s="40"/>
      <c r="AC305" s="43"/>
      <c r="AD305" s="22"/>
    </row>
    <row r="306" spans="1:30" s="23" customFormat="1" x14ac:dyDescent="0.3">
      <c r="A306" s="47"/>
      <c r="B306" s="97" t="s">
        <v>102</v>
      </c>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97">
        <v>0</v>
      </c>
      <c r="Y306" s="198">
        <v>0</v>
      </c>
      <c r="Z306" s="98">
        <v>0</v>
      </c>
      <c r="AA306" s="198">
        <v>0</v>
      </c>
      <c r="AB306" s="40"/>
      <c r="AC306" s="43"/>
      <c r="AD306" s="22"/>
    </row>
    <row r="307" spans="1:30" s="23" customFormat="1" x14ac:dyDescent="0.3">
      <c r="A307" s="47"/>
      <c r="B307" s="97" t="s">
        <v>103</v>
      </c>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97">
        <v>0</v>
      </c>
      <c r="Y307" s="198">
        <v>0</v>
      </c>
      <c r="Z307" s="98">
        <v>0</v>
      </c>
      <c r="AA307" s="198">
        <v>0</v>
      </c>
      <c r="AB307" s="40"/>
      <c r="AC307" s="43"/>
      <c r="AD307" s="22"/>
    </row>
    <row r="308" spans="1:30" s="23" customFormat="1" x14ac:dyDescent="0.3">
      <c r="A308" s="47"/>
      <c r="B308" s="97" t="s">
        <v>104</v>
      </c>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97">
        <v>0</v>
      </c>
      <c r="Y308" s="198">
        <v>0</v>
      </c>
      <c r="Z308" s="98">
        <v>0</v>
      </c>
      <c r="AA308" s="198">
        <v>0</v>
      </c>
      <c r="AB308" s="40"/>
      <c r="AC308" s="43"/>
      <c r="AD308" s="22"/>
    </row>
    <row r="309" spans="1:30" s="23" customFormat="1" x14ac:dyDescent="0.3">
      <c r="A309" s="47"/>
      <c r="B309" s="97"/>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97"/>
      <c r="Y309" s="198"/>
      <c r="Z309" s="98"/>
      <c r="AA309" s="198"/>
      <c r="AB309" s="40"/>
      <c r="AC309" s="43"/>
      <c r="AD309" s="22"/>
    </row>
    <row r="310" spans="1:30" s="23" customFormat="1" x14ac:dyDescent="0.3">
      <c r="A310" s="47"/>
      <c r="B310" s="40" t="s">
        <v>80</v>
      </c>
      <c r="C310" s="40"/>
      <c r="D310" s="204"/>
      <c r="E310" s="204"/>
      <c r="F310" s="204"/>
      <c r="G310" s="204"/>
      <c r="H310" s="204"/>
      <c r="I310" s="204"/>
      <c r="J310" s="204"/>
      <c r="K310" s="204"/>
      <c r="L310" s="204"/>
      <c r="M310" s="204"/>
      <c r="N310" s="204"/>
      <c r="O310" s="204"/>
      <c r="P310" s="204"/>
      <c r="Q310" s="204"/>
      <c r="R310" s="204"/>
      <c r="S310" s="204"/>
      <c r="T310" s="204"/>
      <c r="U310" s="204"/>
      <c r="V310" s="204"/>
      <c r="W310" s="204"/>
      <c r="X310" s="97">
        <f>SUM(X301:X309)</f>
        <v>0</v>
      </c>
      <c r="Y310" s="198">
        <f>SUM(Y301:Y309)</f>
        <v>0</v>
      </c>
      <c r="Z310" s="98">
        <f>SUM(Z301:Z309)</f>
        <v>0</v>
      </c>
      <c r="AA310" s="198">
        <f>SUM(AA301:AA309)</f>
        <v>0</v>
      </c>
      <c r="AB310" s="40"/>
      <c r="AC310" s="43"/>
      <c r="AD310" s="22"/>
    </row>
    <row r="311" spans="1:30" s="23" customFormat="1" x14ac:dyDescent="0.3">
      <c r="A311" s="47"/>
      <c r="B311" s="40"/>
      <c r="C311" s="40"/>
      <c r="D311" s="204"/>
      <c r="E311" s="204"/>
      <c r="F311" s="204"/>
      <c r="G311" s="204"/>
      <c r="H311" s="204"/>
      <c r="I311" s="204"/>
      <c r="J311" s="204"/>
      <c r="K311" s="204"/>
      <c r="L311" s="204"/>
      <c r="M311" s="204"/>
      <c r="N311" s="204"/>
      <c r="O311" s="204"/>
      <c r="P311" s="204"/>
      <c r="Q311" s="204"/>
      <c r="R311" s="204"/>
      <c r="S311" s="204"/>
      <c r="T311" s="204"/>
      <c r="U311" s="204"/>
      <c r="V311" s="204"/>
      <c r="W311" s="204"/>
      <c r="X311" s="97"/>
      <c r="Y311" s="198"/>
      <c r="Z311" s="98"/>
      <c r="AA311" s="198"/>
      <c r="AB311" s="40"/>
      <c r="AC311" s="43"/>
      <c r="AD311" s="22"/>
    </row>
    <row r="312" spans="1:30" s="23" customFormat="1" x14ac:dyDescent="0.3">
      <c r="A312" s="242"/>
      <c r="B312" s="243" t="s">
        <v>299</v>
      </c>
      <c r="C312" s="243"/>
      <c r="D312" s="243"/>
      <c r="E312" s="243"/>
      <c r="F312" s="243"/>
      <c r="G312" s="243"/>
      <c r="H312" s="243"/>
      <c r="I312" s="243"/>
      <c r="J312" s="243"/>
      <c r="K312" s="243"/>
      <c r="L312" s="243"/>
      <c r="M312" s="243"/>
      <c r="N312" s="243"/>
      <c r="O312" s="243"/>
      <c r="P312" s="243"/>
      <c r="Q312" s="243"/>
      <c r="R312" s="243"/>
      <c r="S312" s="243"/>
      <c r="T312" s="243"/>
      <c r="U312" s="243"/>
      <c r="V312" s="243"/>
      <c r="W312" s="243"/>
      <c r="X312" s="262" t="s">
        <v>69</v>
      </c>
      <c r="Y312" s="263" t="s">
        <v>70</v>
      </c>
      <c r="Z312" s="262" t="s">
        <v>75</v>
      </c>
      <c r="AA312" s="263" t="s">
        <v>70</v>
      </c>
      <c r="AB312" s="243"/>
      <c r="AC312" s="243"/>
      <c r="AD312" s="22"/>
    </row>
    <row r="313" spans="1:30" s="23" customFormat="1" x14ac:dyDescent="0.3">
      <c r="A313" s="272"/>
      <c r="B313" s="273" t="s">
        <v>295</v>
      </c>
      <c r="C313" s="40"/>
      <c r="D313" s="204"/>
      <c r="E313" s="204"/>
      <c r="F313" s="204"/>
      <c r="G313" s="204"/>
      <c r="H313" s="204"/>
      <c r="I313" s="204"/>
      <c r="J313" s="204"/>
      <c r="K313" s="204"/>
      <c r="L313" s="204"/>
      <c r="M313" s="204"/>
      <c r="N313" s="204"/>
      <c r="O313" s="204"/>
      <c r="P313" s="204"/>
      <c r="Q313" s="204"/>
      <c r="R313" s="204"/>
      <c r="S313" s="204"/>
      <c r="T313" s="204"/>
      <c r="U313" s="204"/>
      <c r="V313" s="204"/>
      <c r="W313" s="204"/>
      <c r="X313" s="275">
        <v>0</v>
      </c>
      <c r="Y313" s="276">
        <v>0</v>
      </c>
      <c r="Z313" s="277">
        <v>0</v>
      </c>
      <c r="AA313" s="276">
        <v>0</v>
      </c>
      <c r="AB313" s="40"/>
      <c r="AC313" s="43"/>
      <c r="AD313" s="22"/>
    </row>
    <row r="314" spans="1:30" s="23" customFormat="1" x14ac:dyDescent="0.3">
      <c r="A314" s="272"/>
      <c r="B314" s="273" t="s">
        <v>296</v>
      </c>
      <c r="C314" s="40"/>
      <c r="D314" s="204"/>
      <c r="E314" s="204"/>
      <c r="F314" s="204"/>
      <c r="G314" s="204"/>
      <c r="H314" s="204"/>
      <c r="I314" s="204"/>
      <c r="J314" s="204"/>
      <c r="K314" s="204"/>
      <c r="L314" s="204"/>
      <c r="M314" s="204"/>
      <c r="N314" s="204"/>
      <c r="O314" s="204"/>
      <c r="P314" s="204"/>
      <c r="Q314" s="204"/>
      <c r="R314" s="204"/>
      <c r="S314" s="204"/>
      <c r="T314" s="204"/>
      <c r="U314" s="204"/>
      <c r="V314" s="204"/>
      <c r="W314" s="204"/>
      <c r="X314" s="275">
        <v>0</v>
      </c>
      <c r="Y314" s="276">
        <v>0</v>
      </c>
      <c r="Z314" s="277">
        <v>0</v>
      </c>
      <c r="AA314" s="276">
        <v>0</v>
      </c>
      <c r="AB314" s="40"/>
      <c r="AC314" s="43"/>
      <c r="AD314" s="22"/>
    </row>
    <row r="315" spans="1:30" s="23" customFormat="1" x14ac:dyDescent="0.3">
      <c r="A315" s="272"/>
      <c r="B315" s="273" t="s">
        <v>297</v>
      </c>
      <c r="C315" s="40"/>
      <c r="D315" s="204"/>
      <c r="E315" s="204"/>
      <c r="F315" s="204"/>
      <c r="G315" s="204"/>
      <c r="H315" s="204"/>
      <c r="I315" s="204"/>
      <c r="J315" s="204"/>
      <c r="K315" s="204"/>
      <c r="L315" s="204"/>
      <c r="M315" s="204"/>
      <c r="N315" s="204"/>
      <c r="O315" s="204"/>
      <c r="P315" s="204"/>
      <c r="Q315" s="204"/>
      <c r="R315" s="204"/>
      <c r="S315" s="204"/>
      <c r="T315" s="204"/>
      <c r="U315" s="204"/>
      <c r="V315" s="204"/>
      <c r="W315" s="204"/>
      <c r="X315" s="275">
        <v>0</v>
      </c>
      <c r="Y315" s="276">
        <v>0</v>
      </c>
      <c r="Z315" s="277">
        <v>0</v>
      </c>
      <c r="AA315" s="276">
        <v>0</v>
      </c>
      <c r="AB315" s="40"/>
      <c r="AC315" s="43"/>
      <c r="AD315" s="22"/>
    </row>
    <row r="316" spans="1:30" s="23" customFormat="1" x14ac:dyDescent="0.3">
      <c r="A316" s="272"/>
      <c r="B316" s="273" t="s">
        <v>298</v>
      </c>
      <c r="C316" s="40"/>
      <c r="D316" s="204"/>
      <c r="E316" s="204"/>
      <c r="F316" s="204"/>
      <c r="G316" s="204"/>
      <c r="H316" s="204"/>
      <c r="I316" s="204"/>
      <c r="J316" s="204"/>
      <c r="K316" s="204"/>
      <c r="L316" s="204"/>
      <c r="M316" s="204"/>
      <c r="N316" s="204"/>
      <c r="O316" s="204"/>
      <c r="P316" s="204"/>
      <c r="Q316" s="204"/>
      <c r="R316" s="204"/>
      <c r="S316" s="204"/>
      <c r="T316" s="204"/>
      <c r="U316" s="204"/>
      <c r="V316" s="204"/>
      <c r="W316" s="204"/>
      <c r="X316" s="275">
        <v>0</v>
      </c>
      <c r="Y316" s="276">
        <v>0</v>
      </c>
      <c r="Z316" s="277">
        <v>0</v>
      </c>
      <c r="AA316" s="276">
        <v>0</v>
      </c>
      <c r="AB316" s="40"/>
      <c r="AC316" s="43"/>
      <c r="AD316" s="22"/>
    </row>
    <row r="317" spans="1:30" s="23" customFormat="1" x14ac:dyDescent="0.3">
      <c r="A317" s="272"/>
      <c r="B317" s="273" t="s">
        <v>368</v>
      </c>
      <c r="C317" s="40"/>
      <c r="D317" s="204"/>
      <c r="E317" s="204"/>
      <c r="F317" s="204"/>
      <c r="G317" s="204"/>
      <c r="H317" s="204"/>
      <c r="I317" s="204"/>
      <c r="J317" s="204"/>
      <c r="K317" s="204"/>
      <c r="L317" s="204"/>
      <c r="M317" s="204"/>
      <c r="N317" s="204"/>
      <c r="O317" s="204"/>
      <c r="P317" s="204"/>
      <c r="Q317" s="204"/>
      <c r="R317" s="204"/>
      <c r="S317" s="204"/>
      <c r="T317" s="204"/>
      <c r="U317" s="204"/>
      <c r="V317" s="204"/>
      <c r="W317" s="204"/>
      <c r="X317" s="275">
        <v>0</v>
      </c>
      <c r="Y317" s="276">
        <v>0</v>
      </c>
      <c r="Z317" s="277">
        <v>0</v>
      </c>
      <c r="AA317" s="276">
        <v>0</v>
      </c>
      <c r="AB317" s="40"/>
      <c r="AC317" s="43"/>
      <c r="AD317" s="22"/>
    </row>
    <row r="318" spans="1:30" s="23" customFormat="1" x14ac:dyDescent="0.3">
      <c r="A318" s="272"/>
      <c r="B318" s="274" t="s">
        <v>300</v>
      </c>
      <c r="C318" s="40"/>
      <c r="D318" s="204"/>
      <c r="E318" s="204"/>
      <c r="F318" s="204"/>
      <c r="G318" s="204"/>
      <c r="H318" s="204"/>
      <c r="I318" s="204"/>
      <c r="J318" s="204"/>
      <c r="K318" s="204"/>
      <c r="L318" s="204"/>
      <c r="M318" s="204"/>
      <c r="N318" s="204"/>
      <c r="O318" s="204"/>
      <c r="P318" s="204"/>
      <c r="Q318" s="204"/>
      <c r="R318" s="204"/>
      <c r="S318" s="204"/>
      <c r="T318" s="204"/>
      <c r="U318" s="204"/>
      <c r="V318" s="204"/>
      <c r="W318" s="204"/>
      <c r="X318" s="275">
        <v>0</v>
      </c>
      <c r="Y318" s="276">
        <v>0</v>
      </c>
      <c r="Z318" s="277">
        <v>0</v>
      </c>
      <c r="AA318" s="276">
        <v>0</v>
      </c>
      <c r="AB318" s="40"/>
      <c r="AC318" s="43"/>
      <c r="AD318" s="22"/>
    </row>
    <row r="319" spans="1:30" s="23" customFormat="1" x14ac:dyDescent="0.3">
      <c r="A319" s="272"/>
      <c r="B319" s="273"/>
      <c r="C319" s="40"/>
      <c r="D319" s="204"/>
      <c r="E319" s="204"/>
      <c r="F319" s="204"/>
      <c r="G319" s="204"/>
      <c r="H319" s="204"/>
      <c r="I319" s="204"/>
      <c r="J319" s="204"/>
      <c r="K319" s="204"/>
      <c r="L319" s="204"/>
      <c r="M319" s="204"/>
      <c r="N319" s="204"/>
      <c r="O319" s="204"/>
      <c r="P319" s="204"/>
      <c r="Q319" s="204"/>
      <c r="R319" s="204"/>
      <c r="S319" s="204"/>
      <c r="T319" s="204"/>
      <c r="U319" s="204"/>
      <c r="V319" s="204"/>
      <c r="W319" s="204"/>
      <c r="X319" s="275"/>
      <c r="Y319" s="276"/>
      <c r="Z319" s="277"/>
      <c r="AA319" s="276"/>
      <c r="AB319" s="40"/>
      <c r="AC319" s="43"/>
      <c r="AD319" s="22"/>
    </row>
    <row r="320" spans="1:30" s="23" customFormat="1" x14ac:dyDescent="0.3">
      <c r="A320" s="272"/>
      <c r="B320" s="273" t="s">
        <v>80</v>
      </c>
      <c r="C320" s="40"/>
      <c r="D320" s="204"/>
      <c r="E320" s="204"/>
      <c r="F320" s="204"/>
      <c r="G320" s="204"/>
      <c r="H320" s="204"/>
      <c r="I320" s="204"/>
      <c r="J320" s="204"/>
      <c r="K320" s="204"/>
      <c r="L320" s="204"/>
      <c r="M320" s="204"/>
      <c r="N320" s="204"/>
      <c r="O320" s="204"/>
      <c r="P320" s="204"/>
      <c r="Q320" s="204"/>
      <c r="R320" s="204"/>
      <c r="S320" s="204"/>
      <c r="T320" s="204"/>
      <c r="U320" s="204"/>
      <c r="V320" s="204"/>
      <c r="W320" s="204"/>
      <c r="X320" s="275">
        <f>SUM(X313:X319)</f>
        <v>0</v>
      </c>
      <c r="Y320" s="276">
        <f>SUM(Y313:Y318)</f>
        <v>0</v>
      </c>
      <c r="Z320" s="277">
        <f>SUM(Z313:Z318)</f>
        <v>0</v>
      </c>
      <c r="AA320" s="276">
        <f>SUM(AA313:AA319)</f>
        <v>0</v>
      </c>
      <c r="AB320" s="40"/>
      <c r="AC320" s="43"/>
      <c r="AD320" s="22"/>
    </row>
    <row r="321" spans="1:30" x14ac:dyDescent="0.3">
      <c r="A321" s="7"/>
      <c r="B321" s="99"/>
      <c r="C321" s="99"/>
      <c r="D321" s="205"/>
      <c r="E321" s="205"/>
      <c r="F321" s="205"/>
      <c r="G321" s="205"/>
      <c r="H321" s="205"/>
      <c r="I321" s="205"/>
      <c r="J321" s="205"/>
      <c r="K321" s="205"/>
      <c r="L321" s="205"/>
      <c r="M321" s="205"/>
      <c r="N321" s="205"/>
      <c r="O321" s="205"/>
      <c r="P321" s="205"/>
      <c r="Q321" s="205"/>
      <c r="R321" s="205"/>
      <c r="S321" s="205"/>
      <c r="T321" s="205"/>
      <c r="U321" s="205"/>
      <c r="V321" s="205"/>
      <c r="W321" s="205"/>
      <c r="X321" s="100"/>
      <c r="Y321" s="206"/>
      <c r="Z321" s="207"/>
      <c r="AA321" s="206"/>
      <c r="AB321" s="99"/>
      <c r="AC321" s="10"/>
      <c r="AD321" s="5"/>
    </row>
    <row r="322" spans="1:30" x14ac:dyDescent="0.3">
      <c r="A322" s="33"/>
      <c r="B322" s="102" t="s">
        <v>106</v>
      </c>
      <c r="C322" s="34"/>
      <c r="D322" s="208"/>
      <c r="E322" s="208"/>
      <c r="F322" s="208"/>
      <c r="G322" s="208"/>
      <c r="H322" s="208"/>
      <c r="I322" s="208"/>
      <c r="J322" s="208"/>
      <c r="K322" s="208"/>
      <c r="L322" s="208"/>
      <c r="M322" s="208"/>
      <c r="N322" s="208"/>
      <c r="O322" s="208"/>
      <c r="P322" s="208"/>
      <c r="Q322" s="208"/>
      <c r="R322" s="208"/>
      <c r="S322" s="208"/>
      <c r="T322" s="208"/>
      <c r="U322" s="208"/>
      <c r="V322" s="208"/>
      <c r="W322" s="208"/>
      <c r="X322" s="154" t="s">
        <v>69</v>
      </c>
      <c r="Y322" s="103" t="s">
        <v>70</v>
      </c>
      <c r="Z322" s="154" t="s">
        <v>75</v>
      </c>
      <c r="AA322" s="103" t="s">
        <v>70</v>
      </c>
      <c r="AB322" s="34"/>
      <c r="AC322" s="36"/>
      <c r="AD322" s="5"/>
    </row>
    <row r="323" spans="1:30" s="23" customFormat="1" x14ac:dyDescent="0.3">
      <c r="A323" s="18"/>
      <c r="B323" s="106" t="s">
        <v>59</v>
      </c>
      <c r="C323" s="37"/>
      <c r="D323" s="209"/>
      <c r="E323" s="209"/>
      <c r="F323" s="209"/>
      <c r="G323" s="209"/>
      <c r="H323" s="209"/>
      <c r="I323" s="209"/>
      <c r="J323" s="209"/>
      <c r="K323" s="209"/>
      <c r="L323" s="209"/>
      <c r="M323" s="209"/>
      <c r="N323" s="209"/>
      <c r="O323" s="209"/>
      <c r="P323" s="209"/>
      <c r="Q323" s="209"/>
      <c r="R323" s="209"/>
      <c r="S323" s="209"/>
      <c r="T323" s="209"/>
      <c r="U323" s="209"/>
      <c r="V323" s="209"/>
      <c r="W323" s="209"/>
      <c r="X323" s="106">
        <v>0</v>
      </c>
      <c r="Y323" s="192">
        <v>0</v>
      </c>
      <c r="Z323" s="107">
        <v>0</v>
      </c>
      <c r="AA323" s="192">
        <v>0</v>
      </c>
      <c r="AB323" s="37"/>
      <c r="AC323" s="21"/>
      <c r="AD323" s="22"/>
    </row>
    <row r="324" spans="1:30" s="23" customFormat="1" x14ac:dyDescent="0.3">
      <c r="A324" s="47"/>
      <c r="B324" s="97" t="s">
        <v>60</v>
      </c>
      <c r="C324" s="40"/>
      <c r="D324" s="204"/>
      <c r="E324" s="204"/>
      <c r="F324" s="204"/>
      <c r="G324" s="204"/>
      <c r="H324" s="204"/>
      <c r="I324" s="204"/>
      <c r="J324" s="204"/>
      <c r="K324" s="204"/>
      <c r="L324" s="204"/>
      <c r="M324" s="204"/>
      <c r="N324" s="204"/>
      <c r="O324" s="204"/>
      <c r="P324" s="204"/>
      <c r="Q324" s="204"/>
      <c r="R324" s="204"/>
      <c r="S324" s="204"/>
      <c r="T324" s="204"/>
      <c r="U324" s="204"/>
      <c r="V324" s="204"/>
      <c r="W324" s="204"/>
      <c r="X324" s="97">
        <v>0</v>
      </c>
      <c r="Y324" s="198">
        <v>0</v>
      </c>
      <c r="Z324" s="98">
        <v>0</v>
      </c>
      <c r="AA324" s="198">
        <v>0</v>
      </c>
      <c r="AB324" s="40"/>
      <c r="AC324" s="43"/>
      <c r="AD324" s="22"/>
    </row>
    <row r="325" spans="1:30" s="23" customFormat="1" x14ac:dyDescent="0.3">
      <c r="A325" s="47"/>
      <c r="B325" s="97" t="s">
        <v>61</v>
      </c>
      <c r="C325" s="40"/>
      <c r="D325" s="204"/>
      <c r="E325" s="204"/>
      <c r="F325" s="204"/>
      <c r="G325" s="204"/>
      <c r="H325" s="204"/>
      <c r="I325" s="204"/>
      <c r="J325" s="204"/>
      <c r="K325" s="204"/>
      <c r="L325" s="204"/>
      <c r="M325" s="204"/>
      <c r="N325" s="204"/>
      <c r="O325" s="204"/>
      <c r="P325" s="204"/>
      <c r="Q325" s="204"/>
      <c r="R325" s="204"/>
      <c r="S325" s="204"/>
      <c r="T325" s="204"/>
      <c r="U325" s="204"/>
      <c r="V325" s="204"/>
      <c r="W325" s="204"/>
      <c r="X325" s="97">
        <v>0</v>
      </c>
      <c r="Y325" s="198">
        <v>0</v>
      </c>
      <c r="Z325" s="98">
        <v>0</v>
      </c>
      <c r="AA325" s="198">
        <v>0</v>
      </c>
      <c r="AB325" s="40"/>
      <c r="AC325" s="43"/>
      <c r="AD325" s="22"/>
    </row>
    <row r="326" spans="1:30" s="23" customFormat="1" x14ac:dyDescent="0.3">
      <c r="A326" s="47"/>
      <c r="B326" s="97" t="s">
        <v>100</v>
      </c>
      <c r="C326" s="40"/>
      <c r="D326" s="204"/>
      <c r="E326" s="204"/>
      <c r="F326" s="204"/>
      <c r="G326" s="204"/>
      <c r="H326" s="204"/>
      <c r="I326" s="204"/>
      <c r="J326" s="204"/>
      <c r="K326" s="204"/>
      <c r="L326" s="204"/>
      <c r="M326" s="204"/>
      <c r="N326" s="204"/>
      <c r="O326" s="204"/>
      <c r="P326" s="204"/>
      <c r="Q326" s="204"/>
      <c r="R326" s="204"/>
      <c r="S326" s="204"/>
      <c r="T326" s="204"/>
      <c r="U326" s="204"/>
      <c r="V326" s="204"/>
      <c r="W326" s="204"/>
      <c r="X326" s="97">
        <v>0</v>
      </c>
      <c r="Y326" s="198">
        <v>0</v>
      </c>
      <c r="Z326" s="98">
        <v>0</v>
      </c>
      <c r="AA326" s="198">
        <v>0</v>
      </c>
      <c r="AB326" s="40"/>
      <c r="AC326" s="43"/>
      <c r="AD326" s="22"/>
    </row>
    <row r="327" spans="1:30" s="23" customFormat="1" x14ac:dyDescent="0.3">
      <c r="A327" s="47"/>
      <c r="B327" s="97" t="s">
        <v>101</v>
      </c>
      <c r="C327" s="40"/>
      <c r="D327" s="204"/>
      <c r="E327" s="204"/>
      <c r="F327" s="204"/>
      <c r="G327" s="204"/>
      <c r="H327" s="204"/>
      <c r="I327" s="204"/>
      <c r="J327" s="204"/>
      <c r="K327" s="204"/>
      <c r="L327" s="204"/>
      <c r="M327" s="204"/>
      <c r="N327" s="204"/>
      <c r="O327" s="204"/>
      <c r="P327" s="204"/>
      <c r="Q327" s="204"/>
      <c r="R327" s="204"/>
      <c r="S327" s="204"/>
      <c r="T327" s="204"/>
      <c r="U327" s="204"/>
      <c r="V327" s="204"/>
      <c r="W327" s="204"/>
      <c r="X327" s="97">
        <v>0</v>
      </c>
      <c r="Y327" s="198">
        <v>0</v>
      </c>
      <c r="Z327" s="98">
        <v>0</v>
      </c>
      <c r="AA327" s="198">
        <v>0</v>
      </c>
      <c r="AB327" s="40"/>
      <c r="AC327" s="43"/>
      <c r="AD327" s="22"/>
    </row>
    <row r="328" spans="1:30" s="23" customFormat="1" x14ac:dyDescent="0.3">
      <c r="A328" s="47"/>
      <c r="B328" s="97" t="s">
        <v>102</v>
      </c>
      <c r="C328" s="40"/>
      <c r="D328" s="204"/>
      <c r="E328" s="204"/>
      <c r="F328" s="204"/>
      <c r="G328" s="204"/>
      <c r="H328" s="204"/>
      <c r="I328" s="204"/>
      <c r="J328" s="204"/>
      <c r="K328" s="204"/>
      <c r="L328" s="204"/>
      <c r="M328" s="204"/>
      <c r="N328" s="204"/>
      <c r="O328" s="204"/>
      <c r="P328" s="204"/>
      <c r="Q328" s="204"/>
      <c r="R328" s="204"/>
      <c r="S328" s="204"/>
      <c r="T328" s="204"/>
      <c r="U328" s="204"/>
      <c r="V328" s="204"/>
      <c r="W328" s="204"/>
      <c r="X328" s="97">
        <v>0</v>
      </c>
      <c r="Y328" s="198">
        <v>0</v>
      </c>
      <c r="Z328" s="98">
        <v>0</v>
      </c>
      <c r="AA328" s="198">
        <v>0</v>
      </c>
      <c r="AB328" s="40"/>
      <c r="AC328" s="43"/>
      <c r="AD328" s="22"/>
    </row>
    <row r="329" spans="1:30" s="23" customFormat="1" x14ac:dyDescent="0.3">
      <c r="A329" s="47"/>
      <c r="B329" s="97" t="s">
        <v>103</v>
      </c>
      <c r="C329" s="40"/>
      <c r="D329" s="204"/>
      <c r="E329" s="204"/>
      <c r="F329" s="204"/>
      <c r="G329" s="204"/>
      <c r="H329" s="204"/>
      <c r="I329" s="204"/>
      <c r="J329" s="204"/>
      <c r="K329" s="204"/>
      <c r="L329" s="204"/>
      <c r="M329" s="204"/>
      <c r="N329" s="204"/>
      <c r="O329" s="204"/>
      <c r="P329" s="204"/>
      <c r="Q329" s="204"/>
      <c r="R329" s="204"/>
      <c r="S329" s="204"/>
      <c r="T329" s="204"/>
      <c r="U329" s="204"/>
      <c r="V329" s="204"/>
      <c r="W329" s="204"/>
      <c r="X329" s="97">
        <v>0</v>
      </c>
      <c r="Y329" s="198">
        <v>0</v>
      </c>
      <c r="Z329" s="98">
        <v>0</v>
      </c>
      <c r="AA329" s="198">
        <v>0</v>
      </c>
      <c r="AB329" s="40"/>
      <c r="AC329" s="43"/>
      <c r="AD329" s="22"/>
    </row>
    <row r="330" spans="1:30" s="23" customFormat="1" x14ac:dyDescent="0.3">
      <c r="A330" s="47"/>
      <c r="B330" s="97" t="s">
        <v>104</v>
      </c>
      <c r="C330" s="40"/>
      <c r="D330" s="204"/>
      <c r="E330" s="204"/>
      <c r="F330" s="204"/>
      <c r="G330" s="204"/>
      <c r="H330" s="204"/>
      <c r="I330" s="204"/>
      <c r="J330" s="204"/>
      <c r="K330" s="204"/>
      <c r="L330" s="204"/>
      <c r="M330" s="204"/>
      <c r="N330" s="204"/>
      <c r="O330" s="204"/>
      <c r="P330" s="204"/>
      <c r="Q330" s="204"/>
      <c r="R330" s="204"/>
      <c r="S330" s="204"/>
      <c r="T330" s="204"/>
      <c r="U330" s="204"/>
      <c r="V330" s="204"/>
      <c r="W330" s="204"/>
      <c r="X330" s="97">
        <v>0</v>
      </c>
      <c r="Y330" s="198">
        <v>0</v>
      </c>
      <c r="Z330" s="98">
        <v>0</v>
      </c>
      <c r="AA330" s="198">
        <v>0</v>
      </c>
      <c r="AB330" s="40"/>
      <c r="AC330" s="43"/>
      <c r="AD330" s="22"/>
    </row>
    <row r="331" spans="1:30" s="23" customFormat="1" x14ac:dyDescent="0.3">
      <c r="A331" s="47"/>
      <c r="B331" s="97"/>
      <c r="C331" s="40"/>
      <c r="D331" s="204"/>
      <c r="E331" s="204"/>
      <c r="F331" s="204"/>
      <c r="G331" s="204"/>
      <c r="H331" s="204"/>
      <c r="I331" s="204"/>
      <c r="J331" s="204"/>
      <c r="K331" s="204"/>
      <c r="L331" s="204"/>
      <c r="M331" s="204"/>
      <c r="N331" s="204"/>
      <c r="O331" s="204"/>
      <c r="P331" s="204"/>
      <c r="Q331" s="204"/>
      <c r="R331" s="204"/>
      <c r="S331" s="204"/>
      <c r="T331" s="204"/>
      <c r="U331" s="204"/>
      <c r="V331" s="204"/>
      <c r="W331" s="204"/>
      <c r="X331" s="97"/>
      <c r="Y331" s="198"/>
      <c r="Z331" s="98"/>
      <c r="AA331" s="198"/>
      <c r="AB331" s="40"/>
      <c r="AC331" s="43"/>
      <c r="AD331" s="22"/>
    </row>
    <row r="332" spans="1:30" s="23" customFormat="1" x14ac:dyDescent="0.3">
      <c r="A332" s="47"/>
      <c r="B332" s="40" t="s">
        <v>80</v>
      </c>
      <c r="C332" s="40"/>
      <c r="D332" s="204"/>
      <c r="E332" s="204"/>
      <c r="F332" s="204"/>
      <c r="G332" s="204"/>
      <c r="H332" s="204"/>
      <c r="I332" s="204"/>
      <c r="J332" s="204"/>
      <c r="K332" s="204"/>
      <c r="L332" s="204"/>
      <c r="M332" s="204"/>
      <c r="N332" s="204"/>
      <c r="O332" s="204"/>
      <c r="P332" s="204"/>
      <c r="Q332" s="204"/>
      <c r="R332" s="204"/>
      <c r="S332" s="204"/>
      <c r="T332" s="204"/>
      <c r="U332" s="204"/>
      <c r="V332" s="204"/>
      <c r="W332" s="204"/>
      <c r="X332" s="97">
        <f>SUM(X323:X330)</f>
        <v>0</v>
      </c>
      <c r="Y332" s="198">
        <f>SUM(Y323:Y330)</f>
        <v>0</v>
      </c>
      <c r="Z332" s="98">
        <f>SUM(Z323:Z330)</f>
        <v>0</v>
      </c>
      <c r="AA332" s="198">
        <f>SUM(AA323:AA330)</f>
        <v>0</v>
      </c>
      <c r="AB332" s="40"/>
      <c r="AC332" s="43"/>
      <c r="AD332" s="22"/>
    </row>
    <row r="333" spans="1:30" s="23" customFormat="1" x14ac:dyDescent="0.3">
      <c r="A333" s="47"/>
      <c r="B333" s="40"/>
      <c r="C333" s="40"/>
      <c r="D333" s="204"/>
      <c r="E333" s="204"/>
      <c r="F333" s="204"/>
      <c r="G333" s="204"/>
      <c r="H333" s="204"/>
      <c r="I333" s="204"/>
      <c r="J333" s="204"/>
      <c r="K333" s="204"/>
      <c r="L333" s="204"/>
      <c r="M333" s="204"/>
      <c r="N333" s="204"/>
      <c r="O333" s="204"/>
      <c r="P333" s="204"/>
      <c r="Q333" s="204"/>
      <c r="R333" s="204"/>
      <c r="S333" s="204"/>
      <c r="T333" s="204"/>
      <c r="U333" s="204"/>
      <c r="V333" s="204"/>
      <c r="W333" s="204"/>
      <c r="X333" s="97"/>
      <c r="Y333" s="198"/>
      <c r="Z333" s="98"/>
      <c r="AA333" s="198"/>
      <c r="AB333" s="40"/>
      <c r="AC333" s="43"/>
      <c r="AD333" s="22"/>
    </row>
    <row r="334" spans="1:30" s="23" customFormat="1" x14ac:dyDescent="0.3">
      <c r="A334" s="47"/>
      <c r="B334" s="44" t="s">
        <v>139</v>
      </c>
      <c r="C334" s="40"/>
      <c r="D334" s="204"/>
      <c r="E334" s="204"/>
      <c r="F334" s="204"/>
      <c r="G334" s="204"/>
      <c r="H334" s="204"/>
      <c r="I334" s="204"/>
      <c r="J334" s="204"/>
      <c r="K334" s="204"/>
      <c r="L334" s="204"/>
      <c r="M334" s="204"/>
      <c r="N334" s="204"/>
      <c r="O334" s="204"/>
      <c r="P334" s="204"/>
      <c r="Q334" s="204"/>
      <c r="R334" s="204"/>
      <c r="S334" s="204"/>
      <c r="T334" s="204"/>
      <c r="U334" s="204"/>
      <c r="V334" s="204"/>
      <c r="W334" s="204"/>
      <c r="X334" s="210">
        <f>X332+X310+X298</f>
        <v>3584</v>
      </c>
      <c r="Y334" s="198"/>
      <c r="Z334" s="211">
        <f>+Z332+Z310+Z298</f>
        <v>672475</v>
      </c>
      <c r="AA334" s="198"/>
      <c r="AB334" s="40"/>
      <c r="AC334" s="43"/>
      <c r="AD334" s="22"/>
    </row>
    <row r="335" spans="1:30" s="23" customFormat="1" x14ac:dyDescent="0.3">
      <c r="A335" s="47"/>
      <c r="B335" s="44" t="s">
        <v>280</v>
      </c>
      <c r="C335" s="44"/>
      <c r="D335" s="212"/>
      <c r="E335" s="212"/>
      <c r="F335" s="212"/>
      <c r="G335" s="212"/>
      <c r="H335" s="212"/>
      <c r="I335" s="212"/>
      <c r="J335" s="212"/>
      <c r="K335" s="212"/>
      <c r="L335" s="212"/>
      <c r="M335" s="212"/>
      <c r="N335" s="212"/>
      <c r="O335" s="212"/>
      <c r="P335" s="212"/>
      <c r="Q335" s="212"/>
      <c r="R335" s="212"/>
      <c r="S335" s="212"/>
      <c r="T335" s="212"/>
      <c r="U335" s="212"/>
      <c r="V335" s="212"/>
      <c r="W335" s="212"/>
      <c r="X335" s="210"/>
      <c r="Y335" s="213"/>
      <c r="Z335" s="211">
        <f>+AB64+AB63</f>
        <v>2</v>
      </c>
      <c r="AA335" s="198"/>
      <c r="AB335" s="40"/>
      <c r="AC335" s="43"/>
      <c r="AD335" s="22"/>
    </row>
    <row r="336" spans="1:30" s="23" customFormat="1" x14ac:dyDescent="0.3">
      <c r="A336" s="47"/>
      <c r="B336" s="44" t="s">
        <v>107</v>
      </c>
      <c r="C336" s="44"/>
      <c r="D336" s="212"/>
      <c r="E336" s="212"/>
      <c r="F336" s="212"/>
      <c r="G336" s="212"/>
      <c r="H336" s="212"/>
      <c r="I336" s="212"/>
      <c r="J336" s="212"/>
      <c r="K336" s="212"/>
      <c r="L336" s="212"/>
      <c r="M336" s="212"/>
      <c r="N336" s="212"/>
      <c r="O336" s="212"/>
      <c r="P336" s="212"/>
      <c r="Q336" s="212"/>
      <c r="R336" s="212"/>
      <c r="S336" s="212"/>
      <c r="T336" s="212"/>
      <c r="U336" s="212"/>
      <c r="V336" s="212"/>
      <c r="W336" s="212"/>
      <c r="X336" s="210"/>
      <c r="Y336" s="213"/>
      <c r="Z336" s="211">
        <f>+Z334+Z335</f>
        <v>672477</v>
      </c>
      <c r="AA336" s="198"/>
      <c r="AB336" s="40"/>
      <c r="AC336" s="43"/>
      <c r="AD336" s="22"/>
    </row>
    <row r="337" spans="1:30" s="23" customFormat="1" x14ac:dyDescent="0.3">
      <c r="A337" s="47"/>
      <c r="B337" s="44" t="s">
        <v>245</v>
      </c>
      <c r="C337" s="40"/>
      <c r="D337" s="204"/>
      <c r="E337" s="204"/>
      <c r="F337" s="204"/>
      <c r="G337" s="204"/>
      <c r="H337" s="204"/>
      <c r="I337" s="204"/>
      <c r="J337" s="204"/>
      <c r="K337" s="204"/>
      <c r="L337" s="204"/>
      <c r="M337" s="204"/>
      <c r="N337" s="204"/>
      <c r="O337" s="204"/>
      <c r="P337" s="204"/>
      <c r="Q337" s="204"/>
      <c r="R337" s="204"/>
      <c r="S337" s="204"/>
      <c r="T337" s="204"/>
      <c r="U337" s="204"/>
      <c r="V337" s="204"/>
      <c r="W337" s="204"/>
      <c r="X337" s="210"/>
      <c r="Y337" s="198"/>
      <c r="Z337" s="211">
        <f>+AB66</f>
        <v>672477</v>
      </c>
      <c r="AA337" s="198"/>
      <c r="AB337" s="40"/>
      <c r="AC337" s="43"/>
      <c r="AD337" s="22"/>
    </row>
    <row r="338" spans="1:30" s="23" customFormat="1" x14ac:dyDescent="0.3">
      <c r="A338" s="47"/>
      <c r="B338" s="44"/>
      <c r="C338" s="40"/>
      <c r="D338" s="204"/>
      <c r="E338" s="204"/>
      <c r="F338" s="204"/>
      <c r="G338" s="204"/>
      <c r="H338" s="204"/>
      <c r="I338" s="204"/>
      <c r="J338" s="204"/>
      <c r="K338" s="204"/>
      <c r="L338" s="204"/>
      <c r="M338" s="204"/>
      <c r="N338" s="204"/>
      <c r="O338" s="204"/>
      <c r="P338" s="204"/>
      <c r="Q338" s="204"/>
      <c r="R338" s="204"/>
      <c r="S338" s="204"/>
      <c r="T338" s="204"/>
      <c r="U338" s="204"/>
      <c r="V338" s="204"/>
      <c r="W338" s="204"/>
      <c r="X338" s="210"/>
      <c r="Y338" s="198"/>
      <c r="Z338" s="211"/>
      <c r="AA338" s="198"/>
      <c r="AB338" s="40"/>
      <c r="AC338" s="43"/>
      <c r="AD338" s="22"/>
    </row>
    <row r="339" spans="1:30" s="23" customFormat="1" x14ac:dyDescent="0.3">
      <c r="A339" s="47"/>
      <c r="B339" s="44" t="s">
        <v>327</v>
      </c>
      <c r="C339" s="40"/>
      <c r="D339" s="204"/>
      <c r="E339" s="204"/>
      <c r="F339" s="204"/>
      <c r="G339" s="204"/>
      <c r="H339" s="204"/>
      <c r="I339" s="204"/>
      <c r="J339" s="204"/>
      <c r="K339" s="204"/>
      <c r="L339" s="204"/>
      <c r="M339" s="204"/>
      <c r="N339" s="204"/>
      <c r="O339" s="204"/>
      <c r="P339" s="204"/>
      <c r="Q339" s="204"/>
      <c r="R339" s="204"/>
      <c r="S339" s="204"/>
      <c r="T339" s="204"/>
      <c r="U339" s="204"/>
      <c r="V339" s="204"/>
      <c r="W339" s="204"/>
      <c r="X339" s="210"/>
      <c r="Y339" s="198"/>
      <c r="Z339" s="236">
        <f>(F31+H31+J31+L31+N31)/AB31</f>
        <v>1</v>
      </c>
      <c r="AA339" s="198"/>
      <c r="AB339" s="40"/>
      <c r="AC339" s="43"/>
      <c r="AD339" s="22"/>
    </row>
    <row r="340" spans="1:30" s="23" customFormat="1" x14ac:dyDescent="0.3">
      <c r="A340" s="18"/>
      <c r="B340" s="20"/>
      <c r="C340" s="20"/>
      <c r="D340" s="214"/>
      <c r="E340" s="214"/>
      <c r="F340" s="214"/>
      <c r="G340" s="214"/>
      <c r="H340" s="214"/>
      <c r="I340" s="214"/>
      <c r="J340" s="214"/>
      <c r="K340" s="214"/>
      <c r="L340" s="214"/>
      <c r="M340" s="214"/>
      <c r="N340" s="214"/>
      <c r="O340" s="214"/>
      <c r="P340" s="214"/>
      <c r="Q340" s="214"/>
      <c r="R340" s="214"/>
      <c r="S340" s="214"/>
      <c r="T340" s="214"/>
      <c r="U340" s="214"/>
      <c r="V340" s="214"/>
      <c r="W340" s="214"/>
      <c r="X340" s="214"/>
      <c r="Y340" s="214"/>
      <c r="Z340" s="215"/>
      <c r="AA340" s="214"/>
      <c r="AB340" s="20"/>
      <c r="AC340" s="21"/>
      <c r="AD340" s="22"/>
    </row>
    <row r="341" spans="1:30" s="23" customFormat="1" x14ac:dyDescent="0.3">
      <c r="A341" s="18"/>
      <c r="B341" s="19" t="s">
        <v>62</v>
      </c>
      <c r="C341" s="20"/>
      <c r="D341" s="216" t="s">
        <v>66</v>
      </c>
      <c r="E341" s="19"/>
      <c r="F341" s="19" t="s">
        <v>67</v>
      </c>
      <c r="G341" s="20"/>
      <c r="H341" s="19"/>
      <c r="I341" s="20"/>
      <c r="J341" s="20"/>
      <c r="K341" s="20"/>
      <c r="L341" s="20"/>
      <c r="M341" s="20"/>
      <c r="N341" s="20"/>
      <c r="O341" s="20"/>
      <c r="P341" s="20"/>
      <c r="Q341" s="20"/>
      <c r="R341" s="20"/>
      <c r="S341" s="20"/>
      <c r="T341" s="20"/>
      <c r="U341" s="20"/>
      <c r="V341" s="20"/>
      <c r="W341" s="20"/>
      <c r="X341" s="20"/>
      <c r="Y341" s="20"/>
      <c r="Z341" s="20"/>
      <c r="AA341" s="20"/>
      <c r="AB341" s="20"/>
      <c r="AC341" s="21"/>
      <c r="AD341" s="22"/>
    </row>
    <row r="342" spans="1:30" s="23" customFormat="1" x14ac:dyDescent="0.3">
      <c r="A342" s="18"/>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1"/>
      <c r="AD342" s="22"/>
    </row>
    <row r="343" spans="1:30" s="23" customFormat="1" x14ac:dyDescent="0.3">
      <c r="A343" s="18"/>
      <c r="B343" s="19" t="s">
        <v>152</v>
      </c>
      <c r="C343" s="19"/>
      <c r="D343" s="217" t="s">
        <v>122</v>
      </c>
      <c r="E343" s="19"/>
      <c r="F343" s="19" t="s">
        <v>169</v>
      </c>
      <c r="G343" s="19"/>
      <c r="H343" s="19"/>
      <c r="I343" s="20"/>
      <c r="J343" s="20"/>
      <c r="K343" s="20"/>
      <c r="L343" s="20"/>
      <c r="M343" s="20"/>
      <c r="N343" s="20"/>
      <c r="O343" s="20"/>
      <c r="P343" s="20"/>
      <c r="Q343" s="20"/>
      <c r="R343" s="20"/>
      <c r="S343" s="20"/>
      <c r="T343" s="20"/>
      <c r="U343" s="20"/>
      <c r="V343" s="20"/>
      <c r="W343" s="20"/>
      <c r="X343" s="20"/>
      <c r="Y343" s="20"/>
      <c r="Z343" s="20"/>
      <c r="AA343" s="20"/>
      <c r="AB343" s="20"/>
      <c r="AC343" s="21"/>
      <c r="AD343" s="22"/>
    </row>
    <row r="344" spans="1:30" s="23" customFormat="1" x14ac:dyDescent="0.3">
      <c r="A344" s="18"/>
      <c r="B344" s="19" t="s">
        <v>153</v>
      </c>
      <c r="C344" s="19"/>
      <c r="D344" s="217" t="s">
        <v>98</v>
      </c>
      <c r="E344" s="19"/>
      <c r="F344" s="19" t="s">
        <v>170</v>
      </c>
      <c r="G344" s="19"/>
      <c r="H344" s="19"/>
      <c r="I344" s="20"/>
      <c r="J344" s="20"/>
      <c r="K344" s="20"/>
      <c r="L344" s="20"/>
      <c r="M344" s="20"/>
      <c r="N344" s="20"/>
      <c r="O344" s="20"/>
      <c r="P344" s="20"/>
      <c r="Q344" s="20"/>
      <c r="R344" s="20"/>
      <c r="S344" s="20"/>
      <c r="T344" s="20"/>
      <c r="U344" s="20"/>
      <c r="V344" s="20"/>
      <c r="W344" s="20"/>
      <c r="X344" s="20"/>
      <c r="Y344" s="20"/>
      <c r="Z344" s="20"/>
      <c r="AA344" s="20"/>
      <c r="AB344" s="20"/>
      <c r="AC344" s="21"/>
      <c r="AD344" s="22"/>
    </row>
    <row r="345" spans="1:30" s="23" customFormat="1" x14ac:dyDescent="0.3">
      <c r="A345" s="18"/>
      <c r="B345" s="19"/>
      <c r="C345" s="19"/>
      <c r="D345" s="217"/>
      <c r="E345" s="19"/>
      <c r="F345" s="19"/>
      <c r="G345" s="19"/>
      <c r="H345" s="19"/>
      <c r="I345" s="20"/>
      <c r="J345" s="20"/>
      <c r="K345" s="20"/>
      <c r="L345" s="20"/>
      <c r="M345" s="20"/>
      <c r="N345" s="20"/>
      <c r="O345" s="20"/>
      <c r="P345" s="20"/>
      <c r="Q345" s="20"/>
      <c r="R345" s="20"/>
      <c r="S345" s="20"/>
      <c r="T345" s="20"/>
      <c r="U345" s="20"/>
      <c r="V345" s="20"/>
      <c r="W345" s="20"/>
      <c r="X345" s="20"/>
      <c r="Y345" s="20"/>
      <c r="Z345" s="20"/>
      <c r="AA345" s="20"/>
      <c r="AB345" s="20"/>
      <c r="AC345" s="21"/>
      <c r="AD345" s="22"/>
    </row>
    <row r="346" spans="1:30" ht="18" x14ac:dyDescent="0.35">
      <c r="A346" s="218"/>
      <c r="B346" s="259" t="s">
        <v>109</v>
      </c>
      <c r="C346" s="219"/>
      <c r="D346" s="220"/>
      <c r="E346" s="220"/>
      <c r="F346" s="220"/>
      <c r="G346" s="220"/>
      <c r="H346" s="220"/>
      <c r="I346" s="220"/>
      <c r="J346" s="220"/>
      <c r="K346" s="220"/>
      <c r="L346" s="220"/>
      <c r="M346" s="220"/>
      <c r="N346" s="220"/>
      <c r="O346" s="220"/>
      <c r="P346" s="260" t="s">
        <v>168</v>
      </c>
      <c r="Q346" s="220"/>
      <c r="R346" s="220"/>
      <c r="S346" s="220"/>
      <c r="T346" s="220"/>
      <c r="U346" s="220"/>
      <c r="V346" s="220"/>
      <c r="W346" s="220"/>
      <c r="X346" s="220"/>
      <c r="Y346" s="220"/>
      <c r="Z346" s="220"/>
      <c r="AA346" s="220"/>
      <c r="AB346" s="220"/>
      <c r="AC346" s="221"/>
      <c r="AD346" s="5"/>
    </row>
    <row r="347" spans="1:30" ht="18" x14ac:dyDescent="0.35">
      <c r="A347" s="218"/>
      <c r="B347" s="259"/>
      <c r="C347" s="219"/>
      <c r="D347" s="220"/>
      <c r="E347" s="220"/>
      <c r="F347" s="220"/>
      <c r="G347" s="220"/>
      <c r="H347" s="220"/>
      <c r="I347" s="220"/>
      <c r="J347" s="220"/>
      <c r="K347" s="220"/>
      <c r="L347" s="220"/>
      <c r="M347" s="220"/>
      <c r="N347" s="220"/>
      <c r="O347" s="220"/>
      <c r="P347" s="260"/>
      <c r="Q347" s="220"/>
      <c r="R347" s="220"/>
      <c r="S347" s="220"/>
      <c r="T347" s="220"/>
      <c r="U347" s="220"/>
      <c r="V347" s="220"/>
      <c r="W347" s="220"/>
      <c r="X347" s="220"/>
      <c r="Y347" s="220"/>
      <c r="Z347" s="220"/>
      <c r="AA347" s="220"/>
      <c r="AB347" s="220"/>
      <c r="AC347" s="221"/>
      <c r="AD347" s="5"/>
    </row>
    <row r="348" spans="1:30" ht="18.600000000000001" thickBot="1" x14ac:dyDescent="0.4">
      <c r="A348" s="218"/>
      <c r="B348" s="222" t="str">
        <f>B234</f>
        <v>PM27 INVESTOR REPORT QUARTER ENDING JUNE 2022</v>
      </c>
      <c r="C348" s="219"/>
      <c r="D348" s="220"/>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c r="AA348" s="220"/>
      <c r="AB348" s="220"/>
      <c r="AC348" s="223"/>
      <c r="AD348" s="5"/>
    </row>
    <row r="349" spans="1:30" x14ac:dyDescent="0.3">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c r="Y349" s="224"/>
      <c r="Z349" s="224"/>
      <c r="AA349" s="224"/>
      <c r="AB349" s="224"/>
      <c r="AC349" s="224"/>
    </row>
    <row r="350" spans="1:30" x14ac:dyDescent="0.3">
      <c r="B350" s="278" t="s">
        <v>351</v>
      </c>
    </row>
    <row r="351" spans="1:30" x14ac:dyDescent="0.3">
      <c r="B351" s="270" t="s">
        <v>352</v>
      </c>
    </row>
    <row r="352" spans="1:30" x14ac:dyDescent="0.3">
      <c r="B352" s="298" t="s">
        <v>353</v>
      </c>
    </row>
  </sheetData>
  <hyperlinks>
    <hyperlink ref="K9" r:id="rId1" display="http://www.paragon-group.co.uk" xr:uid="{5908C135-D6F6-414F-BBB3-046AD5F38FF2}"/>
    <hyperlink ref="P346" r:id="rId2" xr:uid="{BB76328F-708C-4CE4-8E1F-D2B0979A3FD0}"/>
    <hyperlink ref="P274" r:id="rId3" xr:uid="{24B3B5B6-55A3-4602-889B-D7D7F35ACFC5}"/>
    <hyperlink ref="B352" r:id="rId4" display="https://investorreporting.paragonbankinggroup.co.uk/bondinvestor_viewer/resources/bondinvestor/pdf/investornews/2021/libor-mortgages-transition-july-19" xr:uid="{221998CA-1D3E-4893-B419-DBDEE41F4499}"/>
  </hyperlinks>
  <printOptions horizontalCentered="1" verticalCentered="1"/>
  <pageMargins left="0.19685039370078741" right="0.19685039370078741" top="0.27559055118110237" bottom="0.27559055118110237" header="0" footer="0"/>
  <pageSetup scale="33" orientation="landscape" r:id="rId5"/>
  <headerFooter alignWithMargins="0"/>
  <rowBreaks count="3" manualBreakCount="3">
    <brk id="53" max="18" man="1"/>
    <brk id="131" max="18" man="1"/>
    <brk id="234" max="18" man="1"/>
  </rowBreaks>
  <colBreaks count="1" manualBreakCount="1">
    <brk id="29" max="299" man="1"/>
  </colBreaks>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80</vt:i4>
      </vt:variant>
    </vt:vector>
  </HeadingPairs>
  <TitlesOfParts>
    <vt:vector size="96" baseType="lpstr">
      <vt:lpstr>June 20</vt:lpstr>
      <vt:lpstr>September 2020</vt:lpstr>
      <vt:lpstr>December 2020</vt:lpstr>
      <vt:lpstr>March 2021</vt:lpstr>
      <vt:lpstr>June 2021</vt:lpstr>
      <vt:lpstr>September 2021</vt:lpstr>
      <vt:lpstr>December 2021</vt:lpstr>
      <vt:lpstr>March 2022</vt:lpstr>
      <vt:lpstr>June 2022</vt:lpstr>
      <vt:lpstr>September 2022</vt:lpstr>
      <vt:lpstr>December 2022</vt:lpstr>
      <vt:lpstr>March 2023</vt:lpstr>
      <vt:lpstr>June 2023</vt:lpstr>
      <vt:lpstr>September 2023</vt:lpstr>
      <vt:lpstr>December 2023</vt:lpstr>
      <vt:lpstr>March 2024</vt:lpstr>
      <vt:lpstr>'December 2020'!_1PAGE_1</vt:lpstr>
      <vt:lpstr>'December 2021'!_1PAGE_1</vt:lpstr>
      <vt:lpstr>'December 2022'!_1PAGE_1</vt:lpstr>
      <vt:lpstr>'December 2023'!_1PAGE_1</vt:lpstr>
      <vt:lpstr>'June 20'!_1PAGE_1</vt:lpstr>
      <vt:lpstr>'June 2021'!_1PAGE_1</vt:lpstr>
      <vt:lpstr>'June 2022'!_1PAGE_1</vt:lpstr>
      <vt:lpstr>'June 2023'!_1PAGE_1</vt:lpstr>
      <vt:lpstr>'March 2021'!_1PAGE_1</vt:lpstr>
      <vt:lpstr>'March 2022'!_1PAGE_1</vt:lpstr>
      <vt:lpstr>'March 2023'!_1PAGE_1</vt:lpstr>
      <vt:lpstr>'March 2024'!_1PAGE_1</vt:lpstr>
      <vt:lpstr>'September 2020'!_1PAGE_1</vt:lpstr>
      <vt:lpstr>'September 2021'!_1PAGE_1</vt:lpstr>
      <vt:lpstr>'September 2022'!_1PAGE_1</vt:lpstr>
      <vt:lpstr>'September 2023'!_1PAGE_1</vt:lpstr>
      <vt:lpstr>'December 2020'!_3PAGE_2</vt:lpstr>
      <vt:lpstr>'December 2021'!_3PAGE_2</vt:lpstr>
      <vt:lpstr>'December 2022'!_3PAGE_2</vt:lpstr>
      <vt:lpstr>'December 2023'!_3PAGE_2</vt:lpstr>
      <vt:lpstr>'June 20'!_3PAGE_2</vt:lpstr>
      <vt:lpstr>'June 2021'!_3PAGE_2</vt:lpstr>
      <vt:lpstr>'June 2022'!_3PAGE_2</vt:lpstr>
      <vt:lpstr>'June 2023'!_3PAGE_2</vt:lpstr>
      <vt:lpstr>'March 2021'!_3PAGE_2</vt:lpstr>
      <vt:lpstr>'March 2022'!_3PAGE_2</vt:lpstr>
      <vt:lpstr>'March 2023'!_3PAGE_2</vt:lpstr>
      <vt:lpstr>'March 2024'!_3PAGE_2</vt:lpstr>
      <vt:lpstr>'September 2020'!_3PAGE_2</vt:lpstr>
      <vt:lpstr>'September 2021'!_3PAGE_2</vt:lpstr>
      <vt:lpstr>'September 2022'!_3PAGE_2</vt:lpstr>
      <vt:lpstr>'September 2023'!_3PAGE_2</vt:lpstr>
      <vt:lpstr>'December 2020'!_5PAGE_3</vt:lpstr>
      <vt:lpstr>'December 2021'!_5PAGE_3</vt:lpstr>
      <vt:lpstr>'December 2022'!_5PAGE_3</vt:lpstr>
      <vt:lpstr>'December 2023'!_5PAGE_3</vt:lpstr>
      <vt:lpstr>'June 20'!_5PAGE_3</vt:lpstr>
      <vt:lpstr>'June 2021'!_5PAGE_3</vt:lpstr>
      <vt:lpstr>'June 2022'!_5PAGE_3</vt:lpstr>
      <vt:lpstr>'June 2023'!_5PAGE_3</vt:lpstr>
      <vt:lpstr>'March 2021'!_5PAGE_3</vt:lpstr>
      <vt:lpstr>'March 2022'!_5PAGE_3</vt:lpstr>
      <vt:lpstr>'March 2023'!_5PAGE_3</vt:lpstr>
      <vt:lpstr>'March 2024'!_5PAGE_3</vt:lpstr>
      <vt:lpstr>'September 2020'!_5PAGE_3</vt:lpstr>
      <vt:lpstr>'September 2021'!_5PAGE_3</vt:lpstr>
      <vt:lpstr>'September 2022'!_5PAGE_3</vt:lpstr>
      <vt:lpstr>'September 2023'!_5PAGE_3</vt:lpstr>
      <vt:lpstr>'December 2020'!_7PAGE_4</vt:lpstr>
      <vt:lpstr>'December 2021'!_7PAGE_4</vt:lpstr>
      <vt:lpstr>'December 2022'!_7PAGE_4</vt:lpstr>
      <vt:lpstr>'December 2023'!_7PAGE_4</vt:lpstr>
      <vt:lpstr>'June 20'!_7PAGE_4</vt:lpstr>
      <vt:lpstr>'June 2021'!_7PAGE_4</vt:lpstr>
      <vt:lpstr>'June 2022'!_7PAGE_4</vt:lpstr>
      <vt:lpstr>'June 2023'!_7PAGE_4</vt:lpstr>
      <vt:lpstr>'March 2021'!_7PAGE_4</vt:lpstr>
      <vt:lpstr>'March 2022'!_7PAGE_4</vt:lpstr>
      <vt:lpstr>'March 2023'!_7PAGE_4</vt:lpstr>
      <vt:lpstr>'March 2024'!_7PAGE_4</vt:lpstr>
      <vt:lpstr>'September 2020'!_7PAGE_4</vt:lpstr>
      <vt:lpstr>'September 2021'!_7PAGE_4</vt:lpstr>
      <vt:lpstr>'September 2022'!_7PAGE_4</vt:lpstr>
      <vt:lpstr>'September 2023'!_7PAGE_4</vt:lpstr>
      <vt:lpstr>'December 2020'!Print_Area</vt:lpstr>
      <vt:lpstr>'December 2021'!Print_Area</vt:lpstr>
      <vt:lpstr>'December 2022'!Print_Area</vt:lpstr>
      <vt:lpstr>'December 2023'!Print_Area</vt:lpstr>
      <vt:lpstr>'June 20'!Print_Area</vt:lpstr>
      <vt:lpstr>'June 2021'!Print_Area</vt:lpstr>
      <vt:lpstr>'June 2022'!Print_Area</vt:lpstr>
      <vt:lpstr>'June 2023'!Print_Area</vt:lpstr>
      <vt:lpstr>'March 2021'!Print_Area</vt:lpstr>
      <vt:lpstr>'March 2022'!Print_Area</vt:lpstr>
      <vt:lpstr>'March 2023'!Print_Area</vt:lpstr>
      <vt:lpstr>'March 2024'!Print_Area</vt:lpstr>
      <vt:lpstr>'September 2020'!Print_Area</vt:lpstr>
      <vt:lpstr>'September 2021'!Print_Area</vt:lpstr>
      <vt:lpstr>'September 2022'!Print_Area</vt:lpstr>
      <vt:lpstr>'September 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Dowler</dc:creator>
  <cp:lastModifiedBy>Andrew Kitching</cp:lastModifiedBy>
  <cp:lastPrinted>2019-11-26T09:11:43Z</cp:lastPrinted>
  <dcterms:created xsi:type="dcterms:W3CDTF">2003-11-18T07:58:35Z</dcterms:created>
  <dcterms:modified xsi:type="dcterms:W3CDTF">2024-04-15T08:46:16Z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tention Period">
    <vt:lpwstr>Keep</vt:lpwstr>
  </property>
</Properties>
</file>