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N:\JPG\Investor Reporting\Paragon Finance\PM26\"/>
    </mc:Choice>
  </mc:AlternateContent>
  <xr:revisionPtr revIDLastSave="0" documentId="13_ncr:1_{E8517B0D-B001-48DD-8900-B367E35C55EF}" xr6:coauthVersionLast="47" xr6:coauthVersionMax="47" xr10:uidLastSave="{00000000-0000-0000-0000-000000000000}"/>
  <bookViews>
    <workbookView xWindow="20052" yWindow="-108" windowWidth="20376" windowHeight="12216" firstSheet="10" activeTab="17" xr2:uid="{00000000-000D-0000-FFFF-FFFF00000000}"/>
  </bookViews>
  <sheets>
    <sheet name="October 19" sheetId="18" r:id="rId1"/>
    <sheet name="January 20" sheetId="19" r:id="rId2"/>
    <sheet name="April 20" sheetId="20" r:id="rId3"/>
    <sheet name="July 20" sheetId="21" r:id="rId4"/>
    <sheet name="October 20" sheetId="22" r:id="rId5"/>
    <sheet name="January 21" sheetId="23" r:id="rId6"/>
    <sheet name="April 21" sheetId="24" r:id="rId7"/>
    <sheet name="July 21" sheetId="25" r:id="rId8"/>
    <sheet name="October 21" sheetId="26" r:id="rId9"/>
    <sheet name="January 22" sheetId="27" r:id="rId10"/>
    <sheet name="April 22" sheetId="28" r:id="rId11"/>
    <sheet name="July 22" sheetId="29" r:id="rId12"/>
    <sheet name="October 22" sheetId="30" r:id="rId13"/>
    <sheet name="January 23" sheetId="31" r:id="rId14"/>
    <sheet name="April 23" sheetId="32" r:id="rId15"/>
    <sheet name="July 23" sheetId="33" r:id="rId16"/>
    <sheet name="October 23" sheetId="34" r:id="rId17"/>
    <sheet name="January 24" sheetId="35" r:id="rId18"/>
  </sheets>
  <definedNames>
    <definedName name="_1PAGE_1" localSheetId="2">'April 20'!$A$1:$AC$54</definedName>
    <definedName name="_1PAGE_1" localSheetId="6">'April 21'!$A$1:$AC$54</definedName>
    <definedName name="_1PAGE_1" localSheetId="10">'April 22'!$A$1:$AC$54</definedName>
    <definedName name="_1PAGE_1" localSheetId="14">'April 23'!$A$1:$AC$54</definedName>
    <definedName name="_1PAGE_1" localSheetId="1">'January 20'!$A$1:$AC$54</definedName>
    <definedName name="_1PAGE_1" localSheetId="5">'January 21'!$A$1:$AC$54</definedName>
    <definedName name="_1PAGE_1" localSheetId="9">'January 22'!$A$1:$AC$54</definedName>
    <definedName name="_1PAGE_1" localSheetId="13">'January 23'!$A$1:$AC$54</definedName>
    <definedName name="_1PAGE_1" localSheetId="17">'January 24'!$A$1:$AC$54</definedName>
    <definedName name="_1PAGE_1" localSheetId="3">'July 20'!$A$1:$AC$54</definedName>
    <definedName name="_1PAGE_1" localSheetId="7">'July 21'!$A$1:$AC$54</definedName>
    <definedName name="_1PAGE_1" localSheetId="11">'July 22'!$A$1:$AC$54</definedName>
    <definedName name="_1PAGE_1" localSheetId="15">'July 23'!$A$1:$AC$54</definedName>
    <definedName name="_1PAGE_1" localSheetId="0">'October 19'!$A$1:$AC$54</definedName>
    <definedName name="_1PAGE_1" localSheetId="4">'October 20'!$A$1:$AC$54</definedName>
    <definedName name="_1PAGE_1" localSheetId="8">'October 21'!$A$1:$AC$54</definedName>
    <definedName name="_1PAGE_1" localSheetId="12">'October 22'!$A$1:$AC$54</definedName>
    <definedName name="_1PAGE_1" localSheetId="16">'October 23'!$A$1:$AC$54</definedName>
    <definedName name="_2PAGE_1" localSheetId="2">#REF!</definedName>
    <definedName name="_2PAGE_1" localSheetId="6">#REF!</definedName>
    <definedName name="_2PAGE_1" localSheetId="10">#REF!</definedName>
    <definedName name="_2PAGE_1" localSheetId="14">#REF!</definedName>
    <definedName name="_2PAGE_1" localSheetId="1">#REF!</definedName>
    <definedName name="_2PAGE_1" localSheetId="5">#REF!</definedName>
    <definedName name="_2PAGE_1" localSheetId="9">#REF!</definedName>
    <definedName name="_2PAGE_1" localSheetId="13">#REF!</definedName>
    <definedName name="_2PAGE_1" localSheetId="17">#REF!</definedName>
    <definedName name="_2PAGE_1" localSheetId="3">#REF!</definedName>
    <definedName name="_2PAGE_1" localSheetId="7">#REF!</definedName>
    <definedName name="_2PAGE_1" localSheetId="11">#REF!</definedName>
    <definedName name="_2PAGE_1" localSheetId="15">#REF!</definedName>
    <definedName name="_2PAGE_1" localSheetId="0">#REF!</definedName>
    <definedName name="_2PAGE_1" localSheetId="4">#REF!</definedName>
    <definedName name="_2PAGE_1" localSheetId="8">#REF!</definedName>
    <definedName name="_2PAGE_1" localSheetId="12">#REF!</definedName>
    <definedName name="_2PAGE_1" localSheetId="16">#REF!</definedName>
    <definedName name="_2PAGE_1">#REF!</definedName>
    <definedName name="_3PAGE_2" localSheetId="2">'April 20'!$A$55:$AC$134</definedName>
    <definedName name="_3PAGE_2" localSheetId="6">'April 21'!$A$55:$AC$134</definedName>
    <definedName name="_3PAGE_2" localSheetId="10">'April 22'!$A$55:$AC$134</definedName>
    <definedName name="_3PAGE_2" localSheetId="14">'April 23'!$A$55:$AC$134</definedName>
    <definedName name="_3PAGE_2" localSheetId="1">'January 20'!$A$55:$AC$134</definedName>
    <definedName name="_3PAGE_2" localSheetId="5">'January 21'!$A$55:$AC$134</definedName>
    <definedName name="_3PAGE_2" localSheetId="9">'January 22'!$A$55:$AC$134</definedName>
    <definedName name="_3PAGE_2" localSheetId="13">'January 23'!$A$55:$AC$134</definedName>
    <definedName name="_3PAGE_2" localSheetId="17">'January 24'!$A$55:$AC$134</definedName>
    <definedName name="_3PAGE_2" localSheetId="3">'July 20'!$A$55:$AC$134</definedName>
    <definedName name="_3PAGE_2" localSheetId="7">'July 21'!$A$55:$AC$134</definedName>
    <definedName name="_3PAGE_2" localSheetId="11">'July 22'!$A$55:$AC$134</definedName>
    <definedName name="_3PAGE_2" localSheetId="15">'July 23'!$A$55:$AC$134</definedName>
    <definedName name="_3PAGE_2" localSheetId="0">'October 19'!$A$55:$AC$134</definedName>
    <definedName name="_3PAGE_2" localSheetId="4">'October 20'!$A$55:$AC$134</definedName>
    <definedName name="_3PAGE_2" localSheetId="8">'October 21'!$A$55:$AC$134</definedName>
    <definedName name="_3PAGE_2" localSheetId="12">'October 22'!$A$55:$AC$134</definedName>
    <definedName name="_3PAGE_2" localSheetId="16">'October 23'!$A$55:$AC$134</definedName>
    <definedName name="_4PAGE_2" localSheetId="2">#REF!</definedName>
    <definedName name="_4PAGE_2" localSheetId="6">#REF!</definedName>
    <definedName name="_4PAGE_2" localSheetId="10">#REF!</definedName>
    <definedName name="_4PAGE_2" localSheetId="14">#REF!</definedName>
    <definedName name="_4PAGE_2" localSheetId="1">#REF!</definedName>
    <definedName name="_4PAGE_2" localSheetId="5">#REF!</definedName>
    <definedName name="_4PAGE_2" localSheetId="9">#REF!</definedName>
    <definedName name="_4PAGE_2" localSheetId="13">#REF!</definedName>
    <definedName name="_4PAGE_2" localSheetId="17">#REF!</definedName>
    <definedName name="_4PAGE_2" localSheetId="3">#REF!</definedName>
    <definedName name="_4PAGE_2" localSheetId="7">#REF!</definedName>
    <definedName name="_4PAGE_2" localSheetId="11">#REF!</definedName>
    <definedName name="_4PAGE_2" localSheetId="15">#REF!</definedName>
    <definedName name="_4PAGE_2" localSheetId="0">#REF!</definedName>
    <definedName name="_4PAGE_2" localSheetId="4">#REF!</definedName>
    <definedName name="_4PAGE_2" localSheetId="8">#REF!</definedName>
    <definedName name="_4PAGE_2" localSheetId="12">#REF!</definedName>
    <definedName name="_4PAGE_2" localSheetId="16">#REF!</definedName>
    <definedName name="_4PAGE_2">#REF!</definedName>
    <definedName name="_5PAGE_3" localSheetId="2">'April 20'!$A$135:$AC$237</definedName>
    <definedName name="_5PAGE_3" localSheetId="6">'April 21'!$A$135:$AC$237</definedName>
    <definedName name="_5PAGE_3" localSheetId="10">'April 22'!$A$135:$AC$237</definedName>
    <definedName name="_5PAGE_3" localSheetId="14">'April 23'!$A$135:$AC$238</definedName>
    <definedName name="_5PAGE_3" localSheetId="1">'January 20'!$A$135:$AC$237</definedName>
    <definedName name="_5PAGE_3" localSheetId="5">'January 21'!$A$135:$AC$237</definedName>
    <definedName name="_5PAGE_3" localSheetId="9">'January 22'!$A$135:$AC$237</definedName>
    <definedName name="_5PAGE_3" localSheetId="13">'January 23'!$A$135:$AC$238</definedName>
    <definedName name="_5PAGE_3" localSheetId="17">'January 24'!$A$135:$AC$238</definedName>
    <definedName name="_5PAGE_3" localSheetId="3">'July 20'!$A$135:$AC$237</definedName>
    <definedName name="_5PAGE_3" localSheetId="7">'July 21'!$A$135:$AC$237</definedName>
    <definedName name="_5PAGE_3" localSheetId="11">'July 22'!$A$135:$AC$237</definedName>
    <definedName name="_5PAGE_3" localSheetId="15">'July 23'!$A$135:$AC$238</definedName>
    <definedName name="_5PAGE_3" localSheetId="0">'October 19'!$A$135:$AC$237</definedName>
    <definedName name="_5PAGE_3" localSheetId="4">'October 20'!$A$135:$AC$237</definedName>
    <definedName name="_5PAGE_3" localSheetId="8">'October 21'!$A$135:$AC$237</definedName>
    <definedName name="_5PAGE_3" localSheetId="12">'October 22'!$A$135:$AC$238</definedName>
    <definedName name="_5PAGE_3" localSheetId="16">'October 23'!$A$135:$AC$238</definedName>
    <definedName name="_6PAGE_3" localSheetId="2">#REF!</definedName>
    <definedName name="_6PAGE_3" localSheetId="6">#REF!</definedName>
    <definedName name="_6PAGE_3" localSheetId="10">#REF!</definedName>
    <definedName name="_6PAGE_3" localSheetId="14">#REF!</definedName>
    <definedName name="_6PAGE_3" localSheetId="1">#REF!</definedName>
    <definedName name="_6PAGE_3" localSheetId="5">#REF!</definedName>
    <definedName name="_6PAGE_3" localSheetId="9">#REF!</definedName>
    <definedName name="_6PAGE_3" localSheetId="13">#REF!</definedName>
    <definedName name="_6PAGE_3" localSheetId="17">#REF!</definedName>
    <definedName name="_6PAGE_3" localSheetId="3">#REF!</definedName>
    <definedName name="_6PAGE_3" localSheetId="7">#REF!</definedName>
    <definedName name="_6PAGE_3" localSheetId="11">#REF!</definedName>
    <definedName name="_6PAGE_3" localSheetId="15">#REF!</definedName>
    <definedName name="_6PAGE_3" localSheetId="0">#REF!</definedName>
    <definedName name="_6PAGE_3" localSheetId="4">#REF!</definedName>
    <definedName name="_6PAGE_3" localSheetId="8">#REF!</definedName>
    <definedName name="_6PAGE_3" localSheetId="12">#REF!</definedName>
    <definedName name="_6PAGE_3" localSheetId="16">#REF!</definedName>
    <definedName name="_6PAGE_3">#REF!</definedName>
    <definedName name="_7PAGE_4" localSheetId="2">'April 20'!$A$238:$AC$366</definedName>
    <definedName name="_7PAGE_4" localSheetId="6">'April 21'!$A$238:$AC$368</definedName>
    <definedName name="_7PAGE_4" localSheetId="10">'April 22'!$A$238:$AC$351</definedName>
    <definedName name="_7PAGE_4" localSheetId="14">'April 23'!$A$239:$AC$352</definedName>
    <definedName name="_7PAGE_4" localSheetId="1">'January 20'!$A$238:$AC$340</definedName>
    <definedName name="_7PAGE_4" localSheetId="5">'January 21'!$A$238:$AC$368</definedName>
    <definedName name="_7PAGE_4" localSheetId="9">'January 22'!$A$238:$AC$351</definedName>
    <definedName name="_7PAGE_4" localSheetId="13">'January 23'!$A$239:$AC$352</definedName>
    <definedName name="_7PAGE_4" localSheetId="17">'January 24'!$A$239:$AC$352</definedName>
    <definedName name="_7PAGE_4" localSheetId="3">'July 20'!$A$238:$AC$368</definedName>
    <definedName name="_7PAGE_4" localSheetId="7">'July 21'!$A$238:$AC$368</definedName>
    <definedName name="_7PAGE_4" localSheetId="11">'July 22'!$A$238:$AC$351</definedName>
    <definedName name="_7PAGE_4" localSheetId="15">'July 23'!$A$239:$AC$352</definedName>
    <definedName name="_7PAGE_4" localSheetId="0">'October 19'!$A$238:$AC$340</definedName>
    <definedName name="_7PAGE_4" localSheetId="4">'October 20'!$A$238:$AC$368</definedName>
    <definedName name="_7PAGE_4" localSheetId="8">'October 21'!$A$238:$AC$351</definedName>
    <definedName name="_7PAGE_4" localSheetId="12">'October 22'!$A$239:$AC$352</definedName>
    <definedName name="_7PAGE_4" localSheetId="16">'October 23'!$A$239:$AC$352</definedName>
    <definedName name="_8PAGE_4" localSheetId="2">#REF!</definedName>
    <definedName name="_8PAGE_4" localSheetId="6">#REF!</definedName>
    <definedName name="_8PAGE_4" localSheetId="10">#REF!</definedName>
    <definedName name="_8PAGE_4" localSheetId="14">#REF!</definedName>
    <definedName name="_8PAGE_4" localSheetId="1">#REF!</definedName>
    <definedName name="_8PAGE_4" localSheetId="5">#REF!</definedName>
    <definedName name="_8PAGE_4" localSheetId="9">#REF!</definedName>
    <definedName name="_8PAGE_4" localSheetId="13">#REF!</definedName>
    <definedName name="_8PAGE_4" localSheetId="17">#REF!</definedName>
    <definedName name="_8PAGE_4" localSheetId="3">#REF!</definedName>
    <definedName name="_8PAGE_4" localSheetId="7">#REF!</definedName>
    <definedName name="_8PAGE_4" localSheetId="11">#REF!</definedName>
    <definedName name="_8PAGE_4" localSheetId="15">#REF!</definedName>
    <definedName name="_8PAGE_4" localSheetId="0">#REF!</definedName>
    <definedName name="_8PAGE_4" localSheetId="4">#REF!</definedName>
    <definedName name="_8PAGE_4" localSheetId="8">#REF!</definedName>
    <definedName name="_8PAGE_4" localSheetId="12">#REF!</definedName>
    <definedName name="_8PAGE_4" localSheetId="16">#REF!</definedName>
    <definedName name="_8PAGE_4">#REF!</definedName>
    <definedName name="_xlnm.Print_Area" localSheetId="2">'April 20'!$A$1:$AC$367</definedName>
    <definedName name="_xlnm.Print_Area" localSheetId="6">'April 21'!$A$1:$AC$369</definedName>
    <definedName name="_xlnm.Print_Area" localSheetId="10">'April 22'!$A$1:$AC$352</definedName>
    <definedName name="_xlnm.Print_Area" localSheetId="14">'April 23'!$A$1:$AC$353</definedName>
    <definedName name="_xlnm.Print_Area" localSheetId="1">'January 20'!$A$1:$AC$341</definedName>
    <definedName name="_xlnm.Print_Area" localSheetId="5">'January 21'!$A$1:$AC$369</definedName>
    <definedName name="_xlnm.Print_Area" localSheetId="9">'January 22'!$A$1:$AC$352</definedName>
    <definedName name="_xlnm.Print_Area" localSheetId="13">'January 23'!$A$1:$AC$353</definedName>
    <definedName name="_xlnm.Print_Area" localSheetId="17">'January 24'!$A$1:$AC$353</definedName>
    <definedName name="_xlnm.Print_Area" localSheetId="3">'July 20'!$A$1:$AC$369</definedName>
    <definedName name="_xlnm.Print_Area" localSheetId="7">'July 21'!$A$1:$AC$369</definedName>
    <definedName name="_xlnm.Print_Area" localSheetId="11">'July 22'!$A$1:$AC$352</definedName>
    <definedName name="_xlnm.Print_Area" localSheetId="15">'July 23'!$A$1:$AC$353</definedName>
    <definedName name="_xlnm.Print_Area" localSheetId="0">'October 19'!$A$1:$AC$341</definedName>
    <definedName name="_xlnm.Print_Area" localSheetId="4">'October 20'!$A$1:$AC$369</definedName>
    <definedName name="_xlnm.Print_Area" localSheetId="8">'October 21'!$A$1:$AC$352</definedName>
    <definedName name="_xlnm.Print_Area" localSheetId="12">'October 22'!$A$1:$AC$353</definedName>
    <definedName name="_xlnm.Print_Area" localSheetId="16">'October 23'!$A$1:$AC$353</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4" i="35" l="1"/>
  <c r="AB196" i="35" l="1"/>
  <c r="Z71" i="35" l="1"/>
  <c r="D31" i="35" l="1"/>
  <c r="AB113" i="35" l="1"/>
  <c r="AB91" i="35"/>
  <c r="AB76" i="35"/>
  <c r="AB75" i="35"/>
  <c r="T58" i="35" l="1"/>
  <c r="X284" i="35" l="1"/>
  <c r="X281" i="35"/>
  <c r="Z212" i="35" l="1"/>
  <c r="Y212" i="35"/>
  <c r="Y214" i="35" s="1"/>
  <c r="AB204" i="35"/>
  <c r="AB195" i="35"/>
  <c r="AB187" i="35"/>
  <c r="AB190" i="35" s="1"/>
  <c r="AB179" i="35"/>
  <c r="AB168" i="35"/>
  <c r="AB171" i="35" s="1"/>
  <c r="AB173" i="35" s="1"/>
  <c r="AB162" i="35"/>
  <c r="AB150" i="35"/>
  <c r="AB159" i="35" s="1"/>
  <c r="AB139" i="35"/>
  <c r="AB146" i="35" s="1"/>
  <c r="AA336" i="35"/>
  <c r="Z336" i="35"/>
  <c r="Z263" i="35" s="1"/>
  <c r="Y336" i="35"/>
  <c r="X336" i="35"/>
  <c r="Y263" i="35" s="1"/>
  <c r="Z324" i="35"/>
  <c r="AA321" i="35" s="1"/>
  <c r="X324" i="35"/>
  <c r="Y321" i="35" s="1"/>
  <c r="Z314" i="35"/>
  <c r="X314" i="35"/>
  <c r="Y310" i="35" s="1"/>
  <c r="Z302" i="35"/>
  <c r="AA297" i="35" s="1"/>
  <c r="X302" i="35"/>
  <c r="Y299" i="35" s="1"/>
  <c r="Z288" i="35"/>
  <c r="X288" i="35"/>
  <c r="Z287" i="35"/>
  <c r="X287" i="35"/>
  <c r="Z286" i="35"/>
  <c r="X286" i="35"/>
  <c r="Z285" i="35"/>
  <c r="X285" i="35"/>
  <c r="Z284" i="35"/>
  <c r="Z283" i="35"/>
  <c r="X283" i="35"/>
  <c r="Z282" i="35"/>
  <c r="X282" i="35"/>
  <c r="Z281" i="35"/>
  <c r="Z267" i="35"/>
  <c r="Z268" i="35" s="1"/>
  <c r="Z265" i="35"/>
  <c r="Z264" i="35"/>
  <c r="Z243" i="35"/>
  <c r="AB221" i="35"/>
  <c r="AB213" i="35"/>
  <c r="Z214" i="35"/>
  <c r="AB206" i="35"/>
  <c r="AB207" i="35"/>
  <c r="AB198" i="35"/>
  <c r="AB181" i="35"/>
  <c r="AB174" i="35"/>
  <c r="AB172" i="35"/>
  <c r="AB163" i="35"/>
  <c r="AB165" i="35" s="1"/>
  <c r="AB149" i="35"/>
  <c r="AB138" i="35"/>
  <c r="B134" i="35"/>
  <c r="B238" i="35" s="1"/>
  <c r="B352" i="35" s="1"/>
  <c r="Z130" i="35"/>
  <c r="Z101" i="35"/>
  <c r="AB130" i="35"/>
  <c r="Z85" i="35"/>
  <c r="AB81" i="35"/>
  <c r="AB84" i="35" s="1"/>
  <c r="AB87" i="35" s="1"/>
  <c r="Z72" i="35"/>
  <c r="Z84" i="35" s="1"/>
  <c r="T70" i="35"/>
  <c r="AB65" i="35"/>
  <c r="AB64" i="35"/>
  <c r="Z61" i="35"/>
  <c r="X61" i="35"/>
  <c r="V61" i="35"/>
  <c r="R61" i="35"/>
  <c r="R67" i="35" s="1"/>
  <c r="P61" i="35"/>
  <c r="P67" i="35" s="1"/>
  <c r="AB59" i="35"/>
  <c r="T61" i="35"/>
  <c r="X49" i="35"/>
  <c r="X48" i="35"/>
  <c r="AB42" i="35"/>
  <c r="P31" i="35"/>
  <c r="N31" i="35"/>
  <c r="L31" i="35"/>
  <c r="J31" i="35"/>
  <c r="H31" i="35"/>
  <c r="F31" i="35"/>
  <c r="P30" i="35"/>
  <c r="N30" i="35"/>
  <c r="L30" i="35"/>
  <c r="J30" i="35"/>
  <c r="H30" i="35"/>
  <c r="F30" i="35"/>
  <c r="D30" i="35"/>
  <c r="AB29" i="35"/>
  <c r="Y211" i="35" s="1"/>
  <c r="AB31" i="34"/>
  <c r="AB30" i="35" l="1"/>
  <c r="AB35" i="35" s="1"/>
  <c r="Z245" i="35" s="1"/>
  <c r="AB31" i="35"/>
  <c r="Z339" i="35"/>
  <c r="Z87" i="35"/>
  <c r="Z131" i="35" s="1"/>
  <c r="AA311" i="35"/>
  <c r="AA312" i="35"/>
  <c r="AA308" i="35"/>
  <c r="AA310" i="35"/>
  <c r="AB199" i="35"/>
  <c r="Z343" i="35"/>
  <c r="Y320" i="35"/>
  <c r="Y319" i="35"/>
  <c r="Y317" i="35"/>
  <c r="Y322" i="35"/>
  <c r="Z262" i="35"/>
  <c r="AA305" i="35"/>
  <c r="AA295" i="35"/>
  <c r="AA299" i="35"/>
  <c r="Z338" i="35"/>
  <c r="Z340" i="35" s="1"/>
  <c r="Y296" i="35"/>
  <c r="X290" i="35"/>
  <c r="Y284" i="35" s="1"/>
  <c r="Y298" i="35"/>
  <c r="Y300" i="35"/>
  <c r="Y297" i="35"/>
  <c r="X338" i="35"/>
  <c r="Y293" i="35"/>
  <c r="Y294" i="35"/>
  <c r="Y215" i="35"/>
  <c r="AB182" i="35"/>
  <c r="AB234" i="35"/>
  <c r="AB232" i="35"/>
  <c r="AB230" i="35"/>
  <c r="AB131" i="35"/>
  <c r="Z247" i="35"/>
  <c r="AB228" i="35"/>
  <c r="AB226" i="35"/>
  <c r="AB214" i="35"/>
  <c r="Y311" i="35"/>
  <c r="AA322" i="35"/>
  <c r="AB212" i="35"/>
  <c r="Z257" i="35"/>
  <c r="AA294" i="35"/>
  <c r="AA298" i="35"/>
  <c r="AA317" i="35"/>
  <c r="AB58" i="35"/>
  <c r="AB61" i="35" s="1"/>
  <c r="AB67" i="35" s="1"/>
  <c r="Z341" i="35" s="1"/>
  <c r="Y262" i="35"/>
  <c r="Y295" i="35"/>
  <c r="Y305" i="35"/>
  <c r="Y312" i="35"/>
  <c r="AA319" i="35"/>
  <c r="Z290" i="35"/>
  <c r="AA285" i="35" s="1"/>
  <c r="AA320" i="35"/>
  <c r="AA296" i="35"/>
  <c r="AA300" i="35"/>
  <c r="Y308" i="35"/>
  <c r="AB43" i="35"/>
  <c r="AA293" i="35"/>
  <c r="AB113" i="34"/>
  <c r="AB91" i="34"/>
  <c r="AB76" i="34"/>
  <c r="AB75" i="34"/>
  <c r="Z74" i="34"/>
  <c r="T58" i="34"/>
  <c r="Z268" i="34"/>
  <c r="Z212" i="34"/>
  <c r="Z214" i="34" s="1"/>
  <c r="Y212" i="34"/>
  <c r="AB204" i="34"/>
  <c r="AB207" i="34" s="1"/>
  <c r="AB195" i="34"/>
  <c r="AB187" i="34"/>
  <c r="AB179" i="34"/>
  <c r="AB168" i="34"/>
  <c r="AB171" i="34" s="1"/>
  <c r="AB162" i="34"/>
  <c r="AB150" i="34"/>
  <c r="AB159" i="34" s="1"/>
  <c r="AB139" i="34"/>
  <c r="AB146" i="34" s="1"/>
  <c r="AA336" i="34"/>
  <c r="Z336" i="34"/>
  <c r="Y336" i="34"/>
  <c r="X336" i="34"/>
  <c r="Y263" i="34" s="1"/>
  <c r="Z324" i="34"/>
  <c r="AA320" i="34" s="1"/>
  <c r="X324" i="34"/>
  <c r="Y321" i="34" s="1"/>
  <c r="Z314" i="34"/>
  <c r="AA305" i="34" s="1"/>
  <c r="X314" i="34"/>
  <c r="Y308" i="34" s="1"/>
  <c r="Z302" i="34"/>
  <c r="AA298" i="34" s="1"/>
  <c r="X302" i="34"/>
  <c r="Y300" i="34" s="1"/>
  <c r="AA300" i="34"/>
  <c r="Z288" i="34"/>
  <c r="X288" i="34"/>
  <c r="Z287" i="34"/>
  <c r="X287" i="34"/>
  <c r="Z286" i="34"/>
  <c r="X286" i="34"/>
  <c r="Z285" i="34"/>
  <c r="X285" i="34"/>
  <c r="Z284" i="34"/>
  <c r="X284" i="34"/>
  <c r="Z283" i="34"/>
  <c r="X283" i="34"/>
  <c r="Z282" i="34"/>
  <c r="X282" i="34"/>
  <c r="Z281" i="34"/>
  <c r="X281" i="34"/>
  <c r="Z267" i="34"/>
  <c r="Z265" i="34"/>
  <c r="Z264" i="34"/>
  <c r="Z263" i="34"/>
  <c r="Z243" i="34"/>
  <c r="AB221" i="34"/>
  <c r="AB213" i="34"/>
  <c r="Y214" i="34"/>
  <c r="AB206" i="34"/>
  <c r="AB198" i="34"/>
  <c r="AB196" i="34"/>
  <c r="AB199" i="34" s="1"/>
  <c r="AB190" i="34"/>
  <c r="AB181" i="34"/>
  <c r="AB174" i="34"/>
  <c r="AB172" i="34"/>
  <c r="AB163" i="34"/>
  <c r="AB165" i="34"/>
  <c r="AB149" i="34"/>
  <c r="AB138" i="34"/>
  <c r="B134" i="34"/>
  <c r="B238" i="34" s="1"/>
  <c r="B352" i="34" s="1"/>
  <c r="Z130" i="34"/>
  <c r="Z101" i="34"/>
  <c r="Z85" i="34"/>
  <c r="AB81" i="34"/>
  <c r="Z72" i="34"/>
  <c r="Z71" i="34"/>
  <c r="T70" i="34"/>
  <c r="P67" i="34"/>
  <c r="AB65" i="34"/>
  <c r="AB64" i="34"/>
  <c r="Z61" i="34"/>
  <c r="X61" i="34"/>
  <c r="V61" i="34"/>
  <c r="R61" i="34"/>
  <c r="R67" i="34" s="1"/>
  <c r="P61" i="34"/>
  <c r="AB59" i="34"/>
  <c r="X49" i="34"/>
  <c r="X48" i="34"/>
  <c r="AB42" i="34"/>
  <c r="P31" i="34"/>
  <c r="N31" i="34"/>
  <c r="L31" i="34"/>
  <c r="J31" i="34"/>
  <c r="H31" i="34"/>
  <c r="F31" i="34"/>
  <c r="D31" i="34"/>
  <c r="P30" i="34"/>
  <c r="N30" i="34"/>
  <c r="L30" i="34"/>
  <c r="J30" i="34"/>
  <c r="H30" i="34"/>
  <c r="F30" i="34"/>
  <c r="D30" i="34"/>
  <c r="AB29" i="34"/>
  <c r="Y211" i="34" s="1"/>
  <c r="AB130" i="33"/>
  <c r="AA302" i="35" l="1"/>
  <c r="Y324" i="35"/>
  <c r="AA314" i="35"/>
  <c r="Y286" i="35"/>
  <c r="Y288" i="35"/>
  <c r="Y287" i="35"/>
  <c r="Y281" i="35"/>
  <c r="Y285" i="35"/>
  <c r="Y282" i="35"/>
  <c r="Y283" i="35"/>
  <c r="Y302" i="35"/>
  <c r="AA287" i="35"/>
  <c r="AA283" i="35"/>
  <c r="AA281" i="35"/>
  <c r="Y314" i="35"/>
  <c r="AA286" i="35"/>
  <c r="AA288" i="35"/>
  <c r="AA282" i="35"/>
  <c r="AA324" i="35"/>
  <c r="AA284" i="35"/>
  <c r="AB130" i="34"/>
  <c r="AB182" i="34"/>
  <c r="AB84" i="34"/>
  <c r="AB87" i="34" s="1"/>
  <c r="Z247" i="34" s="1"/>
  <c r="AB173" i="34"/>
  <c r="AB58" i="34"/>
  <c r="AB61" i="34" s="1"/>
  <c r="AB67" i="34" s="1"/>
  <c r="Z341" i="34" s="1"/>
  <c r="T61" i="34"/>
  <c r="Z339" i="34"/>
  <c r="Z84" i="34"/>
  <c r="Z87" i="34" s="1"/>
  <c r="Z131" i="34" s="1"/>
  <c r="Z343" i="34"/>
  <c r="AB30" i="34"/>
  <c r="AB35" i="34" s="1"/>
  <c r="Z245" i="34" s="1"/>
  <c r="AA321" i="34"/>
  <c r="Y317" i="34"/>
  <c r="Y322" i="34"/>
  <c r="Y319" i="34"/>
  <c r="Y320" i="34"/>
  <c r="AA294" i="34"/>
  <c r="AA293" i="34"/>
  <c r="AA295" i="34"/>
  <c r="AA296" i="34"/>
  <c r="AA299" i="34"/>
  <c r="AA297" i="34"/>
  <c r="X290" i="34"/>
  <c r="Y282" i="34" s="1"/>
  <c r="Z290" i="34"/>
  <c r="AA287" i="34" s="1"/>
  <c r="AA308" i="34"/>
  <c r="Z338" i="34"/>
  <c r="Y310" i="34"/>
  <c r="Y286" i="34"/>
  <c r="AB214" i="34"/>
  <c r="Y215" i="34"/>
  <c r="Y284" i="34"/>
  <c r="Y287" i="34"/>
  <c r="Y285" i="34"/>
  <c r="Y283" i="34"/>
  <c r="Y281" i="34"/>
  <c r="Y293" i="34"/>
  <c r="AA310" i="34"/>
  <c r="Y294" i="34"/>
  <c r="Y298" i="34"/>
  <c r="Y311" i="34"/>
  <c r="AA317" i="34"/>
  <c r="AA322" i="34"/>
  <c r="AB212" i="34"/>
  <c r="Z257" i="34"/>
  <c r="AA311" i="34"/>
  <c r="X338" i="34"/>
  <c r="AB43" i="34"/>
  <c r="Y297" i="34"/>
  <c r="Y262" i="34"/>
  <c r="Y295" i="34"/>
  <c r="Y299" i="34"/>
  <c r="Y305" i="34"/>
  <c r="Y312" i="34"/>
  <c r="AA319" i="34"/>
  <c r="Z262" i="34"/>
  <c r="Y296" i="34"/>
  <c r="Z131" i="33"/>
  <c r="Z130" i="33"/>
  <c r="Y290" i="35" l="1"/>
  <c r="AA290" i="35"/>
  <c r="AB230" i="34"/>
  <c r="AB226" i="34"/>
  <c r="AB228" i="34"/>
  <c r="AB131" i="34"/>
  <c r="AB232" i="34"/>
  <c r="AB234" i="34"/>
  <c r="Z340" i="34"/>
  <c r="Y324" i="34"/>
  <c r="AA302" i="34"/>
  <c r="AA286" i="34"/>
  <c r="AA288" i="34"/>
  <c r="AA281" i="34"/>
  <c r="AA283" i="34"/>
  <c r="Y288" i="34"/>
  <c r="Y290" i="34" s="1"/>
  <c r="AA282" i="34"/>
  <c r="AA285" i="34"/>
  <c r="AA284" i="34"/>
  <c r="AA314" i="34"/>
  <c r="Y314" i="34"/>
  <c r="Y302" i="34"/>
  <c r="AA324" i="34"/>
  <c r="AB113" i="33"/>
  <c r="AB91" i="33"/>
  <c r="AB76" i="33"/>
  <c r="AB75" i="33"/>
  <c r="Z74" i="33"/>
  <c r="T58" i="33"/>
  <c r="AA290" i="34" l="1"/>
  <c r="Z268" i="33"/>
  <c r="Z212" i="33"/>
  <c r="Z214" i="33" s="1"/>
  <c r="Y212" i="33"/>
  <c r="AB212" i="33" s="1"/>
  <c r="AB204" i="33"/>
  <c r="AB195" i="33"/>
  <c r="AB187" i="33"/>
  <c r="AB190" i="33" s="1"/>
  <c r="AB179" i="33"/>
  <c r="AB168" i="33"/>
  <c r="AB162" i="33"/>
  <c r="AB165" i="33" s="1"/>
  <c r="AB150" i="33"/>
  <c r="AB139" i="33"/>
  <c r="AA336" i="33"/>
  <c r="Z336" i="33"/>
  <c r="Y336" i="33"/>
  <c r="X336" i="33"/>
  <c r="Z324" i="33"/>
  <c r="AA322" i="33" s="1"/>
  <c r="X324" i="33"/>
  <c r="Y322" i="33"/>
  <c r="Y321" i="33"/>
  <c r="Y320" i="33"/>
  <c r="Y319" i="33"/>
  <c r="Y317" i="33"/>
  <c r="Y324" i="33" s="1"/>
  <c r="Z314" i="33"/>
  <c r="AA310" i="33" s="1"/>
  <c r="X314" i="33"/>
  <c r="Y310" i="33" s="1"/>
  <c r="Z302" i="33"/>
  <c r="AA300" i="33" s="1"/>
  <c r="X302" i="33"/>
  <c r="Y300" i="33" s="1"/>
  <c r="Z288" i="33"/>
  <c r="X288" i="33"/>
  <c r="Z287" i="33"/>
  <c r="X287" i="33"/>
  <c r="Z286" i="33"/>
  <c r="X286" i="33"/>
  <c r="Z285" i="33"/>
  <c r="X285" i="33"/>
  <c r="Z284" i="33"/>
  <c r="X284" i="33"/>
  <c r="Z283" i="33"/>
  <c r="X283" i="33"/>
  <c r="Z282" i="33"/>
  <c r="X282" i="33"/>
  <c r="Z281" i="33"/>
  <c r="X281" i="33"/>
  <c r="Z267" i="33"/>
  <c r="Z265" i="33"/>
  <c r="Z264" i="33"/>
  <c r="Z263" i="33"/>
  <c r="Y263" i="33"/>
  <c r="Z262" i="33"/>
  <c r="Z243" i="33"/>
  <c r="AB221" i="33"/>
  <c r="AB213" i="33"/>
  <c r="AB206" i="33"/>
  <c r="AB198" i="33"/>
  <c r="AB196" i="33"/>
  <c r="AB181" i="33"/>
  <c r="AB174" i="33"/>
  <c r="AB172" i="33"/>
  <c r="AB171" i="33"/>
  <c r="AB163" i="33"/>
  <c r="AB159" i="33"/>
  <c r="AB149" i="33"/>
  <c r="AB146" i="33"/>
  <c r="AB138" i="33"/>
  <c r="B134" i="33"/>
  <c r="B238" i="33" s="1"/>
  <c r="B352" i="33" s="1"/>
  <c r="Z101" i="33"/>
  <c r="Z85" i="33"/>
  <c r="AB81" i="33"/>
  <c r="AB84" i="33"/>
  <c r="AB87" i="33" s="1"/>
  <c r="Z72" i="33"/>
  <c r="Z71" i="33"/>
  <c r="T70" i="33"/>
  <c r="P67" i="33"/>
  <c r="AB65" i="33"/>
  <c r="AB64" i="33"/>
  <c r="Z61" i="33"/>
  <c r="X61" i="33"/>
  <c r="V61" i="33"/>
  <c r="R61" i="33"/>
  <c r="R67" i="33" s="1"/>
  <c r="P61" i="33"/>
  <c r="AB59" i="33"/>
  <c r="Z257" i="33"/>
  <c r="X49" i="33"/>
  <c r="X48" i="33"/>
  <c r="AB42" i="33"/>
  <c r="P31" i="33"/>
  <c r="N31" i="33"/>
  <c r="L31" i="33"/>
  <c r="J31" i="33"/>
  <c r="H31" i="33"/>
  <c r="F31" i="33"/>
  <c r="D31" i="33"/>
  <c r="AB43" i="33" s="1"/>
  <c r="P30" i="33"/>
  <c r="N30" i="33"/>
  <c r="AB30" i="33" s="1"/>
  <c r="AB35" i="33" s="1"/>
  <c r="Z245" i="33" s="1"/>
  <c r="L30" i="33"/>
  <c r="J30" i="33"/>
  <c r="H30" i="33"/>
  <c r="F30" i="33"/>
  <c r="D30" i="33"/>
  <c r="AB29" i="33"/>
  <c r="Y211" i="33" s="1"/>
  <c r="AB113" i="32"/>
  <c r="AB91" i="32"/>
  <c r="AB76" i="32"/>
  <c r="AB75" i="32"/>
  <c r="Z74" i="32"/>
  <c r="AB199" i="33" l="1"/>
  <c r="AB207" i="33"/>
  <c r="AB182" i="33"/>
  <c r="AB173" i="33"/>
  <c r="Z339" i="33"/>
  <c r="AB31" i="33"/>
  <c r="Z343" i="33" s="1"/>
  <c r="AA317" i="33"/>
  <c r="AA320" i="33"/>
  <c r="AA321" i="33"/>
  <c r="AA319" i="33"/>
  <c r="Y308" i="33"/>
  <c r="AA308" i="33"/>
  <c r="AA305" i="33"/>
  <c r="Y312" i="33"/>
  <c r="Y305" i="33"/>
  <c r="Y311" i="33"/>
  <c r="Y262" i="33"/>
  <c r="AA311" i="33"/>
  <c r="AA314" i="33"/>
  <c r="Z290" i="33"/>
  <c r="AA281" i="33" s="1"/>
  <c r="AA297" i="33"/>
  <c r="AA295" i="33"/>
  <c r="AA296" i="33"/>
  <c r="AA298" i="33"/>
  <c r="AA293" i="33"/>
  <c r="AA299" i="33"/>
  <c r="Z338" i="33"/>
  <c r="AA294" i="33"/>
  <c r="X338" i="33"/>
  <c r="Y297" i="33"/>
  <c r="Y293" i="33"/>
  <c r="Y214" i="33"/>
  <c r="AB214" i="33" s="1"/>
  <c r="AA283" i="33"/>
  <c r="AA286" i="33"/>
  <c r="AB234" i="33"/>
  <c r="AB232" i="33"/>
  <c r="AB230" i="33"/>
  <c r="AB131" i="33"/>
  <c r="Z247" i="33"/>
  <c r="AB226" i="33"/>
  <c r="AB228" i="33"/>
  <c r="T61" i="33"/>
  <c r="Y294" i="33"/>
  <c r="Y298" i="33"/>
  <c r="AB58" i="33"/>
  <c r="AB61" i="33" s="1"/>
  <c r="AB67" i="33" s="1"/>
  <c r="Z341" i="33" s="1"/>
  <c r="X290" i="33"/>
  <c r="Y281" i="33" s="1"/>
  <c r="Y295" i="33"/>
  <c r="Y299" i="33"/>
  <c r="Z84" i="33"/>
  <c r="Z87" i="33" s="1"/>
  <c r="Y296" i="33"/>
  <c r="T58" i="32"/>
  <c r="Z340" i="33" l="1"/>
  <c r="AA324" i="33"/>
  <c r="Y314" i="33"/>
  <c r="AA285" i="33"/>
  <c r="AA288" i="33"/>
  <c r="AA287" i="33"/>
  <c r="AA282" i="33"/>
  <c r="AA284" i="33"/>
  <c r="AA290" i="33"/>
  <c r="AA302" i="33"/>
  <c r="Y302" i="33"/>
  <c r="Y282" i="33"/>
  <c r="Y287" i="33"/>
  <c r="Y288" i="33"/>
  <c r="Y283" i="33"/>
  <c r="Y284" i="33"/>
  <c r="Y286" i="33"/>
  <c r="Y215" i="33"/>
  <c r="Y285" i="33"/>
  <c r="AA321" i="32"/>
  <c r="Y321" i="32"/>
  <c r="Y290" i="33" l="1"/>
  <c r="Z212" i="32"/>
  <c r="Y212" i="32"/>
  <c r="AB204" i="32"/>
  <c r="AB195" i="32"/>
  <c r="AB187" i="32"/>
  <c r="AB179" i="32"/>
  <c r="AB168" i="32"/>
  <c r="AB171" i="32" s="1"/>
  <c r="AB173" i="32" s="1"/>
  <c r="AB162" i="32"/>
  <c r="AB165" i="32" s="1"/>
  <c r="AB150" i="32"/>
  <c r="AB159" i="32" s="1"/>
  <c r="AB139" i="32"/>
  <c r="AB146" i="32" s="1"/>
  <c r="AA336" i="32"/>
  <c r="Z336" i="32"/>
  <c r="Y336" i="32"/>
  <c r="X336" i="32"/>
  <c r="Z324" i="32"/>
  <c r="AA317" i="32" s="1"/>
  <c r="X324" i="32"/>
  <c r="Y317" i="32" s="1"/>
  <c r="Z314" i="32"/>
  <c r="AA308" i="32" s="1"/>
  <c r="X314" i="32"/>
  <c r="Y312" i="32" s="1"/>
  <c r="Z302" i="32"/>
  <c r="AA297" i="32" s="1"/>
  <c r="X302" i="32"/>
  <c r="Y295" i="32" s="1"/>
  <c r="AA295" i="32"/>
  <c r="Z288" i="32"/>
  <c r="X288" i="32"/>
  <c r="Z287" i="32"/>
  <c r="X287" i="32"/>
  <c r="Z286" i="32"/>
  <c r="X286" i="32"/>
  <c r="Z285" i="32"/>
  <c r="X285" i="32"/>
  <c r="Z284" i="32"/>
  <c r="X284" i="32"/>
  <c r="Z283" i="32"/>
  <c r="X283" i="32"/>
  <c r="Z282" i="32"/>
  <c r="X282" i="32"/>
  <c r="Z281" i="32"/>
  <c r="X281" i="32"/>
  <c r="Z267" i="32"/>
  <c r="Z268" i="32" s="1"/>
  <c r="Z265" i="32"/>
  <c r="Z264" i="32"/>
  <c r="Z263" i="32"/>
  <c r="Y263" i="32"/>
  <c r="Z243" i="32"/>
  <c r="B238" i="32"/>
  <c r="B352" i="32" s="1"/>
  <c r="AB221" i="32"/>
  <c r="Z214" i="32"/>
  <c r="AB213" i="32"/>
  <c r="AB212" i="32"/>
  <c r="Y214" i="32"/>
  <c r="AB206" i="32"/>
  <c r="AB198" i="32"/>
  <c r="AB196" i="32"/>
  <c r="AB181" i="32"/>
  <c r="AB174" i="32"/>
  <c r="AB172" i="32"/>
  <c r="AB163" i="32"/>
  <c r="AB149" i="32"/>
  <c r="AB138" i="32"/>
  <c r="B134" i="32"/>
  <c r="AB130" i="32"/>
  <c r="Z130" i="32"/>
  <c r="Z101" i="32"/>
  <c r="Z85" i="32"/>
  <c r="AB84" i="32"/>
  <c r="AB87" i="32" s="1"/>
  <c r="AB81" i="32"/>
  <c r="Z84" i="32"/>
  <c r="Z87" i="32" s="1"/>
  <c r="Z72" i="32"/>
  <c r="Z71" i="32"/>
  <c r="T70" i="32"/>
  <c r="P67" i="32"/>
  <c r="AB65" i="32"/>
  <c r="AB64" i="32"/>
  <c r="Z61" i="32"/>
  <c r="X61" i="32"/>
  <c r="V61" i="32"/>
  <c r="T61" i="32"/>
  <c r="R61" i="32"/>
  <c r="R67" i="32" s="1"/>
  <c r="P61" i="32"/>
  <c r="AB59" i="32"/>
  <c r="AB58" i="32"/>
  <c r="AB61" i="32" s="1"/>
  <c r="AB67" i="32" s="1"/>
  <c r="Z341" i="32" s="1"/>
  <c r="Z257" i="32"/>
  <c r="X49" i="32"/>
  <c r="X48" i="32"/>
  <c r="AB42" i="32"/>
  <c r="P31" i="32"/>
  <c r="N31" i="32"/>
  <c r="L31" i="32"/>
  <c r="J31" i="32"/>
  <c r="H31" i="32"/>
  <c r="F31" i="32"/>
  <c r="D31" i="32"/>
  <c r="P30" i="32"/>
  <c r="N30" i="32"/>
  <c r="L30" i="32"/>
  <c r="J30" i="32"/>
  <c r="H30" i="32"/>
  <c r="F30" i="32"/>
  <c r="D30" i="32"/>
  <c r="AB29" i="32"/>
  <c r="Y211" i="32" s="1"/>
  <c r="Z247" i="31"/>
  <c r="Z247" i="30"/>
  <c r="Z246" i="29"/>
  <c r="AB181" i="31"/>
  <c r="AB199" i="32" l="1"/>
  <c r="AB207" i="32"/>
  <c r="Z131" i="32"/>
  <c r="Z339" i="32"/>
  <c r="AB31" i="32"/>
  <c r="Z343" i="32" s="1"/>
  <c r="AB30" i="32"/>
  <c r="AB35" i="32" s="1"/>
  <c r="Z245" i="32" s="1"/>
  <c r="AA319" i="32"/>
  <c r="AA320" i="32"/>
  <c r="AA322" i="32"/>
  <c r="Y320" i="32"/>
  <c r="Y319" i="32"/>
  <c r="Y322" i="32"/>
  <c r="AA310" i="32"/>
  <c r="Y262" i="32"/>
  <c r="Y310" i="32"/>
  <c r="Y308" i="32"/>
  <c r="AA298" i="32"/>
  <c r="AA299" i="32"/>
  <c r="AA300" i="32"/>
  <c r="AA296" i="32"/>
  <c r="AA294" i="32"/>
  <c r="Z338" i="32"/>
  <c r="Z340" i="32" s="1"/>
  <c r="Z290" i="32"/>
  <c r="AA282" i="32" s="1"/>
  <c r="Y294" i="32"/>
  <c r="Y297" i="32"/>
  <c r="Y298" i="32"/>
  <c r="Y296" i="32"/>
  <c r="Y299" i="32"/>
  <c r="Y293" i="32"/>
  <c r="Y300" i="32"/>
  <c r="X338" i="32"/>
  <c r="AB214" i="32"/>
  <c r="Y215" i="32"/>
  <c r="AB182" i="32"/>
  <c r="AB190" i="32"/>
  <c r="AB234" i="32"/>
  <c r="AB232" i="32"/>
  <c r="AB230" i="32"/>
  <c r="AB228" i="32"/>
  <c r="Z247" i="32"/>
  <c r="AB226" i="32"/>
  <c r="AB131" i="32"/>
  <c r="Y285" i="32"/>
  <c r="Y311" i="32"/>
  <c r="Y314" i="32" s="1"/>
  <c r="AA293" i="32"/>
  <c r="AA311" i="32"/>
  <c r="AA312" i="32"/>
  <c r="X290" i="32"/>
  <c r="Y286" i="32" s="1"/>
  <c r="AB43" i="32"/>
  <c r="Z262" i="32"/>
  <c r="T58" i="31"/>
  <c r="Z74" i="31" s="1"/>
  <c r="AA324" i="32" l="1"/>
  <c r="Y324" i="32"/>
  <c r="AA281" i="32"/>
  <c r="AA314" i="32"/>
  <c r="AA288" i="32"/>
  <c r="AA284" i="32"/>
  <c r="AA285" i="32"/>
  <c r="AA286" i="32"/>
  <c r="AA283" i="32"/>
  <c r="AA287" i="32"/>
  <c r="AA302" i="32"/>
  <c r="Y302" i="32"/>
  <c r="Y281" i="32"/>
  <c r="Y288" i="32"/>
  <c r="Y284" i="32"/>
  <c r="Y283" i="32"/>
  <c r="Y282" i="32"/>
  <c r="Y287" i="32"/>
  <c r="AB206" i="31"/>
  <c r="AB198" i="31"/>
  <c r="AA290" i="32" l="1"/>
  <c r="Y290" i="32"/>
  <c r="AB204" i="31"/>
  <c r="AB207" i="31" s="1"/>
  <c r="AB195" i="31"/>
  <c r="AB113" i="31"/>
  <c r="AB91" i="31"/>
  <c r="AB130" i="31" s="1"/>
  <c r="AB76" i="31"/>
  <c r="AB75" i="31"/>
  <c r="Z212" i="31" l="1"/>
  <c r="Z214" i="31" s="1"/>
  <c r="Y212" i="31"/>
  <c r="AB187" i="31"/>
  <c r="AB179" i="31"/>
  <c r="AB168" i="31"/>
  <c r="AB171" i="31" s="1"/>
  <c r="AB162" i="31"/>
  <c r="AB150" i="31"/>
  <c r="AB159" i="31" s="1"/>
  <c r="AB139" i="31"/>
  <c r="AB146" i="31" s="1"/>
  <c r="AA336" i="31"/>
  <c r="Z336" i="31"/>
  <c r="Z263" i="31" s="1"/>
  <c r="Y336" i="31"/>
  <c r="X336" i="31"/>
  <c r="Z324" i="31"/>
  <c r="X324" i="31"/>
  <c r="Z314" i="31"/>
  <c r="X314" i="31"/>
  <c r="Z302" i="31"/>
  <c r="AA300" i="31" s="1"/>
  <c r="X302" i="31"/>
  <c r="Y300" i="31" s="1"/>
  <c r="Z288" i="31"/>
  <c r="X288" i="31"/>
  <c r="Z287" i="31"/>
  <c r="X287" i="31"/>
  <c r="Z286" i="31"/>
  <c r="X286" i="31"/>
  <c r="Z285" i="31"/>
  <c r="X285" i="31"/>
  <c r="Z284" i="31"/>
  <c r="X284" i="31"/>
  <c r="Z283" i="31"/>
  <c r="X283" i="31"/>
  <c r="Z282" i="31"/>
  <c r="X282" i="31"/>
  <c r="Z281" i="31"/>
  <c r="X281" i="31"/>
  <c r="Z267" i="31"/>
  <c r="Z268" i="31" s="1"/>
  <c r="Z265" i="31"/>
  <c r="Z264" i="31"/>
  <c r="Y263" i="31"/>
  <c r="Z243" i="31"/>
  <c r="AB221" i="31"/>
  <c r="AB213" i="31"/>
  <c r="AB196" i="31"/>
  <c r="AB199" i="31" s="1"/>
  <c r="AB188" i="31"/>
  <c r="AB174" i="31"/>
  <c r="AB172" i="31"/>
  <c r="AB163" i="31"/>
  <c r="AB149" i="31"/>
  <c r="AB138" i="31"/>
  <c r="B134" i="31"/>
  <c r="B238" i="31" s="1"/>
  <c r="B352" i="31" s="1"/>
  <c r="Z130" i="31"/>
  <c r="Z101" i="31"/>
  <c r="Z85" i="31"/>
  <c r="AB81" i="31"/>
  <c r="AB84" i="31" s="1"/>
  <c r="AB87" i="31" s="1"/>
  <c r="Z72" i="31"/>
  <c r="Z71" i="31"/>
  <c r="T70" i="31"/>
  <c r="AB65" i="31"/>
  <c r="AB64" i="31"/>
  <c r="Z61" i="31"/>
  <c r="X61" i="31"/>
  <c r="V61" i="31"/>
  <c r="R61" i="31"/>
  <c r="R67" i="31" s="1"/>
  <c r="P61" i="31"/>
  <c r="P67" i="31" s="1"/>
  <c r="AB59" i="31"/>
  <c r="T61" i="31"/>
  <c r="X49" i="31"/>
  <c r="X48" i="31"/>
  <c r="AB42" i="31"/>
  <c r="P31" i="31"/>
  <c r="N31" i="31"/>
  <c r="L31" i="31"/>
  <c r="J31" i="31"/>
  <c r="H31" i="31"/>
  <c r="F31" i="31"/>
  <c r="D31" i="31"/>
  <c r="P30" i="31"/>
  <c r="N30" i="31"/>
  <c r="L30" i="31"/>
  <c r="J30" i="31"/>
  <c r="H30" i="31"/>
  <c r="F30" i="31"/>
  <c r="D30" i="31"/>
  <c r="AB29" i="31"/>
  <c r="Y211" i="31" s="1"/>
  <c r="AB199" i="30"/>
  <c r="AB180" i="30"/>
  <c r="AB196" i="30"/>
  <c r="Z84" i="31" l="1"/>
  <c r="Z87" i="31" s="1"/>
  <c r="Z131" i="31" s="1"/>
  <c r="AB212" i="31"/>
  <c r="AB165" i="31"/>
  <c r="AB35" i="31"/>
  <c r="Z245" i="31" s="1"/>
  <c r="AB30" i="31"/>
  <c r="Y311" i="31"/>
  <c r="Y312" i="31"/>
  <c r="Y310" i="31"/>
  <c r="AB31" i="31"/>
  <c r="Z343" i="31" s="1"/>
  <c r="Y322" i="31"/>
  <c r="Y319" i="31"/>
  <c r="AA311" i="31"/>
  <c r="AA310" i="31"/>
  <c r="AA312" i="31"/>
  <c r="AA320" i="31"/>
  <c r="AA319" i="31"/>
  <c r="Y214" i="31"/>
  <c r="AB214" i="31" s="1"/>
  <c r="AB189" i="31"/>
  <c r="AB180" i="31" s="1"/>
  <c r="AB182" i="31" s="1"/>
  <c r="AB173" i="31"/>
  <c r="Z339" i="31"/>
  <c r="Y308" i="31"/>
  <c r="Y262" i="31"/>
  <c r="Z338" i="31"/>
  <c r="X338" i="31"/>
  <c r="Y299" i="31"/>
  <c r="Y293" i="31"/>
  <c r="Y294" i="31"/>
  <c r="Y295" i="31"/>
  <c r="Y296" i="31"/>
  <c r="Y297" i="31"/>
  <c r="Y298" i="31"/>
  <c r="AB228" i="31"/>
  <c r="AB234" i="31"/>
  <c r="AB232" i="31"/>
  <c r="AB230" i="31"/>
  <c r="AB226" i="31"/>
  <c r="AB131" i="31"/>
  <c r="AB58" i="31"/>
  <c r="AB61" i="31" s="1"/>
  <c r="AB67" i="31" s="1"/>
  <c r="Z341" i="31" s="1"/>
  <c r="AA293" i="31"/>
  <c r="AA297" i="31"/>
  <c r="AA322" i="31"/>
  <c r="Z257" i="31"/>
  <c r="AA294" i="31"/>
  <c r="AA298" i="31"/>
  <c r="X290" i="31"/>
  <c r="Y288" i="31" s="1"/>
  <c r="Y317" i="31"/>
  <c r="AB43" i="31"/>
  <c r="Z262" i="31"/>
  <c r="AA295" i="31"/>
  <c r="AA299" i="31"/>
  <c r="AA308" i="31"/>
  <c r="AA317" i="31"/>
  <c r="Z290" i="31"/>
  <c r="AA282" i="31" s="1"/>
  <c r="Y320" i="31"/>
  <c r="AA296" i="31"/>
  <c r="AB91" i="30"/>
  <c r="AB76" i="30"/>
  <c r="AB75" i="30"/>
  <c r="T58" i="30"/>
  <c r="Z257" i="30" s="1"/>
  <c r="Y314" i="31" l="1"/>
  <c r="Y215" i="31"/>
  <c r="AB190" i="31"/>
  <c r="AA314" i="31"/>
  <c r="Z340" i="31"/>
  <c r="AA324" i="31"/>
  <c r="Y284" i="31"/>
  <c r="Y281" i="31"/>
  <c r="AA288" i="31"/>
  <c r="AA283" i="31"/>
  <c r="AA285" i="31"/>
  <c r="AA287" i="31"/>
  <c r="AA281" i="31"/>
  <c r="Y302" i="31"/>
  <c r="Y286" i="31"/>
  <c r="Y287" i="31"/>
  <c r="Y285" i="31"/>
  <c r="AA302" i="31"/>
  <c r="AA284" i="31"/>
  <c r="Y283" i="31"/>
  <c r="Y282" i="31"/>
  <c r="AA286" i="31"/>
  <c r="Y324" i="31"/>
  <c r="Z74" i="30"/>
  <c r="AB130" i="30"/>
  <c r="Z268" i="30"/>
  <c r="Z212" i="30"/>
  <c r="Z214" i="30" s="1"/>
  <c r="Y212" i="30"/>
  <c r="Y214" i="30" s="1"/>
  <c r="AB204" i="30"/>
  <c r="AB195" i="30"/>
  <c r="AB187" i="30"/>
  <c r="AB179" i="30"/>
  <c r="AB168" i="30"/>
  <c r="AB171" i="30" s="1"/>
  <c r="AB173" i="30" s="1"/>
  <c r="AB162" i="30"/>
  <c r="AB165" i="30" s="1"/>
  <c r="AB150" i="30"/>
  <c r="AB159" i="30" s="1"/>
  <c r="AB139" i="30"/>
  <c r="AB146" i="30" s="1"/>
  <c r="AA336" i="30"/>
  <c r="Z336" i="30"/>
  <c r="Z263" i="30" s="1"/>
  <c r="Y336" i="30"/>
  <c r="X336" i="30"/>
  <c r="Z324" i="30"/>
  <c r="AA320" i="30" s="1"/>
  <c r="X324" i="30"/>
  <c r="Y320" i="30" s="1"/>
  <c r="Z314" i="30"/>
  <c r="AA311" i="30" s="1"/>
  <c r="X314" i="30"/>
  <c r="Y308" i="30" s="1"/>
  <c r="Y311" i="30"/>
  <c r="AA308" i="30"/>
  <c r="AA314" i="30" s="1"/>
  <c r="Z302" i="30"/>
  <c r="AA299" i="30" s="1"/>
  <c r="X302" i="30"/>
  <c r="Y300" i="30" s="1"/>
  <c r="Z288" i="30"/>
  <c r="X288" i="30"/>
  <c r="Z287" i="30"/>
  <c r="X287" i="30"/>
  <c r="Z286" i="30"/>
  <c r="X286" i="30"/>
  <c r="Z285" i="30"/>
  <c r="X285" i="30"/>
  <c r="Z284" i="30"/>
  <c r="X284" i="30"/>
  <c r="Z283" i="30"/>
  <c r="X283" i="30"/>
  <c r="Z282" i="30"/>
  <c r="X282" i="30"/>
  <c r="Z281" i="30"/>
  <c r="X281" i="30"/>
  <c r="Z267" i="30"/>
  <c r="Z265" i="30"/>
  <c r="Z264" i="30"/>
  <c r="Z262" i="30"/>
  <c r="Y262" i="30"/>
  <c r="Z243" i="30"/>
  <c r="AB221" i="30"/>
  <c r="AB213" i="30"/>
  <c r="AB206" i="30"/>
  <c r="AB198" i="30"/>
  <c r="AB189" i="30"/>
  <c r="AB190" i="30" s="1"/>
  <c r="AB181" i="30"/>
  <c r="AB174" i="30"/>
  <c r="AB172" i="30"/>
  <c r="AB163" i="30"/>
  <c r="AB149" i="30"/>
  <c r="AB138" i="30"/>
  <c r="B134" i="30"/>
  <c r="B238" i="30" s="1"/>
  <c r="B352" i="30" s="1"/>
  <c r="Z130" i="30"/>
  <c r="AB113" i="30"/>
  <c r="Z101" i="30"/>
  <c r="Z85" i="30"/>
  <c r="AB81" i="30"/>
  <c r="AB84" i="30" s="1"/>
  <c r="AB87" i="30" s="1"/>
  <c r="Z72" i="30"/>
  <c r="Z71" i="30"/>
  <c r="T70" i="30"/>
  <c r="AB65" i="30"/>
  <c r="AB64" i="30"/>
  <c r="Z61" i="30"/>
  <c r="X61" i="30"/>
  <c r="V61" i="30"/>
  <c r="T61" i="30"/>
  <c r="R61" i="30"/>
  <c r="R67" i="30" s="1"/>
  <c r="P61" i="30"/>
  <c r="P67" i="30" s="1"/>
  <c r="AB59" i="30"/>
  <c r="X49" i="30"/>
  <c r="X48" i="30"/>
  <c r="AB42" i="30"/>
  <c r="P31" i="30"/>
  <c r="N31" i="30"/>
  <c r="L31" i="30"/>
  <c r="J31" i="30"/>
  <c r="H31" i="30"/>
  <c r="F31" i="30"/>
  <c r="D31" i="30"/>
  <c r="P30" i="30"/>
  <c r="N30" i="30"/>
  <c r="L30" i="30"/>
  <c r="J30" i="30"/>
  <c r="H30" i="30"/>
  <c r="F30" i="30"/>
  <c r="D30" i="30"/>
  <c r="AB30" i="30" s="1"/>
  <c r="AB29" i="30"/>
  <c r="Y211" i="30" s="1"/>
  <c r="AB31" i="29"/>
  <c r="AB231" i="29"/>
  <c r="AA290" i="31" l="1"/>
  <c r="Y290" i="31"/>
  <c r="AB207" i="30"/>
  <c r="AB31" i="30"/>
  <c r="Z343" i="30" s="1"/>
  <c r="Y314" i="30"/>
  <c r="AA317" i="30"/>
  <c r="AA322" i="30"/>
  <c r="Y317" i="30"/>
  <c r="Y322" i="30"/>
  <c r="Z339" i="30"/>
  <c r="AB35" i="30"/>
  <c r="Z245" i="30" s="1"/>
  <c r="Z246" i="30" s="1"/>
  <c r="AA297" i="30"/>
  <c r="AA294" i="30"/>
  <c r="AA300" i="30"/>
  <c r="Z338" i="30"/>
  <c r="Y295" i="30"/>
  <c r="X290" i="30"/>
  <c r="Y286" i="30" s="1"/>
  <c r="X338" i="30"/>
  <c r="Y298" i="30"/>
  <c r="Y215" i="30"/>
  <c r="AB182" i="30"/>
  <c r="AB232" i="30"/>
  <c r="AB234" i="30"/>
  <c r="AB230" i="30"/>
  <c r="AB131" i="30"/>
  <c r="AB228" i="30"/>
  <c r="AB226" i="30"/>
  <c r="AB214" i="30"/>
  <c r="Z84" i="30"/>
  <c r="Z87" i="30" s="1"/>
  <c r="Z131" i="30" s="1"/>
  <c r="Z290" i="30"/>
  <c r="AA286" i="30" s="1"/>
  <c r="AB58" i="30"/>
  <c r="AB61" i="30" s="1"/>
  <c r="AB67" i="30" s="1"/>
  <c r="Z341" i="30" s="1"/>
  <c r="AA295" i="30"/>
  <c r="AA298" i="30"/>
  <c r="Y263" i="30"/>
  <c r="Y293" i="30"/>
  <c r="Y296" i="30"/>
  <c r="Y299" i="30"/>
  <c r="AB212" i="30"/>
  <c r="AB43" i="30"/>
  <c r="AA293" i="30"/>
  <c r="AA296" i="30"/>
  <c r="Y294" i="30"/>
  <c r="Y297" i="30"/>
  <c r="AB113" i="29"/>
  <c r="AB91" i="29"/>
  <c r="AB76" i="29"/>
  <c r="AB75" i="29"/>
  <c r="Z74" i="29"/>
  <c r="Y287" i="30" l="1"/>
  <c r="Y281" i="30"/>
  <c r="Y288" i="30"/>
  <c r="Y284" i="30"/>
  <c r="Y290" i="30" s="1"/>
  <c r="Y285" i="30"/>
  <c r="Y283" i="30"/>
  <c r="Y282" i="30"/>
  <c r="Z340" i="30"/>
  <c r="AA324" i="30"/>
  <c r="Y324" i="30"/>
  <c r="AA285" i="30"/>
  <c r="AA283" i="30"/>
  <c r="AA288" i="30"/>
  <c r="AA282" i="30"/>
  <c r="AA284" i="30"/>
  <c r="AA281" i="30"/>
  <c r="AA287" i="30"/>
  <c r="AA302" i="30"/>
  <c r="Y302" i="30"/>
  <c r="T58" i="29"/>
  <c r="AB58" i="29" s="1"/>
  <c r="AB61" i="29" s="1"/>
  <c r="Z211" i="29"/>
  <c r="Z213" i="29" s="1"/>
  <c r="Y211" i="29"/>
  <c r="Y213" i="29" s="1"/>
  <c r="AB203" i="29"/>
  <c r="AB206" i="29" s="1"/>
  <c r="AB195" i="29"/>
  <c r="AB187" i="29"/>
  <c r="AB179" i="29"/>
  <c r="AB182" i="29" s="1"/>
  <c r="AB168" i="29"/>
  <c r="AB162" i="29"/>
  <c r="AB165" i="29" s="1"/>
  <c r="AB150" i="29"/>
  <c r="AB159" i="29" s="1"/>
  <c r="AB139" i="29"/>
  <c r="AA335" i="29"/>
  <c r="Z335" i="29"/>
  <c r="Y335" i="29"/>
  <c r="X335" i="29"/>
  <c r="Z323" i="29"/>
  <c r="AA316" i="29" s="1"/>
  <c r="AA323" i="29" s="1"/>
  <c r="X323" i="29"/>
  <c r="Y316" i="29"/>
  <c r="Y323" i="29" s="1"/>
  <c r="Z313" i="29"/>
  <c r="Z261" i="29" s="1"/>
  <c r="X313" i="29"/>
  <c r="Y310" i="29" s="1"/>
  <c r="Z301" i="29"/>
  <c r="AA294" i="29" s="1"/>
  <c r="X301" i="29"/>
  <c r="Y299" i="29" s="1"/>
  <c r="Z287" i="29"/>
  <c r="X287" i="29"/>
  <c r="Z286" i="29"/>
  <c r="X286" i="29"/>
  <c r="Z285" i="29"/>
  <c r="X285" i="29"/>
  <c r="Z284" i="29"/>
  <c r="X284" i="29"/>
  <c r="Z283" i="29"/>
  <c r="X283" i="29"/>
  <c r="Z282" i="29"/>
  <c r="X282" i="29"/>
  <c r="Z281" i="29"/>
  <c r="X281" i="29"/>
  <c r="Z280" i="29"/>
  <c r="X280" i="29"/>
  <c r="Z266" i="29"/>
  <c r="Z267" i="29" s="1"/>
  <c r="Z264" i="29"/>
  <c r="Z263" i="29"/>
  <c r="Z262" i="29"/>
  <c r="Y262" i="29"/>
  <c r="Z242" i="29"/>
  <c r="AB220" i="29"/>
  <c r="AB212" i="29"/>
  <c r="AB205" i="29"/>
  <c r="AB197" i="29"/>
  <c r="AB196" i="29"/>
  <c r="AB198" i="29" s="1"/>
  <c r="AB190" i="29"/>
  <c r="AB189" i="29"/>
  <c r="AB181" i="29"/>
  <c r="AB180" i="29"/>
  <c r="AB174" i="29"/>
  <c r="AB172" i="29"/>
  <c r="AB171" i="29"/>
  <c r="AB163" i="29"/>
  <c r="AB149" i="29"/>
  <c r="AB146" i="29"/>
  <c r="AB138" i="29"/>
  <c r="B134" i="29"/>
  <c r="B237" i="29" s="1"/>
  <c r="B351" i="29" s="1"/>
  <c r="Z130" i="29"/>
  <c r="Z101" i="29"/>
  <c r="AB130" i="29"/>
  <c r="Z85" i="29"/>
  <c r="AB81" i="29"/>
  <c r="AB84" i="29"/>
  <c r="AB87" i="29" s="1"/>
  <c r="Z72" i="29"/>
  <c r="Z71" i="29"/>
  <c r="T70" i="29"/>
  <c r="P67" i="29"/>
  <c r="AB65" i="29"/>
  <c r="AB64" i="29"/>
  <c r="Z61" i="29"/>
  <c r="X61" i="29"/>
  <c r="V61" i="29"/>
  <c r="T61" i="29"/>
  <c r="R61" i="29"/>
  <c r="R67" i="29" s="1"/>
  <c r="P61" i="29"/>
  <c r="AB59" i="29"/>
  <c r="X49" i="29"/>
  <c r="X48" i="29"/>
  <c r="AB42" i="29"/>
  <c r="P31" i="29"/>
  <c r="N31" i="29"/>
  <c r="L31" i="29"/>
  <c r="J31" i="29"/>
  <c r="H31" i="29"/>
  <c r="F31" i="29"/>
  <c r="D31" i="29"/>
  <c r="P30" i="29"/>
  <c r="N30" i="29"/>
  <c r="L30" i="29"/>
  <c r="J30" i="29"/>
  <c r="H30" i="29"/>
  <c r="F30" i="29"/>
  <c r="D30" i="29"/>
  <c r="AB29" i="29"/>
  <c r="Y210" i="29" s="1"/>
  <c r="AA316" i="28"/>
  <c r="Y316" i="28"/>
  <c r="AA310" i="28"/>
  <c r="AA307" i="28"/>
  <c r="Y310" i="28"/>
  <c r="Y307" i="28"/>
  <c r="AA290" i="30" l="1"/>
  <c r="AB173" i="29"/>
  <c r="Z84" i="29"/>
  <c r="Z87" i="29" s="1"/>
  <c r="Z131" i="29" s="1"/>
  <c r="Z256" i="29"/>
  <c r="Z338" i="29"/>
  <c r="AB67" i="29"/>
  <c r="Z340" i="29" s="1"/>
  <c r="AB43" i="29"/>
  <c r="AB30" i="29"/>
  <c r="AB35" i="29" s="1"/>
  <c r="Z244" i="29" s="1"/>
  <c r="Z245" i="29" s="1"/>
  <c r="AA310" i="29"/>
  <c r="AA307" i="29"/>
  <c r="Y261" i="29"/>
  <c r="Y307" i="29"/>
  <c r="Y313" i="29" s="1"/>
  <c r="AA293" i="29"/>
  <c r="AA296" i="29"/>
  <c r="AA295" i="29"/>
  <c r="AA297" i="29"/>
  <c r="Z337" i="29"/>
  <c r="Z339" i="29" s="1"/>
  <c r="AA298" i="29"/>
  <c r="AA299" i="29"/>
  <c r="AA292" i="29"/>
  <c r="Y292" i="29"/>
  <c r="X289" i="29"/>
  <c r="Y287" i="29" s="1"/>
  <c r="X337" i="29"/>
  <c r="Y298" i="29"/>
  <c r="Y294" i="29"/>
  <c r="Y293" i="29"/>
  <c r="Y296" i="29"/>
  <c r="AB213" i="29"/>
  <c r="AB233" i="29"/>
  <c r="AB229" i="29"/>
  <c r="AB227" i="29"/>
  <c r="AB225" i="29"/>
  <c r="AB131" i="29"/>
  <c r="Y214" i="29"/>
  <c r="Z342" i="29"/>
  <c r="AB211" i="29"/>
  <c r="Z289" i="29"/>
  <c r="AA286" i="29" s="1"/>
  <c r="Y295" i="29"/>
  <c r="Y297" i="29"/>
  <c r="AB113" i="28"/>
  <c r="AB91" i="28"/>
  <c r="AB76" i="28"/>
  <c r="AB75" i="28"/>
  <c r="Z74" i="28"/>
  <c r="T58" i="28"/>
  <c r="AA313" i="29" l="1"/>
  <c r="AA301" i="29"/>
  <c r="AA284" i="29"/>
  <c r="AA282" i="29"/>
  <c r="AA280" i="29"/>
  <c r="AA287" i="29"/>
  <c r="AA283" i="29"/>
  <c r="AA281" i="29"/>
  <c r="Y281" i="29"/>
  <c r="Y283" i="29"/>
  <c r="Y285" i="29"/>
  <c r="Y284" i="29"/>
  <c r="Y280" i="29"/>
  <c r="Y286" i="29"/>
  <c r="Y282" i="29"/>
  <c r="Y301" i="29"/>
  <c r="AA285" i="29"/>
  <c r="Z211" i="28"/>
  <c r="Z213" i="28" s="1"/>
  <c r="Y211" i="28"/>
  <c r="AB203" i="28"/>
  <c r="AB206" i="28" s="1"/>
  <c r="AB195" i="28"/>
  <c r="AB187" i="28"/>
  <c r="AB179" i="28"/>
  <c r="AB168" i="28"/>
  <c r="AB171" i="28" s="1"/>
  <c r="AB173" i="28" s="1"/>
  <c r="AB162" i="28"/>
  <c r="AB150" i="28"/>
  <c r="AB159" i="28" s="1"/>
  <c r="AB139" i="28"/>
  <c r="AB146" i="28" s="1"/>
  <c r="AA335" i="28"/>
  <c r="Z335" i="28"/>
  <c r="Y335" i="28"/>
  <c r="X335" i="28"/>
  <c r="AA323" i="28"/>
  <c r="Z323" i="28"/>
  <c r="Y323" i="28"/>
  <c r="X323" i="28"/>
  <c r="AA313" i="28"/>
  <c r="Z313" i="28"/>
  <c r="Y313" i="28"/>
  <c r="X313" i="28"/>
  <c r="Y261" i="28" s="1"/>
  <c r="Z301" i="28"/>
  <c r="AA299" i="28" s="1"/>
  <c r="X301" i="28"/>
  <c r="Y299" i="28" s="1"/>
  <c r="Z287" i="28"/>
  <c r="X287" i="28"/>
  <c r="Z286" i="28"/>
  <c r="X286" i="28"/>
  <c r="Z285" i="28"/>
  <c r="X285" i="28"/>
  <c r="Z284" i="28"/>
  <c r="X284" i="28"/>
  <c r="Z283" i="28"/>
  <c r="X283" i="28"/>
  <c r="Z282" i="28"/>
  <c r="X282" i="28"/>
  <c r="Z281" i="28"/>
  <c r="X281" i="28"/>
  <c r="Z280" i="28"/>
  <c r="X280" i="28"/>
  <c r="Z266" i="28"/>
  <c r="Z267" i="28" s="1"/>
  <c r="Z264" i="28"/>
  <c r="Z263" i="28"/>
  <c r="Z262" i="28"/>
  <c r="Y262" i="28"/>
  <c r="Z261" i="28"/>
  <c r="Z242" i="28"/>
  <c r="AB220" i="28"/>
  <c r="AB212" i="28"/>
  <c r="Y210" i="28"/>
  <c r="AB205" i="28"/>
  <c r="AB197" i="28"/>
  <c r="AB196" i="28"/>
  <c r="AB190" i="28"/>
  <c r="AB189" i="28"/>
  <c r="AB181" i="28"/>
  <c r="AB180" i="28"/>
  <c r="AB182" i="28"/>
  <c r="AB174" i="28"/>
  <c r="AB172" i="28"/>
  <c r="AB165" i="28"/>
  <c r="AB163" i="28"/>
  <c r="AB149" i="28"/>
  <c r="AB138" i="28"/>
  <c r="B134" i="28"/>
  <c r="B237" i="28" s="1"/>
  <c r="B351" i="28" s="1"/>
  <c r="Z130" i="28"/>
  <c r="Z101" i="28"/>
  <c r="AB130" i="28"/>
  <c r="Z85" i="28"/>
  <c r="AB81" i="28"/>
  <c r="AB84" i="28"/>
  <c r="AB87" i="28" s="1"/>
  <c r="Z72" i="28"/>
  <c r="Z71" i="28"/>
  <c r="T70" i="28"/>
  <c r="R67" i="28"/>
  <c r="AB65" i="28"/>
  <c r="AB64" i="28"/>
  <c r="Z61" i="28"/>
  <c r="X61" i="28"/>
  <c r="V61" i="28"/>
  <c r="R61" i="28"/>
  <c r="P61" i="28"/>
  <c r="P67" i="28" s="1"/>
  <c r="AB59" i="28"/>
  <c r="Z84" i="28"/>
  <c r="Z87" i="28" s="1"/>
  <c r="X49" i="28"/>
  <c r="X48" i="28"/>
  <c r="AB42" i="28"/>
  <c r="P31" i="28"/>
  <c r="N31" i="28"/>
  <c r="L31" i="28"/>
  <c r="J31" i="28"/>
  <c r="H31" i="28"/>
  <c r="F31" i="28"/>
  <c r="D31" i="28"/>
  <c r="P30" i="28"/>
  <c r="N30" i="28"/>
  <c r="L30" i="28"/>
  <c r="J30" i="28"/>
  <c r="H30" i="28"/>
  <c r="F30" i="28"/>
  <c r="D30" i="28"/>
  <c r="AB30" i="28" s="1"/>
  <c r="AB35" i="28" s="1"/>
  <c r="Z244" i="28" s="1"/>
  <c r="Z245" i="28" s="1"/>
  <c r="AB29" i="28"/>
  <c r="V58" i="27"/>
  <c r="AA289" i="29" l="1"/>
  <c r="Y289" i="29"/>
  <c r="Z289" i="28"/>
  <c r="AA294" i="28"/>
  <c r="AA295" i="28"/>
  <c r="AA296" i="28"/>
  <c r="AA297" i="28"/>
  <c r="AA292" i="28"/>
  <c r="AA298" i="28"/>
  <c r="AA293" i="28"/>
  <c r="Y295" i="28"/>
  <c r="Y294" i="28"/>
  <c r="Y297" i="28"/>
  <c r="Y292" i="28"/>
  <c r="Y298" i="28"/>
  <c r="Y296" i="28"/>
  <c r="Y293" i="28"/>
  <c r="Z337" i="28"/>
  <c r="X337" i="28"/>
  <c r="AB198" i="28"/>
  <c r="Z131" i="28"/>
  <c r="Z338" i="28"/>
  <c r="AB211" i="28"/>
  <c r="Z342" i="28"/>
  <c r="Z246" i="28"/>
  <c r="AB227" i="28"/>
  <c r="AB233" i="28"/>
  <c r="AB225" i="28"/>
  <c r="AB131" i="28"/>
  <c r="AB231" i="28"/>
  <c r="AB229" i="28"/>
  <c r="AA286" i="28"/>
  <c r="AA284" i="28"/>
  <c r="AA282" i="28"/>
  <c r="AA280" i="28"/>
  <c r="AA287" i="28"/>
  <c r="AA285" i="28"/>
  <c r="AA283" i="28"/>
  <c r="AA281" i="28"/>
  <c r="AB43" i="28"/>
  <c r="Y213" i="28"/>
  <c r="AB213" i="28" s="1"/>
  <c r="X289" i="28"/>
  <c r="Y281" i="28" s="1"/>
  <c r="Z256" i="28"/>
  <c r="AB31" i="28"/>
  <c r="AB58" i="28"/>
  <c r="AB61" i="28" s="1"/>
  <c r="AB67" i="28" s="1"/>
  <c r="Z340" i="28" s="1"/>
  <c r="T61" i="28"/>
  <c r="AB91" i="27"/>
  <c r="AB76" i="27"/>
  <c r="AB75" i="27"/>
  <c r="Z74" i="27"/>
  <c r="T58" i="27"/>
  <c r="Z339" i="28" l="1"/>
  <c r="AA301" i="28"/>
  <c r="Y301" i="28"/>
  <c r="Y283" i="28"/>
  <c r="Y280" i="28"/>
  <c r="AA289" i="28"/>
  <c r="Y287" i="28"/>
  <c r="Y286" i="28"/>
  <c r="Y285" i="28"/>
  <c r="Y284" i="28"/>
  <c r="Y282" i="28"/>
  <c r="Y214" i="28"/>
  <c r="Z267" i="27"/>
  <c r="Z211" i="27"/>
  <c r="Y211" i="27"/>
  <c r="Y213" i="27" s="1"/>
  <c r="AB203" i="27"/>
  <c r="AB195" i="27"/>
  <c r="AB187" i="27"/>
  <c r="AB179" i="27"/>
  <c r="AB168" i="27"/>
  <c r="AB171" i="27" s="1"/>
  <c r="AB162" i="27"/>
  <c r="AB150" i="27"/>
  <c r="AB159" i="27" s="1"/>
  <c r="AB139" i="27"/>
  <c r="AB146" i="27" s="1"/>
  <c r="AA335" i="27"/>
  <c r="Z335" i="27"/>
  <c r="Y335" i="27"/>
  <c r="X335" i="27"/>
  <c r="AA323" i="27"/>
  <c r="Z323" i="27"/>
  <c r="Y323" i="27"/>
  <c r="X323" i="27"/>
  <c r="AA313" i="27"/>
  <c r="Z313" i="27"/>
  <c r="Z261" i="27" s="1"/>
  <c r="Y313" i="27"/>
  <c r="X313" i="27"/>
  <c r="Y261" i="27" s="1"/>
  <c r="Z301" i="27"/>
  <c r="AA298" i="27" s="1"/>
  <c r="X301" i="27"/>
  <c r="Y297" i="27" s="1"/>
  <c r="Z287" i="27"/>
  <c r="X287" i="27"/>
  <c r="Z286" i="27"/>
  <c r="X286" i="27"/>
  <c r="Z285" i="27"/>
  <c r="X285" i="27"/>
  <c r="Z284" i="27"/>
  <c r="X284" i="27"/>
  <c r="Z283" i="27"/>
  <c r="X283" i="27"/>
  <c r="Z282" i="27"/>
  <c r="X282" i="27"/>
  <c r="Z281" i="27"/>
  <c r="X281" i="27"/>
  <c r="Z280" i="27"/>
  <c r="X280" i="27"/>
  <c r="Z266" i="27"/>
  <c r="Z264" i="27"/>
  <c r="Z263" i="27"/>
  <c r="Y262" i="27"/>
  <c r="Z256" i="27"/>
  <c r="Z242" i="27"/>
  <c r="AB220" i="27"/>
  <c r="AB212" i="27"/>
  <c r="Z213" i="27"/>
  <c r="AB205" i="27"/>
  <c r="AB197" i="27"/>
  <c r="AB196" i="27"/>
  <c r="AB189" i="27"/>
  <c r="AB190" i="27" s="1"/>
  <c r="AB181" i="27"/>
  <c r="AB180" i="27"/>
  <c r="AB174" i="27"/>
  <c r="AB172" i="27"/>
  <c r="AB163" i="27"/>
  <c r="AB149" i="27"/>
  <c r="AB138" i="27"/>
  <c r="B134" i="27"/>
  <c r="B237" i="27" s="1"/>
  <c r="B351" i="27" s="1"/>
  <c r="Z130" i="27"/>
  <c r="AB113" i="27"/>
  <c r="AB130" i="27" s="1"/>
  <c r="Z101" i="27"/>
  <c r="Z85" i="27"/>
  <c r="AB81" i="27"/>
  <c r="AB84" i="27"/>
  <c r="AB87" i="27" s="1"/>
  <c r="Z72" i="27"/>
  <c r="Z71" i="27"/>
  <c r="T70" i="27"/>
  <c r="AB65" i="27"/>
  <c r="AB64" i="27"/>
  <c r="Z338" i="27" s="1"/>
  <c r="Z61" i="27"/>
  <c r="X61" i="27"/>
  <c r="V61" i="27"/>
  <c r="T61" i="27"/>
  <c r="R61" i="27"/>
  <c r="R67" i="27" s="1"/>
  <c r="P61" i="27"/>
  <c r="P67" i="27" s="1"/>
  <c r="AB59" i="27"/>
  <c r="AB58" i="27"/>
  <c r="X49" i="27"/>
  <c r="X48" i="27"/>
  <c r="AB42" i="27"/>
  <c r="P31" i="27"/>
  <c r="N31" i="27"/>
  <c r="L31" i="27"/>
  <c r="J31" i="27"/>
  <c r="H31" i="27"/>
  <c r="F31" i="27"/>
  <c r="D31" i="27"/>
  <c r="P30" i="27"/>
  <c r="N30" i="27"/>
  <c r="L30" i="27"/>
  <c r="J30" i="27"/>
  <c r="H30" i="27"/>
  <c r="F30" i="27"/>
  <c r="D30" i="27"/>
  <c r="AB29" i="27"/>
  <c r="Y210" i="27" s="1"/>
  <c r="Z342" i="26"/>
  <c r="Y289" i="28" l="1"/>
  <c r="AB173" i="27"/>
  <c r="Z84" i="27"/>
  <c r="Z87" i="27" s="1"/>
  <c r="AB61" i="27"/>
  <c r="AB67" i="27" s="1"/>
  <c r="Z340" i="27" s="1"/>
  <c r="AB165" i="27"/>
  <c r="Z342" i="27"/>
  <c r="AB182" i="27"/>
  <c r="AB206" i="27"/>
  <c r="Z131" i="27"/>
  <c r="AB31" i="27"/>
  <c r="AB43" i="27"/>
  <c r="AB30" i="27"/>
  <c r="AB35" i="27" s="1"/>
  <c r="Z244" i="27" s="1"/>
  <c r="Z245" i="27" s="1"/>
  <c r="Z337" i="27"/>
  <c r="Z339" i="27" s="1"/>
  <c r="Y293" i="27"/>
  <c r="Y296" i="27"/>
  <c r="X289" i="27"/>
  <c r="Y286" i="27" s="1"/>
  <c r="Y292" i="27"/>
  <c r="Y294" i="27"/>
  <c r="X337" i="27"/>
  <c r="Y298" i="27"/>
  <c r="Y295" i="27"/>
  <c r="Y299" i="27"/>
  <c r="AB213" i="27"/>
  <c r="Y214" i="27"/>
  <c r="AB211" i="27"/>
  <c r="AB198" i="27"/>
  <c r="AB233" i="27"/>
  <c r="AB225" i="27"/>
  <c r="AB131" i="27"/>
  <c r="Z246" i="27"/>
  <c r="AB231" i="27"/>
  <c r="AB229" i="27"/>
  <c r="AB227" i="27"/>
  <c r="Z289" i="27"/>
  <c r="AA287" i="27" s="1"/>
  <c r="Z262" i="27"/>
  <c r="AA293" i="27"/>
  <c r="AA295" i="27"/>
  <c r="AA297" i="27"/>
  <c r="AA299" i="27"/>
  <c r="AA292" i="27"/>
  <c r="AA294" i="27"/>
  <c r="AA296" i="27"/>
  <c r="AB113" i="26"/>
  <c r="AB91" i="26"/>
  <c r="AB76" i="26"/>
  <c r="AB75" i="26"/>
  <c r="AA286" i="27" l="1"/>
  <c r="AA283" i="27"/>
  <c r="AA301" i="27"/>
  <c r="AA284" i="27"/>
  <c r="AA282" i="27"/>
  <c r="AA285" i="27"/>
  <c r="Y283" i="27"/>
  <c r="Y280" i="27"/>
  <c r="Y285" i="27"/>
  <c r="Y284" i="27"/>
  <c r="Y281" i="27"/>
  <c r="Y287" i="27"/>
  <c r="Y301" i="27"/>
  <c r="Y282" i="27"/>
  <c r="AA280" i="27"/>
  <c r="AA281" i="27"/>
  <c r="Z74" i="26"/>
  <c r="T58" i="26"/>
  <c r="AB31" i="26"/>
  <c r="Y289" i="27" l="1"/>
  <c r="AA289" i="27"/>
  <c r="Z211" i="26"/>
  <c r="Y211" i="26"/>
  <c r="Y213" i="26" s="1"/>
  <c r="AB203" i="26"/>
  <c r="AB195" i="26"/>
  <c r="AB187" i="26"/>
  <c r="AB179" i="26"/>
  <c r="AB168" i="26"/>
  <c r="AB171" i="26" s="1"/>
  <c r="AB162" i="26"/>
  <c r="AB150" i="26"/>
  <c r="AB139" i="26"/>
  <c r="AA335" i="26"/>
  <c r="Z335" i="26"/>
  <c r="Y335" i="26"/>
  <c r="X335" i="26"/>
  <c r="AA323" i="26"/>
  <c r="Z323" i="26"/>
  <c r="Y323" i="26"/>
  <c r="X323" i="26"/>
  <c r="AA313" i="26"/>
  <c r="Z313" i="26"/>
  <c r="Z261" i="26" s="1"/>
  <c r="Y313" i="26"/>
  <c r="X313" i="26"/>
  <c r="Y261" i="26" s="1"/>
  <c r="Z301" i="26"/>
  <c r="AA299" i="26" s="1"/>
  <c r="X301" i="26"/>
  <c r="Y299" i="26" s="1"/>
  <c r="Z287" i="26"/>
  <c r="X287" i="26"/>
  <c r="Z286" i="26"/>
  <c r="X286" i="26"/>
  <c r="Z285" i="26"/>
  <c r="X285" i="26"/>
  <c r="Z284" i="26"/>
  <c r="X284" i="26"/>
  <c r="Z283" i="26"/>
  <c r="X283" i="26"/>
  <c r="Z282" i="26"/>
  <c r="X282" i="26"/>
  <c r="Z281" i="26"/>
  <c r="X281" i="26"/>
  <c r="Z280" i="26"/>
  <c r="X280" i="26"/>
  <c r="Z266" i="26"/>
  <c r="Z267" i="26" s="1"/>
  <c r="Z264" i="26"/>
  <c r="Z263" i="26"/>
  <c r="Z262" i="26"/>
  <c r="Y262" i="26"/>
  <c r="Z242" i="26"/>
  <c r="AB220" i="26"/>
  <c r="AB212" i="26"/>
  <c r="Z213" i="26"/>
  <c r="AB205" i="26"/>
  <c r="AB206" i="26" s="1"/>
  <c r="AB197" i="26"/>
  <c r="AB196" i="26"/>
  <c r="AB189" i="26"/>
  <c r="AB190" i="26" s="1"/>
  <c r="AB181" i="26"/>
  <c r="AB180" i="26"/>
  <c r="AB174" i="26"/>
  <c r="AB172" i="26"/>
  <c r="AB163" i="26"/>
  <c r="AB159" i="26"/>
  <c r="AB149" i="26"/>
  <c r="AB146" i="26"/>
  <c r="AB138" i="26"/>
  <c r="B134" i="26"/>
  <c r="B237" i="26" s="1"/>
  <c r="B351" i="26" s="1"/>
  <c r="Z130" i="26"/>
  <c r="Z101" i="26"/>
  <c r="Z85" i="26"/>
  <c r="AB81" i="26"/>
  <c r="Z72" i="26"/>
  <c r="Z71" i="26"/>
  <c r="T70" i="26"/>
  <c r="AB65" i="26"/>
  <c r="AB64" i="26"/>
  <c r="Z61" i="26"/>
  <c r="X61" i="26"/>
  <c r="V61" i="26"/>
  <c r="R61" i="26"/>
  <c r="R67" i="26" s="1"/>
  <c r="P61" i="26"/>
  <c r="P67" i="26" s="1"/>
  <c r="AB59" i="26"/>
  <c r="Z256" i="26"/>
  <c r="X49" i="26"/>
  <c r="X48" i="26"/>
  <c r="AB42" i="26"/>
  <c r="P31" i="26"/>
  <c r="N31" i="26"/>
  <c r="L31" i="26"/>
  <c r="J31" i="26"/>
  <c r="H31" i="26"/>
  <c r="F31" i="26"/>
  <c r="D31" i="26"/>
  <c r="P30" i="26"/>
  <c r="N30" i="26"/>
  <c r="L30" i="26"/>
  <c r="J30" i="26"/>
  <c r="H30" i="26"/>
  <c r="F30" i="26"/>
  <c r="D30" i="26"/>
  <c r="AB29" i="26"/>
  <c r="Y210" i="26" s="1"/>
  <c r="AB113" i="25"/>
  <c r="AB91" i="25"/>
  <c r="AB76" i="25"/>
  <c r="AB75" i="25"/>
  <c r="AB30" i="26" l="1"/>
  <c r="AB35" i="26" s="1"/>
  <c r="Z244" i="26" s="1"/>
  <c r="Z245" i="26" s="1"/>
  <c r="AB58" i="26"/>
  <c r="AB61" i="26" s="1"/>
  <c r="AB67" i="26" s="1"/>
  <c r="Z340" i="26" s="1"/>
  <c r="T61" i="26"/>
  <c r="AB182" i="26"/>
  <c r="AB173" i="26"/>
  <c r="Z338" i="26"/>
  <c r="AB84" i="26"/>
  <c r="AB87" i="26" s="1"/>
  <c r="AB233" i="26" s="1"/>
  <c r="AB130" i="26"/>
  <c r="X289" i="26"/>
  <c r="Y281" i="26" s="1"/>
  <c r="Y297" i="26"/>
  <c r="AB165" i="26"/>
  <c r="AB198" i="26"/>
  <c r="AA294" i="26"/>
  <c r="AA296" i="26"/>
  <c r="AA292" i="26"/>
  <c r="AA293" i="26"/>
  <c r="AA297" i="26"/>
  <c r="AA295" i="26"/>
  <c r="AA298" i="26"/>
  <c r="Z337" i="26"/>
  <c r="X337" i="26"/>
  <c r="Y292" i="26"/>
  <c r="Y294" i="26"/>
  <c r="Y293" i="26"/>
  <c r="Y295" i="26"/>
  <c r="Y296" i="26"/>
  <c r="Y298" i="26"/>
  <c r="Y214" i="26"/>
  <c r="AB213" i="26"/>
  <c r="Y283" i="26"/>
  <c r="Y284" i="26"/>
  <c r="AB43" i="26"/>
  <c r="Z84" i="26"/>
  <c r="Z87" i="26" s="1"/>
  <c r="Z131" i="26" s="1"/>
  <c r="AB211" i="26"/>
  <c r="Z289" i="26"/>
  <c r="AA287" i="26" s="1"/>
  <c r="Z74" i="25"/>
  <c r="T58" i="25"/>
  <c r="AB225" i="26" l="1"/>
  <c r="AB231" i="26"/>
  <c r="AB229" i="26"/>
  <c r="Y286" i="26"/>
  <c r="Y287" i="26"/>
  <c r="Y285" i="26"/>
  <c r="Y280" i="26"/>
  <c r="Y282" i="26"/>
  <c r="AB227" i="26"/>
  <c r="AB131" i="26"/>
  <c r="Z246" i="26"/>
  <c r="AA301" i="26"/>
  <c r="Z339" i="26"/>
  <c r="Y301" i="26"/>
  <c r="AA281" i="26"/>
  <c r="AA285" i="26"/>
  <c r="AA284" i="26"/>
  <c r="AA283" i="26"/>
  <c r="AA282" i="26"/>
  <c r="AA280" i="26"/>
  <c r="AA286" i="26"/>
  <c r="Z267" i="25"/>
  <c r="Z211" i="25"/>
  <c r="Y211" i="25"/>
  <c r="Y213" i="25" s="1"/>
  <c r="AB203" i="25"/>
  <c r="AB195" i="25"/>
  <c r="AB187" i="25"/>
  <c r="AB179" i="25"/>
  <c r="AB182" i="25" s="1"/>
  <c r="AB168" i="25"/>
  <c r="AB171" i="25" s="1"/>
  <c r="AB162" i="25"/>
  <c r="AB165" i="25" s="1"/>
  <c r="AB150" i="25"/>
  <c r="AB139" i="25"/>
  <c r="Z347" i="25"/>
  <c r="X347" i="25"/>
  <c r="Y347" i="25"/>
  <c r="AA335" i="25"/>
  <c r="Z335" i="25"/>
  <c r="Y335" i="25"/>
  <c r="X335" i="25"/>
  <c r="AA323" i="25"/>
  <c r="Z323" i="25"/>
  <c r="Y323" i="25"/>
  <c r="X323" i="25"/>
  <c r="AA313" i="25"/>
  <c r="Z313" i="25"/>
  <c r="Y313" i="25"/>
  <c r="X313" i="25"/>
  <c r="Z301" i="25"/>
  <c r="AA299" i="25" s="1"/>
  <c r="X301" i="25"/>
  <c r="Y299" i="25" s="1"/>
  <c r="Z287" i="25"/>
  <c r="X287" i="25"/>
  <c r="Z286" i="25"/>
  <c r="X286" i="25"/>
  <c r="Z285" i="25"/>
  <c r="X285" i="25"/>
  <c r="Z284" i="25"/>
  <c r="X284" i="25"/>
  <c r="Z283" i="25"/>
  <c r="X283" i="25"/>
  <c r="Z282" i="25"/>
  <c r="X282" i="25"/>
  <c r="Z281" i="25"/>
  <c r="X281" i="25"/>
  <c r="Z280" i="25"/>
  <c r="X280" i="25"/>
  <c r="Z266" i="25"/>
  <c r="Z264" i="25"/>
  <c r="Z263" i="25"/>
  <c r="Z262" i="25"/>
  <c r="Y262" i="25"/>
  <c r="Z261" i="25"/>
  <c r="Y261" i="25"/>
  <c r="Z242" i="25"/>
  <c r="AB220" i="25"/>
  <c r="AB212" i="25"/>
  <c r="Z213" i="25"/>
  <c r="AB205" i="25"/>
  <c r="AB206" i="25" s="1"/>
  <c r="AB197" i="25"/>
  <c r="AB196" i="25"/>
  <c r="AB189" i="25"/>
  <c r="AB190" i="25" s="1"/>
  <c r="AB181" i="25"/>
  <c r="AB180" i="25"/>
  <c r="AB174" i="25"/>
  <c r="AB172" i="25"/>
  <c r="AB163" i="25"/>
  <c r="AB159" i="25"/>
  <c r="AB149" i="25"/>
  <c r="AB146" i="25"/>
  <c r="AB138" i="25"/>
  <c r="B134" i="25"/>
  <c r="B237" i="25" s="1"/>
  <c r="B368" i="25" s="1"/>
  <c r="Z130" i="25"/>
  <c r="Z101" i="25"/>
  <c r="AB130" i="25"/>
  <c r="Z85" i="25"/>
  <c r="AB81" i="25"/>
  <c r="AB84" i="25"/>
  <c r="AB87" i="25" s="1"/>
  <c r="Z72" i="25"/>
  <c r="Z71" i="25"/>
  <c r="T70" i="25"/>
  <c r="AB65" i="25"/>
  <c r="AB64" i="25"/>
  <c r="Z61" i="25"/>
  <c r="X61" i="25"/>
  <c r="V61" i="25"/>
  <c r="T61" i="25"/>
  <c r="R61" i="25"/>
  <c r="R67" i="25" s="1"/>
  <c r="P61" i="25"/>
  <c r="P67" i="25" s="1"/>
  <c r="AB59" i="25"/>
  <c r="AB58" i="25"/>
  <c r="AB61" i="25" s="1"/>
  <c r="Z256" i="25"/>
  <c r="X49" i="25"/>
  <c r="X48" i="25"/>
  <c r="AB42" i="25"/>
  <c r="P31" i="25"/>
  <c r="N31" i="25"/>
  <c r="L31" i="25"/>
  <c r="J31" i="25"/>
  <c r="H31" i="25"/>
  <c r="F31" i="25"/>
  <c r="D31" i="25"/>
  <c r="P30" i="25"/>
  <c r="N30" i="25"/>
  <c r="L30" i="25"/>
  <c r="J30" i="25"/>
  <c r="H30" i="25"/>
  <c r="AB30" i="25" s="1"/>
  <c r="AB35" i="25" s="1"/>
  <c r="Z244" i="25" s="1"/>
  <c r="Z245" i="25" s="1"/>
  <c r="F30" i="25"/>
  <c r="D30" i="25"/>
  <c r="AB29" i="25"/>
  <c r="Y210" i="25" s="1"/>
  <c r="Y289" i="26" l="1"/>
  <c r="AA289" i="26"/>
  <c r="AB198" i="25"/>
  <c r="AB173" i="25"/>
  <c r="AB67" i="25"/>
  <c r="Z355" i="25" s="1"/>
  <c r="Z353" i="25"/>
  <c r="Z84" i="25"/>
  <c r="Z87" i="25" s="1"/>
  <c r="Z131" i="25" s="1"/>
  <c r="AB43" i="25"/>
  <c r="AA294" i="25"/>
  <c r="AA298" i="25"/>
  <c r="AA292" i="25"/>
  <c r="Z352" i="25"/>
  <c r="AA296" i="25"/>
  <c r="X289" i="25"/>
  <c r="Y287" i="25" s="1"/>
  <c r="Y295" i="25"/>
  <c r="Y298" i="25"/>
  <c r="Y293" i="25"/>
  <c r="Y296" i="25"/>
  <c r="Y292" i="25"/>
  <c r="Y297" i="25"/>
  <c r="Y294" i="25"/>
  <c r="X352" i="25"/>
  <c r="AB213" i="25"/>
  <c r="Y286" i="25"/>
  <c r="Y283" i="25"/>
  <c r="Y280" i="25"/>
  <c r="Y284" i="25"/>
  <c r="Y281" i="25"/>
  <c r="Y285" i="25"/>
  <c r="AB231" i="25"/>
  <c r="AB229" i="25"/>
  <c r="AB225" i="25"/>
  <c r="AB131" i="25"/>
  <c r="Z246" i="25"/>
  <c r="AB227" i="25"/>
  <c r="AB233" i="25"/>
  <c r="Y214" i="25"/>
  <c r="AB211" i="25"/>
  <c r="Z289" i="25"/>
  <c r="AA280" i="25" s="1"/>
  <c r="AB31" i="25"/>
  <c r="Z357" i="25" s="1"/>
  <c r="AA293" i="25"/>
  <c r="AA295" i="25"/>
  <c r="AA297" i="25"/>
  <c r="AA347" i="25"/>
  <c r="Y348" i="25"/>
  <c r="Z74" i="24"/>
  <c r="Z354" i="25" l="1"/>
  <c r="AA286" i="25"/>
  <c r="AA301" i="25"/>
  <c r="AA285" i="25"/>
  <c r="AA348" i="25"/>
  <c r="Y282" i="25"/>
  <c r="Y301" i="25"/>
  <c r="AA283" i="25"/>
  <c r="AA284" i="25"/>
  <c r="AA281" i="25"/>
  <c r="AA282" i="25"/>
  <c r="Y289" i="25"/>
  <c r="AA287" i="25"/>
  <c r="AB31" i="24"/>
  <c r="AB30" i="24"/>
  <c r="AA289" i="25" l="1"/>
  <c r="AB113" i="24"/>
  <c r="AB91" i="24"/>
  <c r="AB76" i="24"/>
  <c r="AB75" i="24"/>
  <c r="T58" i="24"/>
  <c r="Z211" i="24" l="1"/>
  <c r="Y211" i="24"/>
  <c r="AB203" i="24"/>
  <c r="AB195" i="24"/>
  <c r="AB187" i="24"/>
  <c r="AB179" i="24"/>
  <c r="AB168" i="24"/>
  <c r="AB162" i="24"/>
  <c r="AB150" i="24"/>
  <c r="AB159" i="24" s="1"/>
  <c r="AB139" i="24"/>
  <c r="AA350" i="24"/>
  <c r="Z347" i="24"/>
  <c r="AA349" i="24" s="1"/>
  <c r="X347" i="24"/>
  <c r="Y350" i="24" s="1"/>
  <c r="Y345" i="24"/>
  <c r="AA344" i="24"/>
  <c r="Y343" i="24"/>
  <c r="AA342" i="24"/>
  <c r="AA340" i="24"/>
  <c r="Y340" i="24"/>
  <c r="AA339" i="24"/>
  <c r="AA338" i="24"/>
  <c r="Y338" i="24"/>
  <c r="AA335" i="24"/>
  <c r="Z335" i="24"/>
  <c r="Y335" i="24"/>
  <c r="X335" i="24"/>
  <c r="AA323" i="24"/>
  <c r="Z323" i="24"/>
  <c r="Y323" i="24"/>
  <c r="X323" i="24"/>
  <c r="AA313" i="24"/>
  <c r="Z313" i="24"/>
  <c r="Y313" i="24"/>
  <c r="X313" i="24"/>
  <c r="Z301" i="24"/>
  <c r="AA296" i="24" s="1"/>
  <c r="X301" i="24"/>
  <c r="Y299" i="24" s="1"/>
  <c r="AA295" i="24"/>
  <c r="AA293" i="24"/>
  <c r="Z287" i="24"/>
  <c r="X287" i="24"/>
  <c r="Z286" i="24"/>
  <c r="X286" i="24"/>
  <c r="Z285" i="24"/>
  <c r="X285" i="24"/>
  <c r="Z284" i="24"/>
  <c r="X284" i="24"/>
  <c r="Z283" i="24"/>
  <c r="X283" i="24"/>
  <c r="Z282" i="24"/>
  <c r="X282" i="24"/>
  <c r="Z281" i="24"/>
  <c r="X281" i="24"/>
  <c r="Z280" i="24"/>
  <c r="X280" i="24"/>
  <c r="Z266" i="24"/>
  <c r="Z267" i="24" s="1"/>
  <c r="Z264" i="24"/>
  <c r="Z263" i="24"/>
  <c r="Z262" i="24"/>
  <c r="Y262" i="24"/>
  <c r="Z261" i="24"/>
  <c r="Y261" i="24"/>
  <c r="Z242" i="24"/>
  <c r="AB220" i="24"/>
  <c r="AB212" i="24"/>
  <c r="Z213" i="24"/>
  <c r="Y213" i="24"/>
  <c r="AB205" i="24"/>
  <c r="AB197" i="24"/>
  <c r="AB196" i="24"/>
  <c r="AB198" i="24" s="1"/>
  <c r="AB189" i="24"/>
  <c r="AB190" i="24" s="1"/>
  <c r="AB181" i="24"/>
  <c r="AB180" i="24"/>
  <c r="AB182" i="24"/>
  <c r="AB174" i="24"/>
  <c r="AB172" i="24"/>
  <c r="AB171" i="24"/>
  <c r="AB163" i="24"/>
  <c r="AB165" i="24"/>
  <c r="AB149" i="24"/>
  <c r="AB146" i="24"/>
  <c r="AB138" i="24"/>
  <c r="B134" i="24"/>
  <c r="B237" i="24" s="1"/>
  <c r="B368" i="24" s="1"/>
  <c r="Z130" i="24"/>
  <c r="Z101" i="24"/>
  <c r="AB130" i="24"/>
  <c r="Z85" i="24"/>
  <c r="AB81" i="24"/>
  <c r="AB84" i="24"/>
  <c r="AB87" i="24" s="1"/>
  <c r="Z72" i="24"/>
  <c r="Z71" i="24"/>
  <c r="T70" i="24"/>
  <c r="P67" i="24"/>
  <c r="AB65" i="24"/>
  <c r="AB64" i="24"/>
  <c r="Z61" i="24"/>
  <c r="X61" i="24"/>
  <c r="V61" i="24"/>
  <c r="R61" i="24"/>
  <c r="R67" i="24" s="1"/>
  <c r="P61" i="24"/>
  <c r="AB59" i="24"/>
  <c r="Z256" i="24"/>
  <c r="X49" i="24"/>
  <c r="X48" i="24"/>
  <c r="AB42" i="24"/>
  <c r="P31" i="24"/>
  <c r="N31" i="24"/>
  <c r="L31" i="24"/>
  <c r="J31" i="24"/>
  <c r="H31" i="24"/>
  <c r="F31" i="24"/>
  <c r="D31" i="24"/>
  <c r="P30" i="24"/>
  <c r="N30" i="24"/>
  <c r="L30" i="24"/>
  <c r="J30" i="24"/>
  <c r="H30" i="24"/>
  <c r="F30" i="24"/>
  <c r="D30" i="24"/>
  <c r="AB29" i="24"/>
  <c r="Y210" i="24" s="1"/>
  <c r="AB206" i="24" l="1"/>
  <c r="AB173" i="24"/>
  <c r="Z353" i="24"/>
  <c r="AB35" i="24"/>
  <c r="Z244" i="24" s="1"/>
  <c r="Z245" i="24" s="1"/>
  <c r="Y339" i="24"/>
  <c r="Y347" i="24" s="1"/>
  <c r="Y341" i="24"/>
  <c r="Y344" i="24"/>
  <c r="Y342" i="24"/>
  <c r="AA297" i="24"/>
  <c r="AA292" i="24"/>
  <c r="AA298" i="24"/>
  <c r="AA294" i="24"/>
  <c r="AA299" i="24"/>
  <c r="Z352" i="24"/>
  <c r="Z354" i="24" s="1"/>
  <c r="Y292" i="24"/>
  <c r="Y293" i="24"/>
  <c r="X352" i="24"/>
  <c r="Y296" i="24"/>
  <c r="Y294" i="24"/>
  <c r="Y295" i="24"/>
  <c r="Y297" i="24"/>
  <c r="X289" i="24"/>
  <c r="Y281" i="24" s="1"/>
  <c r="Y298" i="24"/>
  <c r="AB213" i="24"/>
  <c r="AB231" i="24"/>
  <c r="AB233" i="24"/>
  <c r="AB229" i="24"/>
  <c r="Z246" i="24"/>
  <c r="AB227" i="24"/>
  <c r="AB225" i="24"/>
  <c r="AB131" i="24"/>
  <c r="Y214" i="24"/>
  <c r="AB43" i="24"/>
  <c r="T61" i="24"/>
  <c r="AB211" i="24"/>
  <c r="Z289" i="24"/>
  <c r="AA280" i="24" s="1"/>
  <c r="Y349" i="24"/>
  <c r="AB58" i="24"/>
  <c r="AB61" i="24" s="1"/>
  <c r="AB67" i="24" s="1"/>
  <c r="Z355" i="24" s="1"/>
  <c r="Z357" i="24"/>
  <c r="Z84" i="24"/>
  <c r="Z87" i="24" s="1"/>
  <c r="Z131" i="24" s="1"/>
  <c r="AA341" i="24"/>
  <c r="AA343" i="24"/>
  <c r="AA345" i="24"/>
  <c r="AA347" i="24" s="1"/>
  <c r="Y348" i="24"/>
  <c r="AA349" i="23"/>
  <c r="AA301" i="24" l="1"/>
  <c r="AA281" i="24"/>
  <c r="AA348" i="24"/>
  <c r="AA285" i="24"/>
  <c r="AA283" i="24"/>
  <c r="Y286" i="24"/>
  <c r="Y280" i="24"/>
  <c r="Y283" i="24"/>
  <c r="Y301" i="24"/>
  <c r="Y287" i="24"/>
  <c r="Y282" i="24"/>
  <c r="Y284" i="24"/>
  <c r="Y285" i="24"/>
  <c r="AA286" i="24"/>
  <c r="AA284" i="24"/>
  <c r="AA287" i="24"/>
  <c r="AA282" i="24"/>
  <c r="AB31" i="23"/>
  <c r="AA289" i="24" l="1"/>
  <c r="Y289" i="24"/>
  <c r="AB91" i="23"/>
  <c r="AB76" i="23"/>
  <c r="AB75" i="23"/>
  <c r="Z74" i="23"/>
  <c r="T58" i="23"/>
  <c r="Z267" i="23" l="1"/>
  <c r="AB203" i="23"/>
  <c r="AB195" i="23"/>
  <c r="AB187" i="23"/>
  <c r="AB179" i="23"/>
  <c r="AB182" i="23" s="1"/>
  <c r="AB168" i="23"/>
  <c r="AB162" i="23"/>
  <c r="AB150" i="23"/>
  <c r="AB139" i="23"/>
  <c r="Z211" i="23"/>
  <c r="Y211" i="23"/>
  <c r="Y213" i="23" s="1"/>
  <c r="Z347" i="23"/>
  <c r="AA350" i="23" s="1"/>
  <c r="X347" i="23"/>
  <c r="Y349" i="23" s="1"/>
  <c r="AA345" i="23"/>
  <c r="AA344" i="23"/>
  <c r="AA343" i="23"/>
  <c r="AA341" i="23"/>
  <c r="AA340" i="23"/>
  <c r="Y340" i="23"/>
  <c r="AA339" i="23"/>
  <c r="AA338" i="23"/>
  <c r="AA335" i="23"/>
  <c r="Z335" i="23"/>
  <c r="Y335" i="23"/>
  <c r="X335" i="23"/>
  <c r="AA323" i="23"/>
  <c r="Z323" i="23"/>
  <c r="Y323" i="23"/>
  <c r="X323" i="23"/>
  <c r="AA313" i="23"/>
  <c r="Z313" i="23"/>
  <c r="Y313" i="23"/>
  <c r="X313" i="23"/>
  <c r="Z301" i="23"/>
  <c r="AA299" i="23" s="1"/>
  <c r="X301" i="23"/>
  <c r="Y299" i="23" s="1"/>
  <c r="Z287" i="23"/>
  <c r="X287" i="23"/>
  <c r="Z286" i="23"/>
  <c r="X286" i="23"/>
  <c r="Z285" i="23"/>
  <c r="X285" i="23"/>
  <c r="Z284" i="23"/>
  <c r="X284" i="23"/>
  <c r="Z283" i="23"/>
  <c r="X283" i="23"/>
  <c r="Z282" i="23"/>
  <c r="X282" i="23"/>
  <c r="Z281" i="23"/>
  <c r="X281" i="23"/>
  <c r="Z280" i="23"/>
  <c r="X280" i="23"/>
  <c r="Z266" i="23"/>
  <c r="Z264" i="23"/>
  <c r="Z263" i="23"/>
  <c r="Z262" i="23"/>
  <c r="Z261" i="23"/>
  <c r="Y261" i="23"/>
  <c r="AB220" i="23"/>
  <c r="AB212" i="23"/>
  <c r="Z213" i="23"/>
  <c r="AB205" i="23"/>
  <c r="AB197" i="23"/>
  <c r="AB196" i="23"/>
  <c r="AB190" i="23"/>
  <c r="AB189" i="23"/>
  <c r="AB181" i="23"/>
  <c r="AB180" i="23"/>
  <c r="AB174" i="23"/>
  <c r="AB172" i="23"/>
  <c r="AB171" i="23"/>
  <c r="AB163" i="23"/>
  <c r="AB165" i="23"/>
  <c r="AB159" i="23"/>
  <c r="AB149" i="23"/>
  <c r="AB146" i="23"/>
  <c r="AB138" i="23"/>
  <c r="B134" i="23"/>
  <c r="B237" i="23" s="1"/>
  <c r="B368" i="23" s="1"/>
  <c r="AB130" i="23"/>
  <c r="Z130" i="23"/>
  <c r="Z101" i="23"/>
  <c r="Z85" i="23"/>
  <c r="AB81" i="23"/>
  <c r="AB84" i="23"/>
  <c r="AB87" i="23" s="1"/>
  <c r="Z72" i="23"/>
  <c r="Z71" i="23"/>
  <c r="Z84" i="23" s="1"/>
  <c r="Z87" i="23" s="1"/>
  <c r="T70" i="23"/>
  <c r="P67" i="23"/>
  <c r="AB65" i="23"/>
  <c r="AB64" i="23"/>
  <c r="Z353" i="23" s="1"/>
  <c r="Z61" i="23"/>
  <c r="X61" i="23"/>
  <c r="T61" i="23"/>
  <c r="R61" i="23"/>
  <c r="R67" i="23" s="1"/>
  <c r="P61" i="23"/>
  <c r="AB59" i="23"/>
  <c r="Z256" i="23"/>
  <c r="X49" i="23"/>
  <c r="X48" i="23"/>
  <c r="AB42" i="23"/>
  <c r="P31" i="23"/>
  <c r="N31" i="23"/>
  <c r="L31" i="23"/>
  <c r="J31" i="23"/>
  <c r="H31" i="23"/>
  <c r="F31" i="23"/>
  <c r="D31" i="23"/>
  <c r="P30" i="23"/>
  <c r="N30" i="23"/>
  <c r="L30" i="23"/>
  <c r="J30" i="23"/>
  <c r="H30" i="23"/>
  <c r="F30" i="23"/>
  <c r="D30" i="23"/>
  <c r="AB30" i="23" s="1"/>
  <c r="AB35" i="23" s="1"/>
  <c r="AB29" i="23"/>
  <c r="Y210" i="23" s="1"/>
  <c r="AB206" i="23" l="1"/>
  <c r="AB198" i="23"/>
  <c r="AB173" i="23"/>
  <c r="Z131" i="23"/>
  <c r="AB43" i="23"/>
  <c r="AA342" i="23"/>
  <c r="AA347" i="23" s="1"/>
  <c r="Y344" i="23"/>
  <c r="Y338" i="23"/>
  <c r="Y342" i="23"/>
  <c r="AA292" i="23"/>
  <c r="AA296" i="23"/>
  <c r="AA293" i="23"/>
  <c r="AA297" i="23"/>
  <c r="AA295" i="23"/>
  <c r="AA294" i="23"/>
  <c r="Z352" i="23"/>
  <c r="Z354" i="23" s="1"/>
  <c r="Y296" i="23"/>
  <c r="Y294" i="23"/>
  <c r="X289" i="23"/>
  <c r="Y287" i="23" s="1"/>
  <c r="X352" i="23"/>
  <c r="Y348" i="23" s="1"/>
  <c r="Y292" i="23"/>
  <c r="Y214" i="23"/>
  <c r="Z244" i="23"/>
  <c r="Z245" i="23" s="1"/>
  <c r="Z242" i="23"/>
  <c r="AB231" i="23"/>
  <c r="AB225" i="23"/>
  <c r="Z246" i="23"/>
  <c r="AB229" i="23"/>
  <c r="AB131" i="23"/>
  <c r="AB227" i="23"/>
  <c r="AB233" i="23"/>
  <c r="AB213" i="23"/>
  <c r="Y298" i="23"/>
  <c r="Y350" i="23"/>
  <c r="Z357" i="23"/>
  <c r="AB58" i="23"/>
  <c r="AB61" i="23" s="1"/>
  <c r="AB67" i="23" s="1"/>
  <c r="Z355" i="23" s="1"/>
  <c r="AB211" i="23"/>
  <c r="AA298" i="23"/>
  <c r="V61" i="23"/>
  <c r="Y262" i="23"/>
  <c r="Z289" i="23"/>
  <c r="AA286" i="23" s="1"/>
  <c r="Y293" i="23"/>
  <c r="Y295" i="23"/>
  <c r="Y297" i="23"/>
  <c r="Y339" i="23"/>
  <c r="Y341" i="23"/>
  <c r="Y343" i="23"/>
  <c r="Y345" i="23"/>
  <c r="Y214" i="21"/>
  <c r="Y347" i="23" l="1"/>
  <c r="AA348" i="23"/>
  <c r="AA285" i="23"/>
  <c r="AA301" i="23"/>
  <c r="Y280" i="23"/>
  <c r="Y285" i="23"/>
  <c r="Y286" i="23"/>
  <c r="Y283" i="23"/>
  <c r="Y284" i="23"/>
  <c r="Y301" i="23"/>
  <c r="Y281" i="23"/>
  <c r="Y282" i="23"/>
  <c r="AA284" i="23"/>
  <c r="AA287" i="23"/>
  <c r="AA281" i="23"/>
  <c r="AA282" i="23"/>
  <c r="AA283" i="23"/>
  <c r="AA280" i="23"/>
  <c r="AB91" i="22"/>
  <c r="AB76" i="22"/>
  <c r="AB75" i="22"/>
  <c r="V58" i="22"/>
  <c r="T58" i="22"/>
  <c r="Y289" i="23" l="1"/>
  <c r="AA289" i="23"/>
  <c r="Z256" i="22"/>
  <c r="Z74" i="22"/>
  <c r="Y211" i="22"/>
  <c r="Y213" i="22" s="1"/>
  <c r="AB203" i="22"/>
  <c r="AB195" i="22"/>
  <c r="AB187" i="22"/>
  <c r="AB179" i="22"/>
  <c r="AB168" i="22"/>
  <c r="AB171" i="22" s="1"/>
  <c r="AB162" i="22"/>
  <c r="AB150" i="22"/>
  <c r="AB159" i="22" s="1"/>
  <c r="AB139" i="22"/>
  <c r="AB146" i="22" s="1"/>
  <c r="Z347" i="22"/>
  <c r="AA349" i="22" s="1"/>
  <c r="X347" i="22"/>
  <c r="Y350" i="22" s="1"/>
  <c r="Y344" i="22"/>
  <c r="Y343" i="22"/>
  <c r="Y341" i="22"/>
  <c r="AA340" i="22"/>
  <c r="AA338" i="22"/>
  <c r="AA335" i="22"/>
  <c r="Z335" i="22"/>
  <c r="Y335" i="22"/>
  <c r="X335" i="22"/>
  <c r="AA323" i="22"/>
  <c r="Z323" i="22"/>
  <c r="Y323" i="22"/>
  <c r="X323" i="22"/>
  <c r="AA313" i="22"/>
  <c r="Z313" i="22"/>
  <c r="Y313" i="22"/>
  <c r="X313" i="22"/>
  <c r="Z301" i="22"/>
  <c r="AA294" i="22" s="1"/>
  <c r="X301" i="22"/>
  <c r="Y299" i="22" s="1"/>
  <c r="Y297" i="22"/>
  <c r="Y295" i="22"/>
  <c r="Y294" i="22"/>
  <c r="Y293" i="22"/>
  <c r="Y292" i="22"/>
  <c r="Z287" i="22"/>
  <c r="X287" i="22"/>
  <c r="Z286" i="22"/>
  <c r="X286" i="22"/>
  <c r="Z285" i="22"/>
  <c r="X285" i="22"/>
  <c r="Z284" i="22"/>
  <c r="X284" i="22"/>
  <c r="Z283" i="22"/>
  <c r="X283" i="22"/>
  <c r="Z282" i="22"/>
  <c r="X282" i="22"/>
  <c r="Z281" i="22"/>
  <c r="X281" i="22"/>
  <c r="Z280" i="22"/>
  <c r="X280" i="22"/>
  <c r="Z266" i="22"/>
  <c r="Z267" i="22" s="1"/>
  <c r="Z264" i="22"/>
  <c r="Z263" i="22"/>
  <c r="Z262" i="22"/>
  <c r="Y262" i="22"/>
  <c r="Z261" i="22"/>
  <c r="Y261" i="22"/>
  <c r="AB220" i="22"/>
  <c r="AB212" i="22"/>
  <c r="AB205" i="22"/>
  <c r="AB197" i="22"/>
  <c r="AB196" i="22"/>
  <c r="AB189" i="22"/>
  <c r="AB190" i="22" s="1"/>
  <c r="AB181" i="22"/>
  <c r="AB180" i="22"/>
  <c r="AB174" i="22"/>
  <c r="AB172" i="22"/>
  <c r="AB163" i="22"/>
  <c r="AB149" i="22"/>
  <c r="AB138" i="22"/>
  <c r="B134" i="22"/>
  <c r="B237" i="22" s="1"/>
  <c r="B368" i="22" s="1"/>
  <c r="Z130" i="22"/>
  <c r="Z101" i="22"/>
  <c r="AB130" i="22"/>
  <c r="Z85" i="22"/>
  <c r="AB81" i="22"/>
  <c r="AB84" i="22"/>
  <c r="AB87" i="22" s="1"/>
  <c r="Z72" i="22"/>
  <c r="Z71" i="22"/>
  <c r="T70" i="22"/>
  <c r="AB65" i="22"/>
  <c r="AB64" i="22"/>
  <c r="Z61" i="22"/>
  <c r="X61" i="22"/>
  <c r="V61" i="22"/>
  <c r="T61" i="22"/>
  <c r="R61" i="22"/>
  <c r="R67" i="22" s="1"/>
  <c r="P61" i="22"/>
  <c r="P67" i="22" s="1"/>
  <c r="AB59" i="22"/>
  <c r="AB58" i="22"/>
  <c r="X49" i="22"/>
  <c r="X48" i="22"/>
  <c r="AB42" i="22"/>
  <c r="P31" i="22"/>
  <c r="N31" i="22"/>
  <c r="L31" i="22"/>
  <c r="J31" i="22"/>
  <c r="H31" i="22"/>
  <c r="F31" i="22"/>
  <c r="D31" i="22"/>
  <c r="P30" i="22"/>
  <c r="N30" i="22"/>
  <c r="L30" i="22"/>
  <c r="J30" i="22"/>
  <c r="H30" i="22"/>
  <c r="F30" i="22"/>
  <c r="D30" i="22"/>
  <c r="AB29" i="22"/>
  <c r="Y210" i="22" s="1"/>
  <c r="AB31" i="22" l="1"/>
  <c r="Y339" i="22"/>
  <c r="AA344" i="22"/>
  <c r="AB173" i="22"/>
  <c r="AB61" i="22"/>
  <c r="AB182" i="22"/>
  <c r="AA341" i="22"/>
  <c r="AA350" i="22"/>
  <c r="AB206" i="22"/>
  <c r="AB198" i="22"/>
  <c r="AB165" i="22"/>
  <c r="AB67" i="22"/>
  <c r="Z355" i="22" s="1"/>
  <c r="Z353" i="22"/>
  <c r="AB43" i="22"/>
  <c r="AB30" i="22"/>
  <c r="AB35" i="22" s="1"/>
  <c r="Z242" i="22" s="1"/>
  <c r="AA339" i="22"/>
  <c r="AA342" i="22"/>
  <c r="Y345" i="22"/>
  <c r="Y338" i="22"/>
  <c r="Y340" i="22"/>
  <c r="Y342" i="22"/>
  <c r="AA293" i="22"/>
  <c r="AA295" i="22"/>
  <c r="AA298" i="22"/>
  <c r="AA296" i="22"/>
  <c r="AA299" i="22"/>
  <c r="AA297" i="22"/>
  <c r="AA292" i="22"/>
  <c r="Z352" i="22"/>
  <c r="Z354" i="22" s="1"/>
  <c r="Y296" i="22"/>
  <c r="Y301" i="22" s="1"/>
  <c r="X289" i="22"/>
  <c r="Y287" i="22" s="1"/>
  <c r="Y298" i="22"/>
  <c r="X352" i="22"/>
  <c r="Y348" i="22" s="1"/>
  <c r="AB233" i="22"/>
  <c r="AB225" i="22"/>
  <c r="AB131" i="22"/>
  <c r="AB231" i="22"/>
  <c r="Z246" i="22"/>
  <c r="AB229" i="22"/>
  <c r="AB227" i="22"/>
  <c r="Y285" i="22"/>
  <c r="Y281" i="22"/>
  <c r="Y284" i="22"/>
  <c r="Y282" i="22"/>
  <c r="Y286" i="22"/>
  <c r="Y280" i="22"/>
  <c r="Z357" i="22"/>
  <c r="Z84" i="22"/>
  <c r="Z87" i="22" s="1"/>
  <c r="Z131" i="22" s="1"/>
  <c r="Z289" i="22"/>
  <c r="AA282" i="22" s="1"/>
  <c r="Y349" i="22"/>
  <c r="AA343" i="22"/>
  <c r="AA345" i="22"/>
  <c r="Z256" i="20"/>
  <c r="Z256" i="19"/>
  <c r="Z256" i="18"/>
  <c r="Z256" i="21"/>
  <c r="AA347" i="22" l="1"/>
  <c r="Z244" i="22"/>
  <c r="Z245" i="22" s="1"/>
  <c r="Y347" i="22"/>
  <c r="AA287" i="22"/>
  <c r="AA280" i="22"/>
  <c r="AA348" i="22"/>
  <c r="AA301" i="22"/>
  <c r="AA283" i="22"/>
  <c r="AA281" i="22"/>
  <c r="AA284" i="22"/>
  <c r="Y283" i="22"/>
  <c r="Y289" i="22" s="1"/>
  <c r="AA286" i="22"/>
  <c r="AA285" i="22"/>
  <c r="Z130" i="20"/>
  <c r="Z130" i="21"/>
  <c r="AA289" i="22" l="1"/>
  <c r="AB91" i="21"/>
  <c r="AB130" i="21" s="1"/>
  <c r="AB76" i="21"/>
  <c r="AB75" i="21"/>
  <c r="Z71" i="21"/>
  <c r="T58" i="21"/>
  <c r="Z74" i="21" s="1"/>
  <c r="Z347" i="21" l="1"/>
  <c r="X347" i="21"/>
  <c r="AA344" i="21"/>
  <c r="AA342" i="21"/>
  <c r="AA340" i="21"/>
  <c r="Y340" i="21"/>
  <c r="AA338" i="21"/>
  <c r="Y338" i="21"/>
  <c r="AA335" i="21"/>
  <c r="Z335" i="21"/>
  <c r="Y335" i="21"/>
  <c r="X335" i="21"/>
  <c r="Y262" i="21" s="1"/>
  <c r="AA323" i="21"/>
  <c r="Z323" i="21"/>
  <c r="Y323" i="21"/>
  <c r="X323" i="21"/>
  <c r="AA313" i="21"/>
  <c r="Z313" i="21"/>
  <c r="Y313" i="21"/>
  <c r="X313" i="21"/>
  <c r="Y261" i="21" s="1"/>
  <c r="Z301" i="21"/>
  <c r="AA299" i="21" s="1"/>
  <c r="X301" i="21"/>
  <c r="X352" i="21" s="1"/>
  <c r="Z287" i="21"/>
  <c r="X287" i="21"/>
  <c r="Z286" i="21"/>
  <c r="X286" i="21"/>
  <c r="Z285" i="21"/>
  <c r="X285" i="21"/>
  <c r="Z284" i="21"/>
  <c r="X284" i="21"/>
  <c r="Z283" i="21"/>
  <c r="X283" i="21"/>
  <c r="Z282" i="21"/>
  <c r="X282" i="21"/>
  <c r="Z281" i="21"/>
  <c r="X281" i="21"/>
  <c r="Z280" i="21"/>
  <c r="X280" i="21"/>
  <c r="Z266" i="21"/>
  <c r="Z264" i="21"/>
  <c r="Z263" i="21"/>
  <c r="Z261" i="21"/>
  <c r="AB220" i="21"/>
  <c r="AB212" i="21"/>
  <c r="AB205" i="21"/>
  <c r="AB197" i="21"/>
  <c r="AB196" i="21"/>
  <c r="AB189" i="21"/>
  <c r="AB190" i="21" s="1"/>
  <c r="AB181" i="21"/>
  <c r="AB180" i="21"/>
  <c r="AB174" i="21"/>
  <c r="AB172" i="21"/>
  <c r="AB163" i="21"/>
  <c r="AB149" i="21"/>
  <c r="AB138" i="21"/>
  <c r="B134" i="21"/>
  <c r="B237" i="21" s="1"/>
  <c r="B368" i="21" s="1"/>
  <c r="Z101" i="21"/>
  <c r="Z85" i="21"/>
  <c r="AB81" i="21"/>
  <c r="Z72" i="21"/>
  <c r="T70" i="21"/>
  <c r="AB65" i="21"/>
  <c r="AB64" i="21"/>
  <c r="Z61" i="21"/>
  <c r="X61" i="21"/>
  <c r="V61" i="21"/>
  <c r="R61" i="21"/>
  <c r="R67" i="21" s="1"/>
  <c r="P61" i="21"/>
  <c r="P67" i="21" s="1"/>
  <c r="AB59" i="21"/>
  <c r="AB58" i="21"/>
  <c r="X49" i="21"/>
  <c r="X48" i="21"/>
  <c r="AB42" i="21"/>
  <c r="P31" i="21"/>
  <c r="N31" i="21"/>
  <c r="L31" i="21"/>
  <c r="J31" i="21"/>
  <c r="H31" i="21"/>
  <c r="F31" i="21"/>
  <c r="D31" i="21"/>
  <c r="P30" i="21"/>
  <c r="N30" i="21"/>
  <c r="L30" i="21"/>
  <c r="J30" i="21"/>
  <c r="H30" i="21"/>
  <c r="F30" i="21"/>
  <c r="D30" i="21"/>
  <c r="AB29" i="21"/>
  <c r="Y210" i="21" s="1"/>
  <c r="AB35" i="21" l="1"/>
  <c r="AB30" i="21"/>
  <c r="AB31" i="21"/>
  <c r="Z357" i="21" s="1"/>
  <c r="Y343" i="21"/>
  <c r="Y349" i="21"/>
  <c r="Y350" i="21"/>
  <c r="Y348" i="21"/>
  <c r="AA345" i="21"/>
  <c r="AA350" i="21"/>
  <c r="AA349" i="21"/>
  <c r="AA348" i="21"/>
  <c r="Z353" i="21"/>
  <c r="Y345" i="21"/>
  <c r="AA298" i="21"/>
  <c r="Y297" i="21"/>
  <c r="Y294" i="21"/>
  <c r="Y298" i="21"/>
  <c r="Y295" i="21"/>
  <c r="Y293" i="21"/>
  <c r="Y292" i="21"/>
  <c r="Y296" i="21"/>
  <c r="Y299" i="21"/>
  <c r="AA296" i="21"/>
  <c r="AB43" i="21"/>
  <c r="X289" i="21"/>
  <c r="Y281" i="21" s="1"/>
  <c r="AA294" i="21"/>
  <c r="Y341" i="21"/>
  <c r="Y344" i="21"/>
  <c r="Z242" i="21"/>
  <c r="AB61" i="21"/>
  <c r="AB67" i="21" s="1"/>
  <c r="Z355" i="21" s="1"/>
  <c r="AB84" i="21"/>
  <c r="AB87" i="21" s="1"/>
  <c r="AB229" i="21" s="1"/>
  <c r="Z289" i="21"/>
  <c r="AA285" i="21" s="1"/>
  <c r="AA292" i="21"/>
  <c r="Z352" i="21"/>
  <c r="Y339" i="21"/>
  <c r="Y342" i="21"/>
  <c r="Y285" i="21"/>
  <c r="T61" i="21"/>
  <c r="Z84" i="21"/>
  <c r="Z87" i="21" s="1"/>
  <c r="Z131" i="21" s="1"/>
  <c r="Z262" i="21"/>
  <c r="AA293" i="21"/>
  <c r="AA295" i="21"/>
  <c r="AA297" i="21"/>
  <c r="AA339" i="21"/>
  <c r="AA341" i="21"/>
  <c r="AA343" i="21"/>
  <c r="AB231" i="21" l="1"/>
  <c r="AB131" i="21"/>
  <c r="Z246" i="21"/>
  <c r="AB225" i="21"/>
  <c r="AB233" i="21"/>
  <c r="AB227" i="21"/>
  <c r="Z354" i="21"/>
  <c r="Z244" i="21"/>
  <c r="Z245" i="21" s="1"/>
  <c r="Y347" i="21"/>
  <c r="AA286" i="21"/>
  <c r="AA283" i="21"/>
  <c r="AA301" i="21"/>
  <c r="Y282" i="21"/>
  <c r="Y284" i="21"/>
  <c r="Y283" i="21"/>
  <c r="Y301" i="21"/>
  <c r="AA281" i="21"/>
  <c r="AA347" i="21"/>
  <c r="AA280" i="21"/>
  <c r="AA284" i="21"/>
  <c r="Y286" i="21"/>
  <c r="Y287" i="21"/>
  <c r="AA287" i="21"/>
  <c r="AA282" i="21"/>
  <c r="Y280" i="21"/>
  <c r="Y289" i="21" l="1"/>
  <c r="AA289" i="21"/>
  <c r="AB180" i="18"/>
  <c r="AB139" i="18"/>
  <c r="AB42" i="18"/>
  <c r="Z323" i="20" l="1"/>
  <c r="X323" i="20"/>
  <c r="AA323" i="20" l="1"/>
  <c r="Y323" i="20"/>
  <c r="R30" i="20" l="1"/>
  <c r="AB91" i="20" l="1"/>
  <c r="AB76" i="20"/>
  <c r="AB75" i="20"/>
  <c r="AB65" i="20"/>
  <c r="T58" i="20"/>
  <c r="Z74" i="20" s="1"/>
  <c r="Z347" i="20" l="1"/>
  <c r="X347" i="20"/>
  <c r="AA342" i="20"/>
  <c r="Y345" i="20" l="1"/>
  <c r="AA345" i="20"/>
  <c r="AA340" i="20"/>
  <c r="AA344" i="20"/>
  <c r="AA338" i="20"/>
  <c r="Y340" i="20"/>
  <c r="Y338" i="20"/>
  <c r="Y342" i="20"/>
  <c r="Y343" i="20"/>
  <c r="Y344" i="20"/>
  <c r="Y339" i="20"/>
  <c r="Y341" i="20"/>
  <c r="AA339" i="20"/>
  <c r="AA341" i="20"/>
  <c r="AA343" i="20"/>
  <c r="AA347" i="20" l="1"/>
  <c r="Y347" i="20"/>
  <c r="AA335" i="20" l="1"/>
  <c r="Z335" i="20"/>
  <c r="Z262" i="20" s="1"/>
  <c r="Y335" i="20"/>
  <c r="X335" i="20"/>
  <c r="Y262" i="20" s="1"/>
  <c r="AA313" i="20"/>
  <c r="Z313" i="20"/>
  <c r="Z261" i="20" s="1"/>
  <c r="Y313" i="20"/>
  <c r="X313" i="20"/>
  <c r="Z301" i="20"/>
  <c r="AA299" i="20" s="1"/>
  <c r="X301" i="20"/>
  <c r="Y299" i="20" s="1"/>
  <c r="AA296" i="20"/>
  <c r="AA293" i="20"/>
  <c r="Z287" i="20"/>
  <c r="X287" i="20"/>
  <c r="Z286" i="20"/>
  <c r="X286" i="20"/>
  <c r="Z285" i="20"/>
  <c r="X285" i="20"/>
  <c r="Z284" i="20"/>
  <c r="X284" i="20"/>
  <c r="Z283" i="20"/>
  <c r="X283" i="20"/>
  <c r="Z282" i="20"/>
  <c r="X282" i="20"/>
  <c r="Z281" i="20"/>
  <c r="X281" i="20"/>
  <c r="Z280" i="20"/>
  <c r="X280" i="20"/>
  <c r="Z266" i="20"/>
  <c r="Z264" i="20"/>
  <c r="Z263" i="20"/>
  <c r="Y261" i="20"/>
  <c r="AB220" i="20"/>
  <c r="AB212" i="20"/>
  <c r="AB205" i="20"/>
  <c r="AB197" i="20"/>
  <c r="AB196" i="20"/>
  <c r="AB189" i="20"/>
  <c r="AB190" i="20" s="1"/>
  <c r="AB187" i="21" s="1"/>
  <c r="AB181" i="20"/>
  <c r="AB179" i="21" s="1"/>
  <c r="AB182" i="21" s="1"/>
  <c r="AB180" i="20"/>
  <c r="AB174" i="20"/>
  <c r="AB172" i="20"/>
  <c r="AB163" i="20"/>
  <c r="AB149" i="20"/>
  <c r="AB138" i="20"/>
  <c r="B134" i="20"/>
  <c r="B237" i="20" s="1"/>
  <c r="B366" i="20" s="1"/>
  <c r="AB130" i="20"/>
  <c r="Z101" i="20"/>
  <c r="Z85" i="20"/>
  <c r="AB81" i="20"/>
  <c r="AB84" i="20" s="1"/>
  <c r="AB87" i="20" s="1"/>
  <c r="Z72" i="20"/>
  <c r="T70" i="20"/>
  <c r="AB64" i="20"/>
  <c r="Z61" i="20"/>
  <c r="X61" i="20"/>
  <c r="V61" i="20"/>
  <c r="R61" i="20"/>
  <c r="R67" i="20" s="1"/>
  <c r="P61" i="20"/>
  <c r="P67" i="20" s="1"/>
  <c r="AB59" i="20"/>
  <c r="X49" i="20"/>
  <c r="X48" i="20"/>
  <c r="AB42" i="20"/>
  <c r="P31" i="20"/>
  <c r="N31" i="20"/>
  <c r="L31" i="20"/>
  <c r="J31" i="20"/>
  <c r="H31" i="20"/>
  <c r="F31" i="20"/>
  <c r="D31" i="20"/>
  <c r="P30" i="20"/>
  <c r="N30" i="20"/>
  <c r="L30" i="20"/>
  <c r="J30" i="20"/>
  <c r="H30" i="20"/>
  <c r="F30" i="20"/>
  <c r="D30" i="20"/>
  <c r="AB29" i="20"/>
  <c r="Y210" i="20" s="1"/>
  <c r="Z267" i="21" l="1"/>
  <c r="AB30" i="20"/>
  <c r="AB35" i="20" s="1"/>
  <c r="Y296" i="20"/>
  <c r="Z246" i="20"/>
  <c r="AB233" i="20"/>
  <c r="Z242" i="20"/>
  <c r="AA297" i="20"/>
  <c r="AB43" i="20"/>
  <c r="AB31" i="20"/>
  <c r="Z355" i="20" s="1"/>
  <c r="AA294" i="20"/>
  <c r="Z84" i="20"/>
  <c r="Z87" i="20" s="1"/>
  <c r="Z131" i="20" s="1"/>
  <c r="Z351" i="20"/>
  <c r="AA295" i="20"/>
  <c r="AA298" i="20"/>
  <c r="Z350" i="20"/>
  <c r="Z348" i="20" s="1"/>
  <c r="AA292" i="20"/>
  <c r="Z289" i="20"/>
  <c r="AA284" i="20" s="1"/>
  <c r="Y294" i="20"/>
  <c r="X289" i="20"/>
  <c r="Y285" i="20" s="1"/>
  <c r="Y292" i="20"/>
  <c r="Y298" i="20"/>
  <c r="AB229" i="20"/>
  <c r="AB225" i="20"/>
  <c r="AB231" i="20"/>
  <c r="AB131" i="20"/>
  <c r="AB227" i="20"/>
  <c r="AB58" i="20"/>
  <c r="AB61" i="20" s="1"/>
  <c r="AB67" i="20" s="1"/>
  <c r="Z353" i="20" s="1"/>
  <c r="T61" i="20"/>
  <c r="X350" i="20"/>
  <c r="X348" i="20" s="1"/>
  <c r="Y293" i="20"/>
  <c r="Y295" i="20"/>
  <c r="Y297" i="20"/>
  <c r="Z71" i="19"/>
  <c r="AA301" i="20" l="1"/>
  <c r="AA282" i="20"/>
  <c r="Y287" i="20"/>
  <c r="Z244" i="20"/>
  <c r="Z245" i="20" s="1"/>
  <c r="AA281" i="20"/>
  <c r="AA285" i="20"/>
  <c r="AA286" i="20"/>
  <c r="Z352" i="20"/>
  <c r="AA283" i="20"/>
  <c r="AA287" i="20"/>
  <c r="AA280" i="20"/>
  <c r="Y284" i="20"/>
  <c r="Y283" i="20"/>
  <c r="Y282" i="20"/>
  <c r="Y281" i="20"/>
  <c r="Y280" i="20"/>
  <c r="Y286" i="20"/>
  <c r="Y301" i="20"/>
  <c r="AA289" i="20" l="1"/>
  <c r="Y289" i="20"/>
  <c r="P31" i="18" l="1"/>
  <c r="R30" i="19" l="1"/>
  <c r="P30" i="19"/>
  <c r="F30" i="19" l="1"/>
  <c r="H30" i="19"/>
  <c r="J30" i="19"/>
  <c r="L30" i="19"/>
  <c r="N30" i="19"/>
  <c r="D30" i="19"/>
  <c r="AB204" i="19" l="1"/>
  <c r="AB91" i="19" l="1"/>
  <c r="AB130" i="19" s="1"/>
  <c r="AB76" i="19"/>
  <c r="AB75" i="19"/>
  <c r="AB64" i="19"/>
  <c r="T58" i="19"/>
  <c r="Z74" i="19" s="1"/>
  <c r="X48" i="19"/>
  <c r="AB58" i="19" l="1"/>
  <c r="D31" i="19"/>
  <c r="AA325" i="19" l="1"/>
  <c r="Z325" i="19"/>
  <c r="Z262" i="19" s="1"/>
  <c r="Y325" i="19"/>
  <c r="X325" i="19"/>
  <c r="AA313" i="19"/>
  <c r="Z313" i="19"/>
  <c r="Z261" i="19" s="1"/>
  <c r="Y313" i="19"/>
  <c r="X313" i="19"/>
  <c r="Z301" i="19"/>
  <c r="AA296" i="19" s="1"/>
  <c r="X301" i="19"/>
  <c r="Y299" i="19" s="1"/>
  <c r="Z287" i="19"/>
  <c r="X287" i="19"/>
  <c r="Z286" i="19"/>
  <c r="X286" i="19"/>
  <c r="Z285" i="19"/>
  <c r="X285" i="19"/>
  <c r="Z284" i="19"/>
  <c r="X284" i="19"/>
  <c r="Z283" i="19"/>
  <c r="X283" i="19"/>
  <c r="Z282" i="19"/>
  <c r="X282" i="19"/>
  <c r="Z281" i="19"/>
  <c r="X281" i="19"/>
  <c r="Z280" i="19"/>
  <c r="X280" i="19"/>
  <c r="Z266" i="19"/>
  <c r="Z264" i="19"/>
  <c r="Z263" i="19"/>
  <c r="Y261" i="19"/>
  <c r="AB220" i="19"/>
  <c r="AB212" i="19"/>
  <c r="AB205" i="19"/>
  <c r="AB197" i="19"/>
  <c r="AB196" i="19"/>
  <c r="AB189" i="19"/>
  <c r="AB190" i="19" s="1"/>
  <c r="AB187" i="20" s="1"/>
  <c r="AB181" i="19"/>
  <c r="AB179" i="20" s="1"/>
  <c r="AB182" i="20" s="1"/>
  <c r="AB180" i="19"/>
  <c r="AB174" i="19"/>
  <c r="AB172" i="19"/>
  <c r="AB163" i="19"/>
  <c r="AB149" i="19"/>
  <c r="AB138" i="19"/>
  <c r="B134" i="19"/>
  <c r="B237" i="19" s="1"/>
  <c r="B340" i="19" s="1"/>
  <c r="Z130" i="19"/>
  <c r="Z101" i="19"/>
  <c r="Z85" i="19"/>
  <c r="AB81" i="19"/>
  <c r="AB84" i="19"/>
  <c r="AB87" i="19" s="1"/>
  <c r="Z72" i="19"/>
  <c r="Z73" i="19" s="1"/>
  <c r="T70" i="19"/>
  <c r="AB65" i="19"/>
  <c r="Z61" i="19"/>
  <c r="X61" i="19"/>
  <c r="V61" i="19"/>
  <c r="T61" i="19"/>
  <c r="R61" i="19"/>
  <c r="R67" i="19" s="1"/>
  <c r="P61" i="19"/>
  <c r="P67" i="19" s="1"/>
  <c r="AB59" i="19"/>
  <c r="AB61" i="19"/>
  <c r="AB67" i="19" s="1"/>
  <c r="X49" i="19"/>
  <c r="AB42" i="19"/>
  <c r="P31" i="19"/>
  <c r="N31" i="19"/>
  <c r="L31" i="19"/>
  <c r="J31" i="19"/>
  <c r="H31" i="19"/>
  <c r="F31" i="19"/>
  <c r="AB43" i="19" s="1"/>
  <c r="AB30" i="19"/>
  <c r="AB35" i="19" s="1"/>
  <c r="AB29" i="19"/>
  <c r="Y210" i="19" s="1"/>
  <c r="AB131" i="19" l="1"/>
  <c r="Z246" i="19"/>
  <c r="AA294" i="19"/>
  <c r="AB31" i="19"/>
  <c r="AA299" i="19"/>
  <c r="Z327" i="19"/>
  <c r="Z84" i="19"/>
  <c r="Z87" i="19" s="1"/>
  <c r="Z131" i="19" s="1"/>
  <c r="Z328" i="19"/>
  <c r="Z330" i="19"/>
  <c r="AA298" i="19"/>
  <c r="AA292" i="19"/>
  <c r="X289" i="19"/>
  <c r="Y282" i="19" s="1"/>
  <c r="Y294" i="19"/>
  <c r="X327" i="19"/>
  <c r="Y296" i="19"/>
  <c r="Y292" i="19"/>
  <c r="Y298" i="19"/>
  <c r="Y285" i="19"/>
  <c r="Y284" i="19"/>
  <c r="AB233" i="19"/>
  <c r="AB225" i="19"/>
  <c r="AB231" i="19"/>
  <c r="AB229" i="19"/>
  <c r="AB227" i="19"/>
  <c r="Z332" i="19"/>
  <c r="Y262" i="19"/>
  <c r="Z289" i="19"/>
  <c r="AA281" i="19" s="1"/>
  <c r="Y293" i="19"/>
  <c r="Y295" i="19"/>
  <c r="Y297" i="19"/>
  <c r="AA293" i="19"/>
  <c r="AA295" i="19"/>
  <c r="AA297" i="19"/>
  <c r="Y280" i="19" l="1"/>
  <c r="Y286" i="19"/>
  <c r="Y283" i="19"/>
  <c r="Y287" i="19"/>
  <c r="Z329" i="19"/>
  <c r="AA301" i="19"/>
  <c r="Y281" i="19"/>
  <c r="Y289" i="19" s="1"/>
  <c r="Z244" i="19"/>
  <c r="Z245" i="19" s="1"/>
  <c r="Z242" i="19"/>
  <c r="AA286" i="19"/>
  <c r="AA284" i="19"/>
  <c r="AA283" i="19"/>
  <c r="AA280" i="19"/>
  <c r="AA287" i="19"/>
  <c r="Y301" i="19"/>
  <c r="AA285" i="19"/>
  <c r="AA282" i="19"/>
  <c r="AA289" i="19" l="1"/>
  <c r="AB30" i="18"/>
  <c r="AB29" i="18"/>
  <c r="AB35" i="18" l="1"/>
  <c r="Y210" i="18"/>
  <c r="Z72" i="18" l="1"/>
  <c r="Z73" i="18" s="1"/>
  <c r="Y213" i="18" l="1"/>
  <c r="Y211" i="19" s="1"/>
  <c r="Y213" i="19" l="1"/>
  <c r="AB64" i="18"/>
  <c r="Y211" i="20" l="1"/>
  <c r="AB91" i="18"/>
  <c r="AB90" i="18"/>
  <c r="AB76" i="18"/>
  <c r="AB75" i="18"/>
  <c r="Y213" i="20" l="1"/>
  <c r="T58" i="18"/>
  <c r="Z74" i="18" l="1"/>
  <c r="AB58" i="18"/>
  <c r="Y211" i="21"/>
  <c r="AB149" i="18"/>
  <c r="Y213" i="21" l="1"/>
  <c r="AB220" i="18"/>
  <c r="Z264" i="18" l="1"/>
  <c r="AB205" i="18" l="1"/>
  <c r="AB206" i="18" s="1"/>
  <c r="AB203" i="19" s="1"/>
  <c r="AB206" i="19" s="1"/>
  <c r="AB203" i="20" s="1"/>
  <c r="AB206" i="20" s="1"/>
  <c r="AB203" i="21" s="1"/>
  <c r="AB206" i="21" s="1"/>
  <c r="AB189" i="18"/>
  <c r="AB190" i="18" s="1"/>
  <c r="AB187" i="19" s="1"/>
  <c r="AB181" i="18"/>
  <c r="AB130" i="18"/>
  <c r="AB150" i="18"/>
  <c r="AB138" i="18"/>
  <c r="AB182" i="18" l="1"/>
  <c r="AB179" i="19"/>
  <c r="AB182" i="19" s="1"/>
  <c r="Z130" i="18"/>
  <c r="N31" i="18" l="1"/>
  <c r="F31" i="18"/>
  <c r="D31" i="18"/>
  <c r="H31" i="18" l="1"/>
  <c r="AB31" i="18" s="1"/>
  <c r="J31" i="18"/>
  <c r="L31" i="18"/>
  <c r="Z332" i="18" l="1"/>
  <c r="AB43" i="18"/>
  <c r="Z263" i="18"/>
  <c r="AB196" i="18"/>
  <c r="V61" i="18"/>
  <c r="AB197" i="18"/>
  <c r="X61" i="18"/>
  <c r="AB65" i="18"/>
  <c r="Z328" i="18" s="1"/>
  <c r="AB171" i="18"/>
  <c r="AB163" i="18"/>
  <c r="AB165" i="18" s="1"/>
  <c r="AB162" i="19" s="1"/>
  <c r="AB165" i="19" s="1"/>
  <c r="AB162" i="20" s="1"/>
  <c r="AB165" i="20" s="1"/>
  <c r="AB162" i="21" s="1"/>
  <c r="AB165" i="21" s="1"/>
  <c r="Z280" i="18"/>
  <c r="AA313" i="18"/>
  <c r="Y325" i="18"/>
  <c r="AA325" i="18"/>
  <c r="Y313" i="18"/>
  <c r="AB159" i="18"/>
  <c r="AB150" i="19" s="1"/>
  <c r="AB159" i="19" s="1"/>
  <c r="AB150" i="20" s="1"/>
  <c r="AB159" i="20" s="1"/>
  <c r="AB150" i="21" s="1"/>
  <c r="AB159" i="21" s="1"/>
  <c r="AB146" i="18"/>
  <c r="AB139" i="19" s="1"/>
  <c r="AB146" i="19" s="1"/>
  <c r="AB139" i="20" s="1"/>
  <c r="AB146" i="20" s="1"/>
  <c r="AB139" i="21" s="1"/>
  <c r="AB146" i="21" s="1"/>
  <c r="Z213" i="18"/>
  <c r="Z211" i="19" s="1"/>
  <c r="AB211" i="18"/>
  <c r="AB212" i="18"/>
  <c r="Z85" i="18"/>
  <c r="AB81" i="18"/>
  <c r="AB174" i="18"/>
  <c r="X301" i="18"/>
  <c r="Y292" i="18" s="1"/>
  <c r="Z325" i="18"/>
  <c r="Z262" i="18" s="1"/>
  <c r="X325" i="18"/>
  <c r="Y262" i="18" s="1"/>
  <c r="Z313" i="18"/>
  <c r="X313" i="18"/>
  <c r="Y261" i="18" s="1"/>
  <c r="Z301" i="18"/>
  <c r="AA297" i="18" s="1"/>
  <c r="Z287" i="18"/>
  <c r="Z281" i="18"/>
  <c r="X285" i="18"/>
  <c r="X281" i="18"/>
  <c r="X280" i="18"/>
  <c r="Z266" i="18"/>
  <c r="Z267" i="18" s="1"/>
  <c r="Z267" i="19" s="1"/>
  <c r="Z267" i="20" s="1"/>
  <c r="AB172" i="18"/>
  <c r="Z101" i="18"/>
  <c r="X49" i="18"/>
  <c r="T70" i="18"/>
  <c r="P61" i="18"/>
  <c r="P67" i="18" s="1"/>
  <c r="R61" i="18"/>
  <c r="R67" i="18" s="1"/>
  <c r="X287" i="18"/>
  <c r="Z286" i="18"/>
  <c r="X286" i="18"/>
  <c r="Z285" i="18"/>
  <c r="Z284" i="18"/>
  <c r="X284" i="18"/>
  <c r="Z283" i="18"/>
  <c r="X283" i="18"/>
  <c r="Z282" i="18"/>
  <c r="X282" i="18"/>
  <c r="B134" i="18"/>
  <c r="B237" i="18" s="1"/>
  <c r="B340" i="18" s="1"/>
  <c r="AB59" i="18"/>
  <c r="Z61" i="18"/>
  <c r="Z213" i="19" l="1"/>
  <c r="AB211" i="19"/>
  <c r="Y214" i="18"/>
  <c r="AA295" i="18"/>
  <c r="Y294" i="18"/>
  <c r="X327" i="18"/>
  <c r="Z327" i="18"/>
  <c r="Z329" i="18" s="1"/>
  <c r="Y293" i="18"/>
  <c r="Y297" i="18"/>
  <c r="Y295" i="18"/>
  <c r="Z84" i="18"/>
  <c r="Z87" i="18" s="1"/>
  <c r="Z131" i="18" s="1"/>
  <c r="AA299" i="18"/>
  <c r="Y298" i="18"/>
  <c r="AA298" i="18"/>
  <c r="Z261" i="18"/>
  <c r="AB213" i="18"/>
  <c r="AB173" i="18"/>
  <c r="AB168" i="19" s="1"/>
  <c r="AB171" i="19" s="1"/>
  <c r="AB173" i="19" s="1"/>
  <c r="AB168" i="20" s="1"/>
  <c r="AB171" i="20" s="1"/>
  <c r="AB173" i="20" s="1"/>
  <c r="AB168" i="21" s="1"/>
  <c r="AB171" i="21" s="1"/>
  <c r="AB173" i="21" s="1"/>
  <c r="T61" i="18"/>
  <c r="AB61" i="18"/>
  <c r="AB67" i="18" s="1"/>
  <c r="X289" i="18"/>
  <c r="Y280" i="18" s="1"/>
  <c r="Z244" i="18"/>
  <c r="Z245" i="18" s="1"/>
  <c r="AB198" i="18"/>
  <c r="AB195" i="19" s="1"/>
  <c r="AB198" i="19" s="1"/>
  <c r="AB195" i="20" s="1"/>
  <c r="AB198" i="20" s="1"/>
  <c r="AB195" i="21" s="1"/>
  <c r="AB198" i="21" s="1"/>
  <c r="AA296" i="18"/>
  <c r="AA292" i="18"/>
  <c r="Y296" i="18"/>
  <c r="AA293" i="18"/>
  <c r="Y299" i="18"/>
  <c r="AA294" i="18"/>
  <c r="AB84" i="18"/>
  <c r="AB87" i="18" s="1"/>
  <c r="Z289" i="18"/>
  <c r="AA285" i="18" s="1"/>
  <c r="AB225" i="18" l="1"/>
  <c r="Z246" i="18"/>
  <c r="AB233" i="18"/>
  <c r="AB213" i="19"/>
  <c r="Z211" i="20"/>
  <c r="Y214" i="19"/>
  <c r="AB231" i="18"/>
  <c r="AB227" i="18"/>
  <c r="AB229" i="18"/>
  <c r="Y287" i="18"/>
  <c r="AB131" i="18"/>
  <c r="Y285" i="18"/>
  <c r="Y282" i="18"/>
  <c r="Y281" i="18"/>
  <c r="AA301" i="18"/>
  <c r="Z330" i="18"/>
  <c r="Y283" i="18"/>
  <c r="Y284" i="18"/>
  <c r="Y286" i="18"/>
  <c r="Y301" i="18"/>
  <c r="Z241" i="18"/>
  <c r="Z242" i="18" s="1"/>
  <c r="AA286" i="18"/>
  <c r="AA284" i="18"/>
  <c r="AA281" i="18"/>
  <c r="AA287" i="18"/>
  <c r="AA282" i="18"/>
  <c r="AA280" i="18"/>
  <c r="AA283" i="18"/>
  <c r="Z213" i="20" l="1"/>
  <c r="AB211" i="20"/>
  <c r="Y289" i="18"/>
  <c r="AA289" i="18"/>
  <c r="Z211" i="21" l="1"/>
  <c r="Y214" i="20"/>
  <c r="AB213" i="20"/>
  <c r="Z213" i="21" l="1"/>
  <c r="Z211" i="22" s="1"/>
  <c r="AB211" i="21"/>
  <c r="AB211" i="22" l="1"/>
  <c r="Z213" i="22"/>
  <c r="AB213" i="21"/>
  <c r="AB213" i="22" l="1"/>
  <c r="Y214" i="22"/>
</calcChain>
</file>

<file path=xl/sharedStrings.xml><?xml version="1.0" encoding="utf-8"?>
<sst xmlns="http://schemas.openxmlformats.org/spreadsheetml/2006/main" count="9279" uniqueCount="391">
  <si>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</si>
  <si>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</si>
  <si>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</si>
  <si>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</si>
  <si>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</si>
  <si>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</si>
  <si>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</si>
  <si>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</si>
  <si>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</si>
  <si>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</si>
  <si>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</si>
  <si>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</si>
  <si>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</si>
  <si>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</si>
  <si>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</si>
  <si>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</si>
  <si>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</si>
  <si>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</si>
  <si>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</si>
  <si>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</si>
  <si>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</si>
  <si>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</si>
  <si>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</si>
  <si>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</si>
  <si>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</si>
  <si>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</si>
  <si>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</si>
  <si>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</si>
  <si>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</si>
  <si>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</si>
  <si>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</si>
  <si>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</si>
  <si>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</si>
  <si>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</si>
  <si>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</si>
  <si>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</si>
  <si>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</si>
  <si>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</si>
  <si>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</si>
  <si>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</si>
  <si>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</si>
  <si>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</si>
  <si>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</si>
  <si>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</si>
  <si>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</si>
  <si>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</si>
  <si>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</si>
  <si>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</si>
  <si>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</si>
  <si>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</si>
  <si>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</si>
  <si>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</si>
  <si>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</si>
  <si>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</si>
  <si>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</si>
  <si>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</si>
  <si>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</si>
  <si>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</si>
  <si>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</si>
  <si>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</si>
  <si>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</si>
  <si>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</si>
  <si>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</si>
  <si>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</si>
  <si>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</si>
  <si>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</si>
  <si>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</si>
  <si>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</si>
  <si>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</si>
  <si>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</si>
  <si>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</si>
  <si>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</si>
  <si>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</si>
  <si>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</si>
  <si>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</si>
  <si>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</si>
  <si>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</si>
  <si>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</si>
  <si>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</si>
  <si>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</si>
  <si>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</si>
  <si>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</si>
  <si>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</si>
  <si>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</si>
  <si>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</si>
  <si>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</si>
  <si>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</si>
  <si>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</si>
  <si>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</si>
  <si>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</si>
  <si>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</si>
  <si>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</si>
  <si>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</si>
  <si>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</si>
  <si>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</si>
  <si>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</si>
  <si>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</si>
  <si>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</si>
  <si>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</si>
  <si>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</si>
  <si>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</si>
  <si>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</si>
  <si>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</si>
  <si>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</si>
  <si>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</si>
  <si>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</si>
  <si>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</si>
  <si>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</si>
  <si>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</si>
  <si>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</si>
  <si>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</si>
  <si>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</si>
  <si>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</si>
  <si>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</si>
  <si>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</si>
  <si>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</si>
  <si>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</si>
  <si>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</si>
  <si>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</si>
  <si>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</si>
  <si>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</si>
  <si>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</si>
  <si>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</si>
  <si>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</si>
  <si>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</si>
  <si>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</si>
  <si>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</si>
  <si>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</si>
  <si>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</si>
  <si>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</si>
  <si>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</si>
  <si>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</si>
  <si>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</si>
  <si>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</si>
  <si>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</si>
  <si>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</si>
  <si>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</si>
  <si>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</si>
  <si>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Accrued Arrears and Interest not Sold to Issuer</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</si>
  <si>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</si>
  <si>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</si>
  <si>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</si>
  <si>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</si>
  <si>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</si>
  <si>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</si>
  <si>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</si>
  <si>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</si>
  <si>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</si>
  <si>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</si>
  <si>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</si>
  <si>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</si>
  <si>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</si>
  <si>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</si>
  <si>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</si>
  <si>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</si>
  <si>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</si>
  <si>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Fitch Rating at Closing</t>
  </si>
  <si>
    <t>Current Fitch Rating</t>
  </si>
  <si>
    <t>Optional Redemption (Call)  Dates</t>
  </si>
  <si>
    <t>GBP Step-Up Margins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</si>
  <si>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</si>
  <si>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</si>
  <si>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</si>
  <si>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</si>
  <si>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</si>
  <si>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</si>
  <si>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</si>
  <si>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</si>
  <si>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</si>
  <si>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</si>
  <si>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Class D Notes</t>
  </si>
  <si>
    <t>Mandatory Further Advance Pre Funding Reserve</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</si>
  <si>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</si>
  <si>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</si>
  <si>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</si>
  <si>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</si>
  <si>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</si>
  <si>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</si>
  <si>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</si>
  <si>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</si>
  <si>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Class S Notes</t>
  </si>
  <si>
    <t>Class S VFN Notes</t>
  </si>
  <si>
    <t>Class A, B, C, D, Z, S and SVFN Interest Calculated on</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</si>
  <si>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</si>
  <si>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</si>
  <si>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</si>
  <si>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</si>
  <si>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</si>
  <si>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</si>
  <si>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</si>
  <si>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</si>
  <si>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</si>
  <si>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</si>
  <si>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</si>
  <si>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</si>
  <si>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</si>
  <si>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</si>
  <si>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</si>
  <si>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</si>
  <si>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</si>
  <si>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</si>
  <si>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</si>
  <si>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</si>
  <si>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</si>
  <si>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</si>
  <si>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</si>
  <si>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</si>
  <si>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</si>
  <si>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</si>
  <si>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</si>
  <si>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</si>
  <si>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</si>
  <si>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Principal Receipts to Revenue to fund Senior Expenses Deficit</t>
  </si>
  <si>
    <t>AAA</t>
  </si>
  <si>
    <t>Aaa</t>
  </si>
  <si>
    <t>Aa1</t>
  </si>
  <si>
    <t>Class A and B Liquidity Reserve Fund Release Amount / Excess Amount</t>
  </si>
  <si>
    <t>General Reserve Fund Release Amount / Excess Amount</t>
  </si>
  <si>
    <t>Residual Certificates Payments (prior to but excluding the Step Up Date)</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</si>
  <si>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</si>
  <si>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</si>
  <si>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</si>
  <si>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</si>
  <si>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</si>
  <si>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</si>
  <si>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</si>
  <si>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</si>
  <si>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</si>
  <si>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</si>
  <si>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</si>
  <si>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</si>
  <si>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</si>
  <si>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</si>
  <si>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</si>
  <si>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</si>
  <si>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</si>
  <si>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</si>
  <si>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</si>
  <si>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</si>
  <si>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</si>
  <si>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</si>
  <si>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</si>
  <si>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</si>
  <si>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</si>
  <si>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</si>
  <si>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</si>
  <si>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260bp</t>
  </si>
  <si>
    <t>400bp</t>
  </si>
  <si>
    <t>Amounts due to Administrators and Paragon Corporate Services Provider</t>
  </si>
  <si>
    <t>Mandatory Further Advance Pre Funding Reserve at Closing</t>
  </si>
  <si>
    <t>Amounts credited to the Conversion Margin Reserve Fund during the period</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</si>
  <si>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</si>
  <si>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</si>
  <si>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</si>
  <si>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</si>
  <si>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</si>
  <si>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</si>
  <si>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</si>
  <si>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</si>
  <si>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</si>
  <si>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Over (+) / Under (-) Hedging</t>
  </si>
  <si>
    <t>Hedging Corridor</t>
  </si>
  <si>
    <t>PDL replenishment (-) from Revenue income / Recovery (+) to Revenue income</t>
  </si>
  <si>
    <t>Paragon Mortgages (No.26) PLC</t>
  </si>
  <si>
    <t>This performance report is issued by Paragon Mortgages (2010) Limited for and on behalf of Paragon Mortgages (No.26) PLC</t>
  </si>
  <si>
    <t>PM26 INVESTOR REPORT QUARTER ENDING OCTOBER 2019</t>
  </si>
  <si>
    <t>Class A1 Notes</t>
  </si>
  <si>
    <t>Class A2 Notes</t>
  </si>
  <si>
    <t>A</t>
  </si>
  <si>
    <t>Aa3</t>
  </si>
  <si>
    <t>Baa3</t>
  </si>
  <si>
    <t>BBB</t>
  </si>
  <si>
    <t>XS1938530646</t>
  </si>
  <si>
    <t>XS1938530729</t>
  </si>
  <si>
    <t>XS1938531024</t>
  </si>
  <si>
    <t>XS1938531370</t>
  </si>
  <si>
    <t>XS1938531701</t>
  </si>
  <si>
    <t>XS1938532006</t>
  </si>
  <si>
    <t>XS1938532261</t>
  </si>
  <si>
    <t>XS1940985291</t>
  </si>
  <si>
    <t>XS1940986265</t>
  </si>
  <si>
    <t>XS1940987230</t>
  </si>
  <si>
    <t>XS1940987404</t>
  </si>
  <si>
    <t>105bp</t>
  </si>
  <si>
    <t>120bp</t>
  </si>
  <si>
    <t>190bp</t>
  </si>
  <si>
    <t>225bp</t>
  </si>
  <si>
    <t>360bp</t>
  </si>
  <si>
    <t>157.5bp</t>
  </si>
  <si>
    <t>180bp</t>
  </si>
  <si>
    <t>285bp</t>
  </si>
  <si>
    <t>325bp</t>
  </si>
  <si>
    <t>Available Redemption Funds</t>
  </si>
  <si>
    <t>Trustee Fee/Costs and Expenses claimed by the Substitute Administrator &amp; Maples Corporate Services Provider</t>
  </si>
  <si>
    <t>Class A1 Note Interest</t>
  </si>
  <si>
    <t>Class A2 Note Interest</t>
  </si>
  <si>
    <t>Class A1 Note repayment</t>
  </si>
  <si>
    <t>Class A2 Note repayment</t>
  </si>
  <si>
    <t>Mortgage MRF Discretionary Amount (prior to the Step Up Date)</t>
  </si>
  <si>
    <t>Conversion MRF Discretionary Amount (prior to the Step Up Date)</t>
  </si>
  <si>
    <t>PM26 PLC</t>
  </si>
  <si>
    <t>213800RGXT5TJSMULJ82</t>
  </si>
  <si>
    <t>Legal Entity Identifier (LEI)</t>
  </si>
  <si>
    <t>Weighted Average Swap Rate</t>
  </si>
  <si>
    <t>MFAPFRL and Available Redemption Funds</t>
  </si>
  <si>
    <t>Retention Requirement under Article 6 of Regulation (EU) 2017/2402 (the "Securitisation Regulation") held by Paragon Finance PLC</t>
  </si>
  <si>
    <t>Total Current Balance of Fixed Rate Assets *</t>
  </si>
  <si>
    <t xml:space="preserve">* The quarterly amortising swap executed on the Closing Date has been constructed on the weighted average fixed rate assets in each period, which may differ to the actual value of the fixed rate assets at each quarter end that are reported in the pool tables. </t>
  </si>
  <si>
    <t>PM26 INVESTOR REPORT QUARTER ENDING JANUARY 2020</t>
  </si>
  <si>
    <t>A+</t>
  </si>
  <si>
    <t>BBB+</t>
  </si>
  <si>
    <t>Mandatory Further Advance Pre Funding Reserve at last quarter end</t>
  </si>
  <si>
    <t>PM26 INVESTOR REPORT QUARTER ENDING APRIL 2020</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</si>
  <si>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</si>
  <si>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</si>
  <si>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</si>
  <si>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</si>
  <si>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</si>
  <si>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</si>
  <si>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</si>
  <si>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</si>
  <si>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</si>
  <si>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</si>
  <si>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</si>
  <si>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</si>
  <si>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 by Number of Accounts/Balance</t>
  </si>
  <si>
    <t>Rented</t>
  </si>
  <si>
    <t>Vacant - to be let</t>
  </si>
  <si>
    <t>Vacant - to be sold</t>
  </si>
  <si>
    <t>Property Rented/For Sale</t>
  </si>
  <si>
    <t>Receiver of Rent Cases by Current Status, as at the PDD</t>
  </si>
  <si>
    <t xml:space="preserve">Strategic review </t>
  </si>
  <si>
    <t xml:space="preserve">including taking into account the interests of our customers, market consultations and the expectations of our regulators (the PRA and FCA). For PM26, this statement only relates to the underlying Libor linked mortgages as SONIA (and not LIBOR) is the PM26 Note Reference Rate.  </t>
  </si>
  <si>
    <t>** For transparency, a table has been included where customers have elected to take a payment holiday, caused by COVID19. Rows 337 - 347 Delinquency Summary (For COVID19 Payment Holiday Cases) are included in the Overall Delinquency Summary in rows 303 - 313.</t>
  </si>
  <si>
    <t>Offer Issued/Offer Accepted/Contracts Issued/Contracts Exchanged</t>
  </si>
  <si>
    <t>PM26 INVESTOR REPORT QUARTER ENDING JULY 2020</t>
  </si>
  <si>
    <t>Original Payment Holiday Borrowers</t>
  </si>
  <si>
    <t>Extended Payment Holiday Borrowers</t>
  </si>
  <si>
    <t>WA PH Remaining Term (months)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</si>
  <si>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</si>
  <si>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</si>
  <si>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</si>
  <si>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</si>
  <si>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PM26 INVESTOR REPORT QUARTER ENDING OCTOBER 2020</t>
  </si>
  <si>
    <t>Payment holidays were extended in June 2020 and November 2020 for Buy to Let landlords who may be experiencing, or continue to experience, difficulties in meeting their buy to let mortgage payments caused by the impact of the COVID19 virus.</t>
  </si>
  <si>
    <t>PM26 INVESTOR REPORT QUARTER ENDING JANUARY 2021</t>
  </si>
  <si>
    <t>PM26 INVESTOR REPORT QUARTER ENDING APRIL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</si>
  <si>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</si>
  <si>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Mortgage Margin Reserve Fund Required Amount at Closing</t>
  </si>
  <si>
    <t>Conversion Margin Reserve Fund Amount at Closing</t>
  </si>
  <si>
    <t>Conversion Margin Reserve Fund Discretionary Fund</t>
  </si>
  <si>
    <t>PM26 INVESTOR REPORT QUARTER ENDING JULY 2021</t>
  </si>
  <si>
    <t xml:space="preserve">The Paragon Mortgages (2010) Limited originated mortgages transitioned to a term SONIA basis on 1st July 2021. Please see the below link for further details. </t>
  </si>
  <si>
    <t>libor-mortgages-transition-july-19 (paragonbankinggroup.co.uk)</t>
  </si>
  <si>
    <t>LIBOR transition on the PM26 Libor Linked Assets</t>
  </si>
  <si>
    <t xml:space="preserve">The same principles as outlined above for the "original" payment holiday customers also applies to the "extended" payment holiday customers. </t>
  </si>
  <si>
    <t>Closing Conversion Mortgage Margin Reserve Fund Balance</t>
  </si>
  <si>
    <t>All payment holidays expired on 31st July 2021.</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</si>
  <si>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</si>
  <si>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AA+</t>
  </si>
  <si>
    <t>PM(2010)/ PB Mandatory Further Advance Pre Funding Reserve diverted to Principal</t>
  </si>
  <si>
    <t xml:space="preserve">Funding of the PM(2010)/ PB Mandatory Further Advances </t>
  </si>
  <si>
    <t>PM (2010) Mandatory Further Advances</t>
  </si>
  <si>
    <t>PM (2010) Discretionary Further Advances</t>
  </si>
  <si>
    <t>PM26 INVESTOR REPORT QUARTER ENDING OCTOBER 2021</t>
  </si>
  <si>
    <t>A3</t>
  </si>
  <si>
    <t>PM26 INVESTOR REPORT QUARTER ENDING JANUARY 2022</t>
  </si>
  <si>
    <t>PM26 INVESTOR REPORT QUARTER ENDING APRIL 2022</t>
  </si>
  <si>
    <t>PM26 INVESTOR REPORT QUARTER ENDING JULY 2022</t>
  </si>
  <si>
    <t>RC1a Residual Certificates</t>
  </si>
  <si>
    <t>RC1b Residual Certificates</t>
  </si>
  <si>
    <t>RC2a Residual  Certificates</t>
  </si>
  <si>
    <t>RC2b Residual Certificates</t>
  </si>
  <si>
    <t>Total Hedge Amount*</t>
  </si>
  <si>
    <t xml:space="preserve">* The quarterly amortising swap executed on the Closing Date has been constructed on the weighted average fixed rate assets in each period, which may differ to the actual value of the fixed rate assets at each quarter end that are reported in the pool tables.To cater for timing differences on the Swap amortisations in certain quarters, the  Swaps are reported as at the Interest Payment Date, and not the Principal Determination Date.   </t>
  </si>
  <si>
    <t>PM26 INVESTOR REPORT QUARTER ENDING OCTOBER 2022</t>
  </si>
  <si>
    <t>Amounts credited to the Mortgage MRF from the Conversion Margin Reserve Fund Release Amount during the period</t>
  </si>
  <si>
    <t>Amount Released to the Mortgage Margin Reserve Fund during the period</t>
  </si>
  <si>
    <t xml:space="preserve">Mortgage Margin Reserve Fund Release Amount </t>
  </si>
  <si>
    <t xml:space="preserve">Mortgage Margin Reserve Fund Release Amount to the Revenue Ledger </t>
  </si>
  <si>
    <t>PM26 INVESTOR REPORT QUARTER ENDING JANUARY 2023</t>
  </si>
  <si>
    <t>Amounts credited to the Mortgage MRF from the Conversion Margin Reserve Fund Release Amount/Mortgage MRF Disc Fund during the period</t>
  </si>
  <si>
    <t>Amounts credited to the Mortgage MRF Discretionary Fund from the Revenue Priority of Payments</t>
  </si>
  <si>
    <t>Current Spread **</t>
  </si>
  <si>
    <t xml:space="preserve">reporting on the revenue as a % of the assets in the next row. </t>
  </si>
  <si>
    <t xml:space="preserve">** The negative spread has been capped at zero. The swap receipts in respect of the fixed rate assets and the respective releases from the conversion margin reserve fund and the margin reserve fund to the Revenue Ledger are not included in the weighted average interest charging rate. This is the reason for </t>
  </si>
  <si>
    <t>PM26 INVESTOR REPORT QUARTER ENDING APRIL 2023</t>
  </si>
  <si>
    <t>PM26 INVESTOR REPORT QUARTER ENDING JULY 2023</t>
  </si>
  <si>
    <t>PM26 INVESTOR REPORT QUARTER ENDING OCTOBER 2023</t>
  </si>
  <si>
    <t>PM26 INVESTOR REPORT QUARTER ENDING JANUARY 2024</t>
  </si>
  <si>
    <t>Total Hedge Amount split: Lloyds = 88.07%,  Santander = 11.93%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</si>
</sst>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s>
  <fonts count="31"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u/>
      <sz val="12"/>
      <color indexed="12"/>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0">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315">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71"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4" fontId="12" fillId="2" borderId="10" xfId="0" applyNumberFormat="1" applyFont="1" applyFill="1" applyBorder="1" applyAlignment="1" applyProtection="1">
      <alignment horizontal="right"/>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17" fontId="12" fillId="2" borderId="10" xfId="0" applyNumberFormat="1" applyFont="1" applyFill="1" applyBorder="1" applyAlignment="1">
      <alignment horizontal="center"/>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69" fontId="3" fillId="2" borderId="10" xfId="0" applyNumberFormat="1" applyFont="1" applyFill="1" applyBorder="1" applyAlignment="1">
      <alignment horizontal="center"/>
    </xf>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0" fontId="13" fillId="2" borderId="0" xfId="0" applyNumberFormat="1" applyFont="1" applyFill="1" applyAlignment="1">
      <alignment horizontal="center" wrapText="1"/>
    </xf>
    <xf numFmtId="10" fontId="12" fillId="2" borderId="10" xfId="0" applyNumberFormat="1" applyFont="1" applyFill="1" applyBorder="1" applyAlignment="1" applyProtection="1">
      <alignment horizontal="right"/>
      <protection locked="0"/>
    </xf>
    <xf numFmtId="165" fontId="3"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9" fontId="15" fillId="3" borderId="18" xfId="0" applyNumberFormat="1" applyFont="1" applyFill="1" applyBorder="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9" fontId="12" fillId="2" borderId="20" xfId="0" applyNumberFormat="1" applyFont="1" applyFill="1" applyBorder="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9" fontId="12" fillId="2" borderId="10" xfId="0" applyNumberFormat="1" applyFont="1" applyFill="1" applyBorder="1"/>
    <xf numFmtId="0" fontId="12" fillId="2" borderId="0" xfId="0" applyFont="1" applyFill="1"/>
    <xf numFmtId="0" fontId="13" fillId="2" borderId="0" xfId="0" applyFont="1" applyFill="1"/>
    <xf numFmtId="0" fontId="25" fillId="2" borderId="0" xfId="0" applyFont="1" applyFill="1"/>
    <xf numFmtId="0" fontId="10" fillId="4" borderId="0" xfId="1" applyFont="1" applyFill="1" applyAlignment="1" applyProtection="1"/>
    <xf numFmtId="0" fontId="10" fillId="4" borderId="10" xfId="1" applyFont="1" applyFill="1" applyBorder="1" applyAlignment="1" applyProtection="1"/>
    <xf numFmtId="3" fontId="16" fillId="3" borderId="0" xfId="0" applyNumberFormat="1" applyFont="1" applyFill="1" applyAlignment="1">
      <alignment horizontal="center"/>
    </xf>
    <xf numFmtId="0" fontId="16" fillId="3" borderId="0" xfId="0" applyFont="1" applyFill="1" applyAlignment="1">
      <alignment horizontal="center"/>
    </xf>
    <xf numFmtId="3" fontId="12" fillId="2" borderId="0" xfId="0" applyNumberFormat="1" applyFont="1" applyFill="1"/>
    <xf numFmtId="10" fontId="12" fillId="2" borderId="0" xfId="0" applyNumberFormat="1" applyFont="1" applyFill="1"/>
    <xf numFmtId="3" fontId="12" fillId="2" borderId="10" xfId="0" applyNumberFormat="1" applyFont="1" applyFill="1" applyBorder="1"/>
    <xf numFmtId="10" fontId="12" fillId="2" borderId="21" xfId="0" applyNumberFormat="1" applyFont="1" applyFill="1" applyBorder="1"/>
    <xf numFmtId="10" fontId="12" fillId="2" borderId="10" xfId="0" applyNumberFormat="1" applyFont="1" applyFill="1" applyBorder="1"/>
    <xf numFmtId="9" fontId="12" fillId="2" borderId="20" xfId="0" applyNumberFormat="1" applyFont="1" applyFill="1" applyBorder="1" applyAlignment="1"/>
    <xf numFmtId="0" fontId="3" fillId="0" borderId="0" xfId="0" applyFont="1"/>
    <xf numFmtId="0" fontId="29" fillId="0" borderId="0" xfId="0" applyNumberFormat="1" applyFont="1" applyAlignment="1"/>
    <xf numFmtId="10" fontId="13" fillId="2" borderId="10" xfId="0" applyNumberFormat="1" applyFont="1" applyFill="1" applyBorder="1"/>
    <xf numFmtId="0" fontId="12" fillId="2" borderId="22" xfId="0" applyFont="1" applyFill="1" applyBorder="1"/>
    <xf numFmtId="0" fontId="12" fillId="2" borderId="23" xfId="0" applyFont="1" applyFill="1" applyBorder="1"/>
    <xf numFmtId="0" fontId="3" fillId="2" borderId="23" xfId="0"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0" fillId="0" borderId="0" xfId="0" applyFont="1"/>
    <xf numFmtId="3" fontId="12" fillId="2" borderId="18" xfId="0" applyNumberFormat="1" applyFont="1" applyFill="1" applyBorder="1"/>
    <xf numFmtId="10" fontId="12" fillId="2" borderId="18" xfId="0" applyNumberFormat="1" applyFont="1" applyFill="1" applyBorder="1"/>
    <xf numFmtId="3" fontId="12" fillId="2" borderId="18" xfId="0" applyNumberFormat="1" applyFont="1" applyFill="1" applyBorder="1" applyAlignment="1" applyProtection="1">
      <alignment horizontal="right"/>
      <protection locked="0"/>
    </xf>
    <xf numFmtId="0" fontId="12" fillId="2" borderId="18" xfId="0" applyNumberFormat="1" applyFont="1" applyFill="1" applyBorder="1" applyAlignment="1"/>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0" fontId="12" fillId="2" borderId="20" xfId="0" applyNumberFormat="1" applyFont="1" applyFill="1" applyBorder="1" applyAlignment="1"/>
    <xf numFmtId="169" fontId="12" fillId="2" borderId="0" xfId="0" applyNumberFormat="1" applyFont="1" applyFill="1" applyAlignment="1"/>
    <xf numFmtId="3" fontId="12" fillId="4" borderId="27" xfId="0" applyNumberFormat="1" applyFont="1" applyFill="1" applyBorder="1"/>
    <xf numFmtId="10" fontId="12" fillId="4" borderId="28" xfId="0" applyNumberFormat="1" applyFont="1" applyFill="1" applyBorder="1" applyAlignment="1" applyProtection="1">
      <alignment horizontal="right"/>
      <protection locked="0"/>
    </xf>
    <xf numFmtId="3" fontId="12" fillId="4" borderId="28" xfId="0" applyNumberFormat="1" applyFont="1" applyFill="1" applyBorder="1" applyAlignment="1" applyProtection="1">
      <alignment horizontal="right"/>
      <protection locked="0"/>
    </xf>
    <xf numFmtId="10" fontId="12" fillId="4" borderId="28" xfId="0" applyNumberFormat="1" applyFont="1" applyFill="1" applyBorder="1"/>
    <xf numFmtId="4" fontId="12" fillId="4" borderId="29" xfId="0" applyNumberFormat="1" applyFont="1" applyFill="1" applyBorder="1"/>
    <xf numFmtId="3" fontId="12" fillId="4" borderId="24" xfId="0" applyNumberFormat="1" applyFont="1" applyFill="1" applyBorder="1"/>
    <xf numFmtId="10" fontId="12" fillId="4" borderId="25" xfId="0" applyNumberFormat="1" applyFont="1" applyFill="1" applyBorder="1"/>
    <xf numFmtId="3" fontId="12" fillId="4" borderId="25" xfId="0" applyNumberFormat="1" applyFont="1" applyFill="1" applyBorder="1" applyAlignment="1" applyProtection="1">
      <alignment horizontal="right"/>
      <protection locked="0"/>
    </xf>
    <xf numFmtId="4" fontId="12" fillId="4" borderId="26" xfId="0" applyNumberFormat="1" applyFont="1" applyFill="1" applyBorder="1"/>
    <xf numFmtId="10" fontId="13" fillId="2" borderId="28" xfId="0" applyNumberFormat="1" applyFont="1" applyFill="1" applyBorder="1"/>
    <xf numFmtId="10" fontId="13" fillId="2" borderId="28" xfId="0" applyNumberFormat="1" applyFont="1" applyFill="1" applyBorder="1" applyAlignment="1" applyProtection="1">
      <alignment horizontal="right"/>
      <protection locked="0"/>
    </xf>
    <xf numFmtId="0" fontId="12" fillId="2" borderId="28" xfId="0" applyNumberFormat="1" applyFont="1" applyFill="1" applyBorder="1" applyAlignment="1"/>
    <xf numFmtId="0" fontId="30" fillId="0" borderId="0" xfId="1" applyFont="1" applyAlignment="1" applyProtection="1">
      <alignment vertical="center"/>
    </xf>
    <xf numFmtId="3" fontId="3" fillId="0" borderId="0" xfId="0" applyNumberFormat="1" applyFont="1" applyAlignment="1"/>
    <xf numFmtId="3" fontId="3" fillId="2" borderId="23" xfId="0" applyNumberFormat="1" applyFont="1" applyFill="1" applyBorder="1"/>
    <xf numFmtId="10" fontId="3" fillId="2" borderId="23" xfId="0" applyNumberFormat="1" applyFont="1" applyFill="1" applyBorder="1"/>
    <xf numFmtId="3" fontId="3" fillId="2" borderId="23" xfId="0" applyNumberFormat="1" applyFont="1" applyFill="1" applyBorder="1" applyAlignment="1" applyProtection="1">
      <alignment horizontal="right"/>
      <protection locked="0"/>
    </xf>
    <xf numFmtId="3" fontId="3" fillId="0" borderId="1" xfId="0" applyNumberFormat="1" applyFont="1" applyBorder="1"/>
    <xf numFmtId="10" fontId="13" fillId="2" borderId="11" xfId="0" quotePrefix="1" applyNumberFormat="1" applyFont="1" applyFill="1" applyBorder="1" applyAlignment="1"/>
    <xf numFmtId="2" fontId="12" fillId="2" borderId="0" xfId="0" applyNumberFormat="1" applyFont="1" applyFill="1" applyAlignment="1"/>
    <xf numFmtId="10" fontId="12" fillId="2" borderId="0" xfId="0" applyNumberFormat="1" applyFont="1" applyFill="1" applyAlignment="1"/>
    <xf numFmtId="170" fontId="12" fillId="2" borderId="0" xfId="0" applyNumberFormat="1" applyFont="1" applyFill="1" applyAlignment="1"/>
    <xf numFmtId="3" fontId="12" fillId="0" borderId="1" xfId="0" applyNumberFormat="1" applyFont="1" applyBorder="1"/>
    <xf numFmtId="0" fontId="3" fillId="2" borderId="10" xfId="0" applyFont="1" applyFill="1" applyBorder="1"/>
    <xf numFmtId="10" fontId="12" fillId="0" borderId="0" xfId="0" applyNumberFormat="1" applyFont="1" applyAlignment="1"/>
    <xf numFmtId="10" fontId="3" fillId="2" borderId="10" xfId="0" applyNumberFormat="1" applyFont="1" applyFill="1" applyBorder="1" applyAlignment="1" applyProtection="1">
      <alignment horizontal="right"/>
      <protection locked="0"/>
    </xf>
    <xf numFmtId="10" fontId="3" fillId="2" borderId="10" xfId="0" applyNumberFormat="1"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008080"/>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338</xdr:row>
      <xdr:rowOff>123825</xdr:rowOff>
    </xdr:from>
    <xdr:to>
      <xdr:col>28</xdr:col>
      <xdr:colOff>1895475</xdr:colOff>
      <xdr:row>339</xdr:row>
      <xdr:rowOff>152400</xdr:rowOff>
    </xdr:to>
    <xdr:pic>
      <xdr:nvPicPr>
        <xdr:cNvPr id="2" name="Picture 1" descr="C:\WINDOWS\TEMP\~0003946.gif">
          <a:extLst>
            <a:ext uri="{FF2B5EF4-FFF2-40B4-BE49-F238E27FC236}">
              <a16:creationId xmlns:a16="http://schemas.microsoft.com/office/drawing/2014/main" id="{CDFDEABE-43C7-4B7A-AEAD-7BDE82A8DA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6170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14B9979-325A-46F5-9301-0EB08FAF75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4140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0A9168F7-B77F-4A98-8C77-6C27A078657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26727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3C13B0F-E5E9-4C80-9FCC-3078DBF695D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1187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310403</xdr:colOff>
      <xdr:row>53</xdr:row>
      <xdr:rowOff>142768</xdr:rowOff>
    </xdr:to>
    <xdr:pic>
      <xdr:nvPicPr>
        <xdr:cNvPr id="6" name="Picture 5">
          <a:extLst>
            <a:ext uri="{FF2B5EF4-FFF2-40B4-BE49-F238E27FC236}">
              <a16:creationId xmlns:a16="http://schemas.microsoft.com/office/drawing/2014/main" id="{DCF80780-3B00-475B-BAB4-2782763A5D24}"/>
            </a:ext>
          </a:extLst>
        </xdr:cNvPr>
        <xdr:cNvPicPr>
          <a:picLocks noChangeAspect="1"/>
        </xdr:cNvPicPr>
      </xdr:nvPicPr>
      <xdr:blipFill>
        <a:blip xmlns:r="http://schemas.openxmlformats.org/officeDocument/2006/relationships" r:embed="rId3"/>
        <a:stretch>
          <a:fillRect/>
        </a:stretch>
      </xdr:blipFill>
      <xdr:spPr>
        <a:xfrm>
          <a:off x="139700" y="11830050"/>
          <a:ext cx="170703" cy="22849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206268</xdr:rowOff>
    </xdr:to>
    <xdr:pic>
      <xdr:nvPicPr>
        <xdr:cNvPr id="7" name="Picture 6">
          <a:extLst>
            <a:ext uri="{FF2B5EF4-FFF2-40B4-BE49-F238E27FC236}">
              <a16:creationId xmlns:a16="http://schemas.microsoft.com/office/drawing/2014/main" id="{1624254C-9783-4E4D-9CEC-C1B5ED6D4CB5}"/>
            </a:ext>
          </a:extLst>
        </xdr:cNvPr>
        <xdr:cNvPicPr>
          <a:picLocks noChangeAspect="1"/>
        </xdr:cNvPicPr>
      </xdr:nvPicPr>
      <xdr:blipFill>
        <a:blip xmlns:r="http://schemas.openxmlformats.org/officeDocument/2006/relationships" r:embed="rId3"/>
        <a:stretch>
          <a:fillRect/>
        </a:stretch>
      </xdr:blipFill>
      <xdr:spPr>
        <a:xfrm>
          <a:off x="165100" y="26743025"/>
          <a:ext cx="178323" cy="228493"/>
        </a:xfrm>
        <a:prstGeom prst="rect">
          <a:avLst/>
        </a:prstGeom>
      </xdr:spPr>
    </xdr:pic>
    <xdr:clientData/>
  </xdr:twoCellAnchor>
  <xdr:twoCellAnchor editAs="oneCell">
    <xdr:from>
      <xdr:col>0</xdr:col>
      <xdr:colOff>139700</xdr:colOff>
      <xdr:row>235</xdr:row>
      <xdr:rowOff>152400</xdr:rowOff>
    </xdr:from>
    <xdr:to>
      <xdr:col>0</xdr:col>
      <xdr:colOff>310403</xdr:colOff>
      <xdr:row>236</xdr:row>
      <xdr:rowOff>180868</xdr:rowOff>
    </xdr:to>
    <xdr:pic>
      <xdr:nvPicPr>
        <xdr:cNvPr id="8" name="Picture 7">
          <a:extLst>
            <a:ext uri="{FF2B5EF4-FFF2-40B4-BE49-F238E27FC236}">
              <a16:creationId xmlns:a16="http://schemas.microsoft.com/office/drawing/2014/main" id="{5F66F260-D8ED-449E-B76C-77B135D512E4}"/>
            </a:ext>
          </a:extLst>
        </xdr:cNvPr>
        <xdr:cNvPicPr>
          <a:picLocks noChangeAspect="1"/>
        </xdr:cNvPicPr>
      </xdr:nvPicPr>
      <xdr:blipFill>
        <a:blip xmlns:r="http://schemas.openxmlformats.org/officeDocument/2006/relationships" r:embed="rId3"/>
        <a:stretch>
          <a:fillRect/>
        </a:stretch>
      </xdr:blipFill>
      <xdr:spPr>
        <a:xfrm>
          <a:off x="139700" y="41405175"/>
          <a:ext cx="170703" cy="228493"/>
        </a:xfrm>
        <a:prstGeom prst="rect">
          <a:avLst/>
        </a:prstGeom>
      </xdr:spPr>
    </xdr:pic>
    <xdr:clientData/>
  </xdr:twoCellAnchor>
  <xdr:twoCellAnchor editAs="oneCell">
    <xdr:from>
      <xdr:col>0</xdr:col>
      <xdr:colOff>139700</xdr:colOff>
      <xdr:row>338</xdr:row>
      <xdr:rowOff>127000</xdr:rowOff>
    </xdr:from>
    <xdr:to>
      <xdr:col>0</xdr:col>
      <xdr:colOff>310403</xdr:colOff>
      <xdr:row>339</xdr:row>
      <xdr:rowOff>155468</xdr:rowOff>
    </xdr:to>
    <xdr:pic>
      <xdr:nvPicPr>
        <xdr:cNvPr id="9" name="Picture 8">
          <a:extLst>
            <a:ext uri="{FF2B5EF4-FFF2-40B4-BE49-F238E27FC236}">
              <a16:creationId xmlns:a16="http://schemas.microsoft.com/office/drawing/2014/main" id="{BBC97F04-49EF-419D-8AF0-B29FC6D0C395}"/>
            </a:ext>
          </a:extLst>
        </xdr:cNvPr>
        <xdr:cNvPicPr>
          <a:picLocks noChangeAspect="1"/>
        </xdr:cNvPicPr>
      </xdr:nvPicPr>
      <xdr:blipFill>
        <a:blip xmlns:r="http://schemas.openxmlformats.org/officeDocument/2006/relationships" r:embed="rId3"/>
        <a:stretch>
          <a:fillRect/>
        </a:stretch>
      </xdr:blipFill>
      <xdr:spPr>
        <a:xfrm>
          <a:off x="139700" y="61706125"/>
          <a:ext cx="170703" cy="228493"/>
        </a:xfrm>
        <a:prstGeom prst="rect">
          <a:avLst/>
        </a:prstGeom>
      </xdr:spPr>
    </xdr:pic>
    <xdr:clientData/>
  </xdr:twoCellAnchor>
  <xdr:twoCellAnchor editAs="oneCell">
    <xdr:from>
      <xdr:col>28</xdr:col>
      <xdr:colOff>0</xdr:colOff>
      <xdr:row>338</xdr:row>
      <xdr:rowOff>0</xdr:rowOff>
    </xdr:from>
    <xdr:to>
      <xdr:col>28</xdr:col>
      <xdr:colOff>829128</xdr:colOff>
      <xdr:row>339</xdr:row>
      <xdr:rowOff>89433</xdr:rowOff>
    </xdr:to>
    <xdr:pic>
      <xdr:nvPicPr>
        <xdr:cNvPr id="10" name="Picture 9">
          <a:extLst>
            <a:ext uri="{FF2B5EF4-FFF2-40B4-BE49-F238E27FC236}">
              <a16:creationId xmlns:a16="http://schemas.microsoft.com/office/drawing/2014/main" id="{367DE2CD-08AA-4361-9598-FA6F0CA53046}"/>
            </a:ext>
          </a:extLst>
        </xdr:cNvPr>
        <xdr:cNvPicPr>
          <a:picLocks noChangeAspect="1"/>
        </xdr:cNvPicPr>
      </xdr:nvPicPr>
      <xdr:blipFill>
        <a:blip xmlns:r="http://schemas.openxmlformats.org/officeDocument/2006/relationships" r:embed="rId4"/>
        <a:stretch>
          <a:fillRect/>
        </a:stretch>
      </xdr:blipFill>
      <xdr:spPr>
        <a:xfrm>
          <a:off x="20021550" y="61579125"/>
          <a:ext cx="829128" cy="289458"/>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2A884562-C74A-4858-8C2B-6C68333354DC}"/>
            </a:ext>
          </a:extLst>
        </xdr:cNvPr>
        <xdr:cNvPicPr>
          <a:picLocks noChangeAspect="1"/>
        </xdr:cNvPicPr>
      </xdr:nvPicPr>
      <xdr:blipFill>
        <a:blip xmlns:r="http://schemas.openxmlformats.org/officeDocument/2006/relationships" r:embed="rId4"/>
        <a:stretch>
          <a:fillRect/>
        </a:stretch>
      </xdr:blipFill>
      <xdr:spPr>
        <a:xfrm>
          <a:off x="20085050" y="41341675"/>
          <a:ext cx="829128" cy="28945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165633</xdr:rowOff>
    </xdr:to>
    <xdr:pic>
      <xdr:nvPicPr>
        <xdr:cNvPr id="12" name="Picture 11">
          <a:extLst>
            <a:ext uri="{FF2B5EF4-FFF2-40B4-BE49-F238E27FC236}">
              <a16:creationId xmlns:a16="http://schemas.microsoft.com/office/drawing/2014/main" id="{B24BF43B-2EBD-42E7-A83A-E8091FDB6367}"/>
            </a:ext>
          </a:extLst>
        </xdr:cNvPr>
        <xdr:cNvPicPr>
          <a:picLocks noChangeAspect="1"/>
        </xdr:cNvPicPr>
      </xdr:nvPicPr>
      <xdr:blipFill>
        <a:blip xmlns:r="http://schemas.openxmlformats.org/officeDocument/2006/relationships" r:embed="rId4"/>
        <a:stretch>
          <a:fillRect/>
        </a:stretch>
      </xdr:blipFill>
      <xdr:spPr>
        <a:xfrm>
          <a:off x="20046950" y="26641425"/>
          <a:ext cx="829128" cy="289458"/>
        </a:xfrm>
        <a:prstGeom prst="rect">
          <a:avLst/>
        </a:prstGeom>
      </xdr:spPr>
    </xdr:pic>
    <xdr:clientData/>
  </xdr:twoCellAnchor>
  <xdr:twoCellAnchor editAs="oneCell">
    <xdr:from>
      <xdr:col>28</xdr:col>
      <xdr:colOff>0</xdr:colOff>
      <xdr:row>52</xdr:row>
      <xdr:rowOff>0</xdr:rowOff>
    </xdr:from>
    <xdr:to>
      <xdr:col>28</xdr:col>
      <xdr:colOff>829128</xdr:colOff>
      <xdr:row>53</xdr:row>
      <xdr:rowOff>89433</xdr:rowOff>
    </xdr:to>
    <xdr:pic>
      <xdr:nvPicPr>
        <xdr:cNvPr id="13" name="Picture 12">
          <a:extLst>
            <a:ext uri="{FF2B5EF4-FFF2-40B4-BE49-F238E27FC236}">
              <a16:creationId xmlns:a16="http://schemas.microsoft.com/office/drawing/2014/main" id="{EEE9F4D2-2830-47B0-83E5-6DA763D298B2}"/>
            </a:ext>
          </a:extLst>
        </xdr:cNvPr>
        <xdr:cNvPicPr>
          <a:picLocks noChangeAspect="1"/>
        </xdr:cNvPicPr>
      </xdr:nvPicPr>
      <xdr:blipFill>
        <a:blip xmlns:r="http://schemas.openxmlformats.org/officeDocument/2006/relationships" r:embed="rId4"/>
        <a:stretch>
          <a:fillRect/>
        </a:stretch>
      </xdr:blipFill>
      <xdr:spPr>
        <a:xfrm>
          <a:off x="20021550" y="11715750"/>
          <a:ext cx="829128" cy="2894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7AD5E9F6-7FD9-4D84-A4A8-94C2677BE7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7F5189EF-2B9D-4A66-97D2-B37269DD348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17803C8E-550E-49D9-85EC-144D043223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47E3171-54BA-4944-B422-8A7363A924A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352AC6F9-7533-48C3-A1E7-416E2CFACEB4}"/>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3EE02E6E-4ED2-4EF2-A384-4E72C4A5231C}"/>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E8521F9E-4694-4F87-B95E-611F22A49A56}"/>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5443F8DD-B42A-4B79-9A10-81AD3F8C3A09}"/>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D8C1DEC4-5260-4227-8633-CF519AFADC42}"/>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BF280849-5EDC-473B-8337-8E4C88D36694}"/>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28816639-E4E7-4C50-B47A-42F4314171A5}"/>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AABDAEFF-9A07-43A8-ADF8-BA6C9FE57EE4}"/>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CCB03D16-F3E9-4A72-97B4-5AD2769F14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FE16B957-2F85-4B8F-8855-77B6B592559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975091C3-6F60-4D42-A165-99C659B04B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F61A715C-D5A0-4488-B900-E4F1C68FD7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6BDEDE05-414A-4C56-8995-15E6B08CDA48}"/>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BBE1BD30-A552-4942-B32E-AE7663D6BD37}"/>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0248677F-54B9-4980-A535-79D483427063}"/>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75C45DEB-4571-47D5-BA96-F2718C455A0B}"/>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DC719DDE-006F-4760-AC63-FDB0C9A608D3}"/>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0801715C-5FB5-4207-A24E-45C76F88FEA8}"/>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F40DD372-4274-48E8-B5F5-754FFE366647}"/>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30D87CBE-5FB4-47B4-8359-B1D02A7395FE}"/>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EA5BDC6F-F880-429B-A743-0DB7690009C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6A839FDE-0787-48E6-96AC-E970F56D56E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2250508C-449F-44CE-8094-21D8DE14FA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FFE97BD-9399-45E5-9230-1E5FADCD22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C4306939-A39F-43B5-A8CD-11F1000D6352}"/>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EABAF880-4050-40CC-BAE8-43BD6868F9B9}"/>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C760B838-D78B-4FC1-8EF5-2B0011547320}"/>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325008</xdr:colOff>
      <xdr:row>349</xdr:row>
      <xdr:rowOff>114646</xdr:rowOff>
    </xdr:to>
    <xdr:pic>
      <xdr:nvPicPr>
        <xdr:cNvPr id="9" name="Picture 8">
          <a:extLst>
            <a:ext uri="{FF2B5EF4-FFF2-40B4-BE49-F238E27FC236}">
              <a16:creationId xmlns:a16="http://schemas.microsoft.com/office/drawing/2014/main" id="{F123895D-A931-4BA1-BCB4-6158066DC9B7}"/>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818333</xdr:colOff>
      <xdr:row>349</xdr:row>
      <xdr:rowOff>54961</xdr:rowOff>
    </xdr:to>
    <xdr:pic>
      <xdr:nvPicPr>
        <xdr:cNvPr id="10" name="Picture 9">
          <a:extLst>
            <a:ext uri="{FF2B5EF4-FFF2-40B4-BE49-F238E27FC236}">
              <a16:creationId xmlns:a16="http://schemas.microsoft.com/office/drawing/2014/main" id="{38237AD6-7520-4F7C-9ACC-61451CAEA116}"/>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656DBD03-135A-497F-8EB8-0056F10C0789}"/>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173253</xdr:rowOff>
    </xdr:to>
    <xdr:pic>
      <xdr:nvPicPr>
        <xdr:cNvPr id="12" name="Picture 11">
          <a:extLst>
            <a:ext uri="{FF2B5EF4-FFF2-40B4-BE49-F238E27FC236}">
              <a16:creationId xmlns:a16="http://schemas.microsoft.com/office/drawing/2014/main" id="{C0FEB0D3-22D1-46CF-99A8-01D832ECFE7F}"/>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818333</xdr:colOff>
      <xdr:row>53</xdr:row>
      <xdr:rowOff>97053</xdr:rowOff>
    </xdr:to>
    <xdr:pic>
      <xdr:nvPicPr>
        <xdr:cNvPr id="13" name="Picture 12">
          <a:extLst>
            <a:ext uri="{FF2B5EF4-FFF2-40B4-BE49-F238E27FC236}">
              <a16:creationId xmlns:a16="http://schemas.microsoft.com/office/drawing/2014/main" id="{1124A396-7D69-46A7-A5F1-7AD559782624}"/>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08F9E0BA-C734-4C07-AF5A-972362CD9E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1175" y="7020496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BA8B847-D707-4089-8011-1BE1E916D2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9270" y="4774692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78E4ED19-1F7C-40BC-8DD8-DFA39DE5762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4985" y="2725864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F7F786A-F0B3-4712-98F4-93335743E03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4985" y="1076896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D14DD083-68BB-435B-84C6-82EF80BCCA6F}"/>
            </a:ext>
          </a:extLst>
        </xdr:cNvPr>
        <xdr:cNvPicPr>
          <a:picLocks noChangeAspect="1"/>
        </xdr:cNvPicPr>
      </xdr:nvPicPr>
      <xdr:blipFill>
        <a:blip xmlns:r="http://schemas.openxmlformats.org/officeDocument/2006/relationships" r:embed="rId3"/>
        <a:stretch>
          <a:fillRect/>
        </a:stretch>
      </xdr:blipFill>
      <xdr:spPr>
        <a:xfrm>
          <a:off x="139700" y="10721340"/>
          <a:ext cx="185308" cy="22023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DBFD350F-342F-4768-B77A-7115EC539B3B}"/>
            </a:ext>
          </a:extLst>
        </xdr:cNvPr>
        <xdr:cNvPicPr>
          <a:picLocks noChangeAspect="1"/>
        </xdr:cNvPicPr>
      </xdr:nvPicPr>
      <xdr:blipFill>
        <a:blip xmlns:r="http://schemas.openxmlformats.org/officeDocument/2006/relationships" r:embed="rId3"/>
        <a:stretch>
          <a:fillRect/>
        </a:stretch>
      </xdr:blipFill>
      <xdr:spPr>
        <a:xfrm>
          <a:off x="165100" y="27274520"/>
          <a:ext cx="170703" cy="231033"/>
        </a:xfrm>
        <a:prstGeom prst="rect">
          <a:avLst/>
        </a:prstGeom>
      </xdr:spPr>
    </xdr:pic>
    <xdr:clientData/>
  </xdr:twoCellAnchor>
  <xdr:twoCellAnchor editAs="oneCell">
    <xdr:from>
      <xdr:col>0</xdr:col>
      <xdr:colOff>139700</xdr:colOff>
      <xdr:row>236</xdr:row>
      <xdr:rowOff>152400</xdr:rowOff>
    </xdr:from>
    <xdr:to>
      <xdr:col>0</xdr:col>
      <xdr:colOff>325008</xdr:colOff>
      <xdr:row>237</xdr:row>
      <xdr:rowOff>174518</xdr:rowOff>
    </xdr:to>
    <xdr:pic>
      <xdr:nvPicPr>
        <xdr:cNvPr id="8" name="Picture 7">
          <a:extLst>
            <a:ext uri="{FF2B5EF4-FFF2-40B4-BE49-F238E27FC236}">
              <a16:creationId xmlns:a16="http://schemas.microsoft.com/office/drawing/2014/main" id="{3415F4E9-1A4B-4ABF-A12B-1CC6B09B126D}"/>
            </a:ext>
          </a:extLst>
        </xdr:cNvPr>
        <xdr:cNvPicPr>
          <a:picLocks noChangeAspect="1"/>
        </xdr:cNvPicPr>
      </xdr:nvPicPr>
      <xdr:blipFill>
        <a:blip xmlns:r="http://schemas.openxmlformats.org/officeDocument/2006/relationships" r:embed="rId3"/>
        <a:stretch>
          <a:fillRect/>
        </a:stretch>
      </xdr:blipFill>
      <xdr:spPr>
        <a:xfrm>
          <a:off x="139700" y="47746920"/>
          <a:ext cx="185308" cy="220238"/>
        </a:xfrm>
        <a:prstGeom prst="rect">
          <a:avLst/>
        </a:prstGeom>
      </xdr:spPr>
    </xdr:pic>
    <xdr:clientData/>
  </xdr:twoCellAnchor>
  <xdr:twoCellAnchor editAs="oneCell">
    <xdr:from>
      <xdr:col>0</xdr:col>
      <xdr:colOff>139700</xdr:colOff>
      <xdr:row>349</xdr:row>
      <xdr:rowOff>127000</xdr:rowOff>
    </xdr:from>
    <xdr:to>
      <xdr:col>0</xdr:col>
      <xdr:colOff>325008</xdr:colOff>
      <xdr:row>350</xdr:row>
      <xdr:rowOff>114646</xdr:rowOff>
    </xdr:to>
    <xdr:pic>
      <xdr:nvPicPr>
        <xdr:cNvPr id="9" name="Picture 8">
          <a:extLst>
            <a:ext uri="{FF2B5EF4-FFF2-40B4-BE49-F238E27FC236}">
              <a16:creationId xmlns:a16="http://schemas.microsoft.com/office/drawing/2014/main" id="{8407A9C8-8979-4AD6-ACA3-53CDF8088F4A}"/>
            </a:ext>
          </a:extLst>
        </xdr:cNvPr>
        <xdr:cNvPicPr>
          <a:picLocks noChangeAspect="1"/>
        </xdr:cNvPicPr>
      </xdr:nvPicPr>
      <xdr:blipFill>
        <a:blip xmlns:r="http://schemas.openxmlformats.org/officeDocument/2006/relationships" r:embed="rId3"/>
        <a:stretch>
          <a:fillRect/>
        </a:stretch>
      </xdr:blipFill>
      <xdr:spPr>
        <a:xfrm>
          <a:off x="139700" y="70208140"/>
          <a:ext cx="185308" cy="216246"/>
        </a:xfrm>
        <a:prstGeom prst="rect">
          <a:avLst/>
        </a:prstGeom>
      </xdr:spPr>
    </xdr:pic>
    <xdr:clientData/>
  </xdr:twoCellAnchor>
  <xdr:twoCellAnchor editAs="oneCell">
    <xdr:from>
      <xdr:col>28</xdr:col>
      <xdr:colOff>0</xdr:colOff>
      <xdr:row>349</xdr:row>
      <xdr:rowOff>0</xdr:rowOff>
    </xdr:from>
    <xdr:to>
      <xdr:col>28</xdr:col>
      <xdr:colOff>818333</xdr:colOff>
      <xdr:row>350</xdr:row>
      <xdr:rowOff>54961</xdr:rowOff>
    </xdr:to>
    <xdr:pic>
      <xdr:nvPicPr>
        <xdr:cNvPr id="10" name="Picture 9">
          <a:extLst>
            <a:ext uri="{FF2B5EF4-FFF2-40B4-BE49-F238E27FC236}">
              <a16:creationId xmlns:a16="http://schemas.microsoft.com/office/drawing/2014/main" id="{F793E931-36FF-4052-896A-3D2ED463D88C}"/>
            </a:ext>
          </a:extLst>
        </xdr:cNvPr>
        <xdr:cNvPicPr>
          <a:picLocks noChangeAspect="1"/>
        </xdr:cNvPicPr>
      </xdr:nvPicPr>
      <xdr:blipFill>
        <a:blip xmlns:r="http://schemas.openxmlformats.org/officeDocument/2006/relationships" r:embed="rId4"/>
        <a:stretch>
          <a:fillRect/>
        </a:stretch>
      </xdr:blipFill>
      <xdr:spPr>
        <a:xfrm>
          <a:off x="27454860" y="70081140"/>
          <a:ext cx="818333" cy="283561"/>
        </a:xfrm>
        <a:prstGeom prst="rect">
          <a:avLst/>
        </a:prstGeom>
      </xdr:spPr>
    </xdr:pic>
    <xdr:clientData/>
  </xdr:twoCellAnchor>
  <xdr:twoCellAnchor editAs="oneCell">
    <xdr:from>
      <xdr:col>28</xdr:col>
      <xdr:colOff>63500</xdr:colOff>
      <xdr:row>236</xdr:row>
      <xdr:rowOff>88900</xdr:rowOff>
    </xdr:from>
    <xdr:to>
      <xdr:col>28</xdr:col>
      <xdr:colOff>892628</xdr:colOff>
      <xdr:row>237</xdr:row>
      <xdr:rowOff>170078</xdr:rowOff>
    </xdr:to>
    <xdr:pic>
      <xdr:nvPicPr>
        <xdr:cNvPr id="11" name="Picture 10">
          <a:extLst>
            <a:ext uri="{FF2B5EF4-FFF2-40B4-BE49-F238E27FC236}">
              <a16:creationId xmlns:a16="http://schemas.microsoft.com/office/drawing/2014/main" id="{286A4825-A9EA-49B2-8B87-D836E151DA8D}"/>
            </a:ext>
          </a:extLst>
        </xdr:cNvPr>
        <xdr:cNvPicPr>
          <a:picLocks noChangeAspect="1"/>
        </xdr:cNvPicPr>
      </xdr:nvPicPr>
      <xdr:blipFill>
        <a:blip xmlns:r="http://schemas.openxmlformats.org/officeDocument/2006/relationships" r:embed="rId4"/>
        <a:stretch>
          <a:fillRect/>
        </a:stretch>
      </xdr:blipFill>
      <xdr:spPr>
        <a:xfrm>
          <a:off x="27518360" y="47683420"/>
          <a:ext cx="829128" cy="27929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173253</xdr:rowOff>
    </xdr:to>
    <xdr:pic>
      <xdr:nvPicPr>
        <xdr:cNvPr id="12" name="Picture 11">
          <a:extLst>
            <a:ext uri="{FF2B5EF4-FFF2-40B4-BE49-F238E27FC236}">
              <a16:creationId xmlns:a16="http://schemas.microsoft.com/office/drawing/2014/main" id="{C2BF1CF1-169E-40D2-A79C-A2B005DB1A0A}"/>
            </a:ext>
          </a:extLst>
        </xdr:cNvPr>
        <xdr:cNvPicPr>
          <a:picLocks noChangeAspect="1"/>
        </xdr:cNvPicPr>
      </xdr:nvPicPr>
      <xdr:blipFill>
        <a:blip xmlns:r="http://schemas.openxmlformats.org/officeDocument/2006/relationships" r:embed="rId4"/>
        <a:stretch>
          <a:fillRect/>
        </a:stretch>
      </xdr:blipFill>
      <xdr:spPr>
        <a:xfrm>
          <a:off x="27480260" y="27172920"/>
          <a:ext cx="829128" cy="295173"/>
        </a:xfrm>
        <a:prstGeom prst="rect">
          <a:avLst/>
        </a:prstGeom>
      </xdr:spPr>
    </xdr:pic>
    <xdr:clientData/>
  </xdr:twoCellAnchor>
  <xdr:twoCellAnchor editAs="oneCell">
    <xdr:from>
      <xdr:col>28</xdr:col>
      <xdr:colOff>0</xdr:colOff>
      <xdr:row>52</xdr:row>
      <xdr:rowOff>0</xdr:rowOff>
    </xdr:from>
    <xdr:to>
      <xdr:col>28</xdr:col>
      <xdr:colOff>818333</xdr:colOff>
      <xdr:row>53</xdr:row>
      <xdr:rowOff>97053</xdr:rowOff>
    </xdr:to>
    <xdr:pic>
      <xdr:nvPicPr>
        <xdr:cNvPr id="13" name="Picture 12">
          <a:extLst>
            <a:ext uri="{FF2B5EF4-FFF2-40B4-BE49-F238E27FC236}">
              <a16:creationId xmlns:a16="http://schemas.microsoft.com/office/drawing/2014/main" id="{82F9586D-57EE-41E0-BE98-72D86AE49B0F}"/>
            </a:ext>
          </a:extLst>
        </xdr:cNvPr>
        <xdr:cNvPicPr>
          <a:picLocks noChangeAspect="1"/>
        </xdr:cNvPicPr>
      </xdr:nvPicPr>
      <xdr:blipFill>
        <a:blip xmlns:r="http://schemas.openxmlformats.org/officeDocument/2006/relationships" r:embed="rId4"/>
        <a:stretch>
          <a:fillRect/>
        </a:stretch>
      </xdr:blipFill>
      <xdr:spPr>
        <a:xfrm>
          <a:off x="27454860" y="10607040"/>
          <a:ext cx="818333" cy="295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909D3EFD-4095-4CC5-97C4-736B451375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D7444CC8-7C81-4D89-9D2C-5565E67E9C4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121CF768-7896-4B65-949C-B64FB65323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9B651EBF-5F6B-4625-9272-0B2B53AB1BD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7DC1D445-DAFC-4AA3-AD87-5B00B240611E}"/>
            </a:ext>
          </a:extLst>
        </xdr:cNvPr>
        <xdr:cNvPicPr>
          <a:picLocks noChangeAspect="1"/>
        </xdr:cNvPicPr>
      </xdr:nvPicPr>
      <xdr:blipFill>
        <a:blip xmlns:r="http://schemas.openxmlformats.org/officeDocument/2006/relationships" r:embed="rId3"/>
        <a:stretch>
          <a:fillRect/>
        </a:stretch>
      </xdr:blipFill>
      <xdr:spPr>
        <a:xfrm>
          <a:off x="135890" y="10820400"/>
          <a:ext cx="185308" cy="21833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56AEA00E-0C90-4152-BFE9-0D4C833F734B}"/>
            </a:ext>
          </a:extLst>
        </xdr:cNvPr>
        <xdr:cNvPicPr>
          <a:picLocks noChangeAspect="1"/>
        </xdr:cNvPicPr>
      </xdr:nvPicPr>
      <xdr:blipFill>
        <a:blip xmlns:r="http://schemas.openxmlformats.org/officeDocument/2006/relationships" r:embed="rId3"/>
        <a:stretch>
          <a:fillRect/>
        </a:stretch>
      </xdr:blipFill>
      <xdr:spPr>
        <a:xfrm>
          <a:off x="168910" y="27510740"/>
          <a:ext cx="164988" cy="232938"/>
        </a:xfrm>
        <a:prstGeom prst="rect">
          <a:avLst/>
        </a:prstGeom>
      </xdr:spPr>
    </xdr:pic>
    <xdr:clientData/>
  </xdr:twoCellAnchor>
  <xdr:twoCellAnchor editAs="oneCell">
    <xdr:from>
      <xdr:col>0</xdr:col>
      <xdr:colOff>139700</xdr:colOff>
      <xdr:row>236</xdr:row>
      <xdr:rowOff>152400</xdr:rowOff>
    </xdr:from>
    <xdr:to>
      <xdr:col>0</xdr:col>
      <xdr:colOff>321198</xdr:colOff>
      <xdr:row>237</xdr:row>
      <xdr:rowOff>170708</xdr:rowOff>
    </xdr:to>
    <xdr:pic>
      <xdr:nvPicPr>
        <xdr:cNvPr id="8" name="Picture 7">
          <a:extLst>
            <a:ext uri="{FF2B5EF4-FFF2-40B4-BE49-F238E27FC236}">
              <a16:creationId xmlns:a16="http://schemas.microsoft.com/office/drawing/2014/main" id="{8A757FD3-08D4-4AA0-BC3C-89F34C0684DD}"/>
            </a:ext>
          </a:extLst>
        </xdr:cNvPr>
        <xdr:cNvPicPr>
          <a:picLocks noChangeAspect="1"/>
        </xdr:cNvPicPr>
      </xdr:nvPicPr>
      <xdr:blipFill>
        <a:blip xmlns:r="http://schemas.openxmlformats.org/officeDocument/2006/relationships" r:embed="rId3"/>
        <a:stretch>
          <a:fillRect/>
        </a:stretch>
      </xdr:blipFill>
      <xdr:spPr>
        <a:xfrm>
          <a:off x="135890" y="48396525"/>
          <a:ext cx="185308" cy="218333"/>
        </a:xfrm>
        <a:prstGeom prst="rect">
          <a:avLst/>
        </a:prstGeom>
      </xdr:spPr>
    </xdr:pic>
    <xdr:clientData/>
  </xdr:twoCellAnchor>
  <xdr:twoCellAnchor editAs="oneCell">
    <xdr:from>
      <xdr:col>0</xdr:col>
      <xdr:colOff>139700</xdr:colOff>
      <xdr:row>349</xdr:row>
      <xdr:rowOff>127000</xdr:rowOff>
    </xdr:from>
    <xdr:to>
      <xdr:col>0</xdr:col>
      <xdr:colOff>321198</xdr:colOff>
      <xdr:row>350</xdr:row>
      <xdr:rowOff>114646</xdr:rowOff>
    </xdr:to>
    <xdr:pic>
      <xdr:nvPicPr>
        <xdr:cNvPr id="9" name="Picture 8">
          <a:extLst>
            <a:ext uri="{FF2B5EF4-FFF2-40B4-BE49-F238E27FC236}">
              <a16:creationId xmlns:a16="http://schemas.microsoft.com/office/drawing/2014/main" id="{EC8C1794-B6F9-4F12-9C5A-AAF2399B11F2}"/>
            </a:ext>
          </a:extLst>
        </xdr:cNvPr>
        <xdr:cNvPicPr>
          <a:picLocks noChangeAspect="1"/>
        </xdr:cNvPicPr>
      </xdr:nvPicPr>
      <xdr:blipFill>
        <a:blip xmlns:r="http://schemas.openxmlformats.org/officeDocument/2006/relationships" r:embed="rId3"/>
        <a:stretch>
          <a:fillRect/>
        </a:stretch>
      </xdr:blipFill>
      <xdr:spPr>
        <a:xfrm>
          <a:off x="135890" y="71073010"/>
          <a:ext cx="185308" cy="212436"/>
        </a:xfrm>
        <a:prstGeom prst="rect">
          <a:avLst/>
        </a:prstGeom>
      </xdr:spPr>
    </xdr:pic>
    <xdr:clientData/>
  </xdr:twoCellAnchor>
  <xdr:twoCellAnchor editAs="oneCell">
    <xdr:from>
      <xdr:col>28</xdr:col>
      <xdr:colOff>0</xdr:colOff>
      <xdr:row>349</xdr:row>
      <xdr:rowOff>0</xdr:rowOff>
    </xdr:from>
    <xdr:to>
      <xdr:col>28</xdr:col>
      <xdr:colOff>822143</xdr:colOff>
      <xdr:row>350</xdr:row>
      <xdr:rowOff>58771</xdr:rowOff>
    </xdr:to>
    <xdr:pic>
      <xdr:nvPicPr>
        <xdr:cNvPr id="10" name="Picture 9">
          <a:extLst>
            <a:ext uri="{FF2B5EF4-FFF2-40B4-BE49-F238E27FC236}">
              <a16:creationId xmlns:a16="http://schemas.microsoft.com/office/drawing/2014/main" id="{9FD38F78-84AA-4058-A00F-5CE6E72B269E}"/>
            </a:ext>
          </a:extLst>
        </xdr:cNvPr>
        <xdr:cNvPicPr>
          <a:picLocks noChangeAspect="1"/>
        </xdr:cNvPicPr>
      </xdr:nvPicPr>
      <xdr:blipFill>
        <a:blip xmlns:r="http://schemas.openxmlformats.org/officeDocument/2006/relationships" r:embed="rId4"/>
        <a:stretch>
          <a:fillRect/>
        </a:stretch>
      </xdr:blipFill>
      <xdr:spPr>
        <a:xfrm>
          <a:off x="27441525" y="70942200"/>
          <a:ext cx="822143" cy="287371"/>
        </a:xfrm>
        <a:prstGeom prst="rect">
          <a:avLst/>
        </a:prstGeom>
      </xdr:spPr>
    </xdr:pic>
    <xdr:clientData/>
  </xdr:twoCellAnchor>
  <xdr:twoCellAnchor editAs="oneCell">
    <xdr:from>
      <xdr:col>28</xdr:col>
      <xdr:colOff>63500</xdr:colOff>
      <xdr:row>236</xdr:row>
      <xdr:rowOff>88900</xdr:rowOff>
    </xdr:from>
    <xdr:to>
      <xdr:col>28</xdr:col>
      <xdr:colOff>896438</xdr:colOff>
      <xdr:row>237</xdr:row>
      <xdr:rowOff>173888</xdr:rowOff>
    </xdr:to>
    <xdr:pic>
      <xdr:nvPicPr>
        <xdr:cNvPr id="11" name="Picture 10">
          <a:extLst>
            <a:ext uri="{FF2B5EF4-FFF2-40B4-BE49-F238E27FC236}">
              <a16:creationId xmlns:a16="http://schemas.microsoft.com/office/drawing/2014/main" id="{6CEF9CAA-00E8-475B-9B02-EB12494B1AA1}"/>
            </a:ext>
          </a:extLst>
        </xdr:cNvPr>
        <xdr:cNvPicPr>
          <a:picLocks noChangeAspect="1"/>
        </xdr:cNvPicPr>
      </xdr:nvPicPr>
      <xdr:blipFill>
        <a:blip xmlns:r="http://schemas.openxmlformats.org/officeDocument/2006/relationships" r:embed="rId4"/>
        <a:stretch>
          <a:fillRect/>
        </a:stretch>
      </xdr:blipFill>
      <xdr:spPr>
        <a:xfrm>
          <a:off x="27501215" y="48336835"/>
          <a:ext cx="836748" cy="281203"/>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A178FEF8-16A8-4589-BF7A-E70617DCA10B}"/>
            </a:ext>
          </a:extLst>
        </xdr:cNvPr>
        <xdr:cNvPicPr>
          <a:picLocks noChangeAspect="1"/>
        </xdr:cNvPicPr>
      </xdr:nvPicPr>
      <xdr:blipFill>
        <a:blip xmlns:r="http://schemas.openxmlformats.org/officeDocument/2006/relationships" r:embed="rId4"/>
        <a:stretch>
          <a:fillRect/>
        </a:stretch>
      </xdr:blipFill>
      <xdr:spPr>
        <a:xfrm>
          <a:off x="27463115" y="27412950"/>
          <a:ext cx="836748" cy="293268"/>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01DE1892-0C16-4310-B4CB-0F2D36AA6F06}"/>
            </a:ext>
          </a:extLst>
        </xdr:cNvPr>
        <xdr:cNvPicPr>
          <a:picLocks noChangeAspect="1"/>
        </xdr:cNvPicPr>
      </xdr:nvPicPr>
      <xdr:blipFill>
        <a:blip xmlns:r="http://schemas.openxmlformats.org/officeDocument/2006/relationships" r:embed="rId4"/>
        <a:stretch>
          <a:fillRect/>
        </a:stretch>
      </xdr:blipFill>
      <xdr:spPr>
        <a:xfrm>
          <a:off x="27441525" y="10706100"/>
          <a:ext cx="822143" cy="2932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CA565BFE-1B81-4767-83AA-73663885D4F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41DB2B63-ADCE-41DF-9C03-B84CBCC015C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B7EDF37F-2B3C-4CFD-8135-4C6B0A5728E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6FDAA1E1-9095-4979-8BDD-478D6214B9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147848</xdr:rowOff>
    </xdr:to>
    <xdr:pic>
      <xdr:nvPicPr>
        <xdr:cNvPr id="6" name="Picture 5">
          <a:extLst>
            <a:ext uri="{FF2B5EF4-FFF2-40B4-BE49-F238E27FC236}">
              <a16:creationId xmlns:a16="http://schemas.microsoft.com/office/drawing/2014/main" id="{C7D77733-D67C-4BC6-BA44-5164CF6DE0AD}"/>
            </a:ext>
          </a:extLst>
        </xdr:cNvPr>
        <xdr:cNvPicPr>
          <a:picLocks noChangeAspect="1"/>
        </xdr:cNvPicPr>
      </xdr:nvPicPr>
      <xdr:blipFill>
        <a:blip xmlns:r="http://schemas.openxmlformats.org/officeDocument/2006/relationships" r:embed="rId3"/>
        <a:stretch>
          <a:fillRect/>
        </a:stretch>
      </xdr:blipFill>
      <xdr:spPr>
        <a:xfrm>
          <a:off x="135890" y="10820400"/>
          <a:ext cx="189118"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224048</xdr:rowOff>
    </xdr:to>
    <xdr:pic>
      <xdr:nvPicPr>
        <xdr:cNvPr id="7" name="Picture 6">
          <a:extLst>
            <a:ext uri="{FF2B5EF4-FFF2-40B4-BE49-F238E27FC236}">
              <a16:creationId xmlns:a16="http://schemas.microsoft.com/office/drawing/2014/main" id="{4DCD0F35-AC6C-48B6-9D48-C276DCEF591E}"/>
            </a:ext>
          </a:extLst>
        </xdr:cNvPr>
        <xdr:cNvPicPr>
          <a:picLocks noChangeAspect="1"/>
        </xdr:cNvPicPr>
      </xdr:nvPicPr>
      <xdr:blipFill>
        <a:blip xmlns:r="http://schemas.openxmlformats.org/officeDocument/2006/relationships" r:embed="rId3"/>
        <a:stretch>
          <a:fillRect/>
        </a:stretch>
      </xdr:blipFill>
      <xdr:spPr>
        <a:xfrm>
          <a:off x="168910" y="27510740"/>
          <a:ext cx="164988" cy="236748"/>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185948</xdr:rowOff>
    </xdr:to>
    <xdr:pic>
      <xdr:nvPicPr>
        <xdr:cNvPr id="8" name="Picture 7">
          <a:extLst>
            <a:ext uri="{FF2B5EF4-FFF2-40B4-BE49-F238E27FC236}">
              <a16:creationId xmlns:a16="http://schemas.microsoft.com/office/drawing/2014/main" id="{3A29E736-0B0B-4487-B5B0-CFB623712D38}"/>
            </a:ext>
          </a:extLst>
        </xdr:cNvPr>
        <xdr:cNvPicPr>
          <a:picLocks noChangeAspect="1"/>
        </xdr:cNvPicPr>
      </xdr:nvPicPr>
      <xdr:blipFill>
        <a:blip xmlns:r="http://schemas.openxmlformats.org/officeDocument/2006/relationships" r:embed="rId3"/>
        <a:stretch>
          <a:fillRect/>
        </a:stretch>
      </xdr:blipFill>
      <xdr:spPr>
        <a:xfrm>
          <a:off x="135890" y="48396525"/>
          <a:ext cx="189118" cy="22214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9C83EAA6-F244-4A4F-B428-4C0550EF65B6}"/>
            </a:ext>
          </a:extLst>
        </xdr:cNvPr>
        <xdr:cNvPicPr>
          <a:picLocks noChangeAspect="1"/>
        </xdr:cNvPicPr>
      </xdr:nvPicPr>
      <xdr:blipFill>
        <a:blip xmlns:r="http://schemas.openxmlformats.org/officeDocument/2006/relationships" r:embed="rId3"/>
        <a:stretch>
          <a:fillRect/>
        </a:stretch>
      </xdr:blipFill>
      <xdr:spPr>
        <a:xfrm>
          <a:off x="135890" y="71073010"/>
          <a:ext cx="189118" cy="212436"/>
        </a:xfrm>
        <a:prstGeom prst="rect">
          <a:avLst/>
        </a:prstGeom>
      </xdr:spPr>
    </xdr:pic>
    <xdr:clientData/>
  </xdr:twoCellAnchor>
  <xdr:twoCellAnchor editAs="oneCell">
    <xdr:from>
      <xdr:col>28</xdr:col>
      <xdr:colOff>0</xdr:colOff>
      <xdr:row>349</xdr:row>
      <xdr:rowOff>0</xdr:rowOff>
    </xdr:from>
    <xdr:to>
      <xdr:col>28</xdr:col>
      <xdr:colOff>833573</xdr:colOff>
      <xdr:row>350</xdr:row>
      <xdr:rowOff>72106</xdr:rowOff>
    </xdr:to>
    <xdr:pic>
      <xdr:nvPicPr>
        <xdr:cNvPr id="10" name="Picture 9">
          <a:extLst>
            <a:ext uri="{FF2B5EF4-FFF2-40B4-BE49-F238E27FC236}">
              <a16:creationId xmlns:a16="http://schemas.microsoft.com/office/drawing/2014/main" id="{1F412F39-36EE-4310-BF0B-83AC6C3794EC}"/>
            </a:ext>
          </a:extLst>
        </xdr:cNvPr>
        <xdr:cNvPicPr>
          <a:picLocks noChangeAspect="1"/>
        </xdr:cNvPicPr>
      </xdr:nvPicPr>
      <xdr:blipFill>
        <a:blip xmlns:r="http://schemas.openxmlformats.org/officeDocument/2006/relationships" r:embed="rId4"/>
        <a:stretch>
          <a:fillRect/>
        </a:stretch>
      </xdr:blipFill>
      <xdr:spPr>
        <a:xfrm>
          <a:off x="27441525" y="70942200"/>
          <a:ext cx="818333" cy="283561"/>
        </a:xfrm>
        <a:prstGeom prst="rect">
          <a:avLst/>
        </a:prstGeom>
      </xdr:spPr>
    </xdr:pic>
    <xdr:clientData/>
  </xdr:twoCellAnchor>
  <xdr:twoCellAnchor editAs="oneCell">
    <xdr:from>
      <xdr:col>28</xdr:col>
      <xdr:colOff>63500</xdr:colOff>
      <xdr:row>236</xdr:row>
      <xdr:rowOff>88900</xdr:rowOff>
    </xdr:from>
    <xdr:to>
      <xdr:col>28</xdr:col>
      <xdr:colOff>909773</xdr:colOff>
      <xdr:row>237</xdr:row>
      <xdr:rowOff>187223</xdr:rowOff>
    </xdr:to>
    <xdr:pic>
      <xdr:nvPicPr>
        <xdr:cNvPr id="11" name="Picture 10">
          <a:extLst>
            <a:ext uri="{FF2B5EF4-FFF2-40B4-BE49-F238E27FC236}">
              <a16:creationId xmlns:a16="http://schemas.microsoft.com/office/drawing/2014/main" id="{E146F990-2174-483E-B7E4-1E159B672827}"/>
            </a:ext>
          </a:extLst>
        </xdr:cNvPr>
        <xdr:cNvPicPr>
          <a:picLocks noChangeAspect="1"/>
        </xdr:cNvPicPr>
      </xdr:nvPicPr>
      <xdr:blipFill>
        <a:blip xmlns:r="http://schemas.openxmlformats.org/officeDocument/2006/relationships" r:embed="rId4"/>
        <a:stretch>
          <a:fillRect/>
        </a:stretch>
      </xdr:blipFill>
      <xdr:spPr>
        <a:xfrm>
          <a:off x="27501215" y="48336835"/>
          <a:ext cx="832938" cy="277393"/>
        </a:xfrm>
        <a:prstGeom prst="rect">
          <a:avLst/>
        </a:prstGeom>
      </xdr:spPr>
    </xdr:pic>
    <xdr:clientData/>
  </xdr:twoCellAnchor>
  <xdr:twoCellAnchor editAs="oneCell">
    <xdr:from>
      <xdr:col>28</xdr:col>
      <xdr:colOff>25400</xdr:colOff>
      <xdr:row>132</xdr:row>
      <xdr:rowOff>76200</xdr:rowOff>
    </xdr:from>
    <xdr:to>
      <xdr:col>28</xdr:col>
      <xdr:colOff>871673</xdr:colOff>
      <xdr:row>133</xdr:row>
      <xdr:rowOff>186588</xdr:rowOff>
    </xdr:to>
    <xdr:pic>
      <xdr:nvPicPr>
        <xdr:cNvPr id="12" name="Picture 11">
          <a:extLst>
            <a:ext uri="{FF2B5EF4-FFF2-40B4-BE49-F238E27FC236}">
              <a16:creationId xmlns:a16="http://schemas.microsoft.com/office/drawing/2014/main" id="{152D55FC-D751-4637-8F2A-BF52E0EED19C}"/>
            </a:ext>
          </a:extLst>
        </xdr:cNvPr>
        <xdr:cNvPicPr>
          <a:picLocks noChangeAspect="1"/>
        </xdr:cNvPicPr>
      </xdr:nvPicPr>
      <xdr:blipFill>
        <a:blip xmlns:r="http://schemas.openxmlformats.org/officeDocument/2006/relationships" r:embed="rId4"/>
        <a:stretch>
          <a:fillRect/>
        </a:stretch>
      </xdr:blipFill>
      <xdr:spPr>
        <a:xfrm>
          <a:off x="27463115" y="27412950"/>
          <a:ext cx="832938" cy="297078"/>
        </a:xfrm>
        <a:prstGeom prst="rect">
          <a:avLst/>
        </a:prstGeom>
      </xdr:spPr>
    </xdr:pic>
    <xdr:clientData/>
  </xdr:twoCellAnchor>
  <xdr:twoCellAnchor editAs="oneCell">
    <xdr:from>
      <xdr:col>28</xdr:col>
      <xdr:colOff>0</xdr:colOff>
      <xdr:row>52</xdr:row>
      <xdr:rowOff>0</xdr:rowOff>
    </xdr:from>
    <xdr:to>
      <xdr:col>28</xdr:col>
      <xdr:colOff>833573</xdr:colOff>
      <xdr:row>53</xdr:row>
      <xdr:rowOff>110388</xdr:rowOff>
    </xdr:to>
    <xdr:pic>
      <xdr:nvPicPr>
        <xdr:cNvPr id="13" name="Picture 12">
          <a:extLst>
            <a:ext uri="{FF2B5EF4-FFF2-40B4-BE49-F238E27FC236}">
              <a16:creationId xmlns:a16="http://schemas.microsoft.com/office/drawing/2014/main" id="{A43419E8-DEC0-4F1B-AC7A-049E0594AEF2}"/>
            </a:ext>
          </a:extLst>
        </xdr:cNvPr>
        <xdr:cNvPicPr>
          <a:picLocks noChangeAspect="1"/>
        </xdr:cNvPicPr>
      </xdr:nvPicPr>
      <xdr:blipFill>
        <a:blip xmlns:r="http://schemas.openxmlformats.org/officeDocument/2006/relationships" r:embed="rId4"/>
        <a:stretch>
          <a:fillRect/>
        </a:stretch>
      </xdr:blipFill>
      <xdr:spPr>
        <a:xfrm>
          <a:off x="27441525" y="10706100"/>
          <a:ext cx="818333" cy="297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79B2FD31-33F5-4FAA-BC9F-99BD4A62E92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64F3BF9-6F49-4670-9718-8BF26255FEB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B07BF21B-1929-46E0-829E-834B9405CF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C37DC502-2A1E-4368-9926-1CFFAD4EB75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136418</xdr:rowOff>
    </xdr:to>
    <xdr:pic>
      <xdr:nvPicPr>
        <xdr:cNvPr id="6" name="Picture 5">
          <a:extLst>
            <a:ext uri="{FF2B5EF4-FFF2-40B4-BE49-F238E27FC236}">
              <a16:creationId xmlns:a16="http://schemas.microsoft.com/office/drawing/2014/main" id="{C8D6EE8B-25F5-4DFD-BBC5-B450FB23FD2F}"/>
            </a:ext>
          </a:extLst>
        </xdr:cNvPr>
        <xdr:cNvPicPr>
          <a:picLocks noChangeAspect="1"/>
        </xdr:cNvPicPr>
      </xdr:nvPicPr>
      <xdr:blipFill>
        <a:blip xmlns:r="http://schemas.openxmlformats.org/officeDocument/2006/relationships" r:embed="rId3"/>
        <a:stretch>
          <a:fillRect/>
        </a:stretch>
      </xdr:blipFill>
      <xdr:spPr>
        <a:xfrm>
          <a:off x="135890" y="10820400"/>
          <a:ext cx="198371"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212618</xdr:rowOff>
    </xdr:to>
    <xdr:pic>
      <xdr:nvPicPr>
        <xdr:cNvPr id="7" name="Picture 6">
          <a:extLst>
            <a:ext uri="{FF2B5EF4-FFF2-40B4-BE49-F238E27FC236}">
              <a16:creationId xmlns:a16="http://schemas.microsoft.com/office/drawing/2014/main" id="{BB24CE76-90FD-481F-A47A-3E3107DE4921}"/>
            </a:ext>
          </a:extLst>
        </xdr:cNvPr>
        <xdr:cNvPicPr>
          <a:picLocks noChangeAspect="1"/>
        </xdr:cNvPicPr>
      </xdr:nvPicPr>
      <xdr:blipFill>
        <a:blip xmlns:r="http://schemas.openxmlformats.org/officeDocument/2006/relationships" r:embed="rId3"/>
        <a:stretch>
          <a:fillRect/>
        </a:stretch>
      </xdr:blipFill>
      <xdr:spPr>
        <a:xfrm>
          <a:off x="168910" y="27510740"/>
          <a:ext cx="164988" cy="248178"/>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174518</xdr:rowOff>
    </xdr:to>
    <xdr:pic>
      <xdr:nvPicPr>
        <xdr:cNvPr id="8" name="Picture 7">
          <a:extLst>
            <a:ext uri="{FF2B5EF4-FFF2-40B4-BE49-F238E27FC236}">
              <a16:creationId xmlns:a16="http://schemas.microsoft.com/office/drawing/2014/main" id="{15DC363E-9D82-4A81-B301-4391C6C61A38}"/>
            </a:ext>
          </a:extLst>
        </xdr:cNvPr>
        <xdr:cNvPicPr>
          <a:picLocks noChangeAspect="1"/>
        </xdr:cNvPicPr>
      </xdr:nvPicPr>
      <xdr:blipFill>
        <a:blip xmlns:r="http://schemas.openxmlformats.org/officeDocument/2006/relationships" r:embed="rId3"/>
        <a:stretch>
          <a:fillRect/>
        </a:stretch>
      </xdr:blipFill>
      <xdr:spPr>
        <a:xfrm>
          <a:off x="135890" y="48396525"/>
          <a:ext cx="198371" cy="231668"/>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668ABE83-2056-4D2E-A612-D9A59ED1F3CF}"/>
            </a:ext>
          </a:extLst>
        </xdr:cNvPr>
        <xdr:cNvPicPr>
          <a:picLocks noChangeAspect="1"/>
        </xdr:cNvPicPr>
      </xdr:nvPicPr>
      <xdr:blipFill>
        <a:blip xmlns:r="http://schemas.openxmlformats.org/officeDocument/2006/relationships" r:embed="rId3"/>
        <a:stretch>
          <a:fillRect/>
        </a:stretch>
      </xdr:blipFill>
      <xdr:spPr>
        <a:xfrm>
          <a:off x="135890" y="71073010"/>
          <a:ext cx="198371" cy="212436"/>
        </a:xfrm>
        <a:prstGeom prst="rect">
          <a:avLst/>
        </a:prstGeom>
      </xdr:spPr>
    </xdr:pic>
    <xdr:clientData/>
  </xdr:twoCellAnchor>
  <xdr:twoCellAnchor editAs="oneCell">
    <xdr:from>
      <xdr:col>28</xdr:col>
      <xdr:colOff>0</xdr:colOff>
      <xdr:row>349</xdr:row>
      <xdr:rowOff>0</xdr:rowOff>
    </xdr:from>
    <xdr:to>
      <xdr:col>28</xdr:col>
      <xdr:colOff>822143</xdr:colOff>
      <xdr:row>350</xdr:row>
      <xdr:rowOff>60676</xdr:rowOff>
    </xdr:to>
    <xdr:pic>
      <xdr:nvPicPr>
        <xdr:cNvPr id="10" name="Picture 9">
          <a:extLst>
            <a:ext uri="{FF2B5EF4-FFF2-40B4-BE49-F238E27FC236}">
              <a16:creationId xmlns:a16="http://schemas.microsoft.com/office/drawing/2014/main" id="{F5FE7C2A-D2C4-427C-BCA4-E0D654A1F0E8}"/>
            </a:ext>
          </a:extLst>
        </xdr:cNvPr>
        <xdr:cNvPicPr>
          <a:picLocks noChangeAspect="1"/>
        </xdr:cNvPicPr>
      </xdr:nvPicPr>
      <xdr:blipFill>
        <a:blip xmlns:r="http://schemas.openxmlformats.org/officeDocument/2006/relationships" r:embed="rId4"/>
        <a:stretch>
          <a:fillRect/>
        </a:stretch>
      </xdr:blipFill>
      <xdr:spPr>
        <a:xfrm>
          <a:off x="27441525" y="70942200"/>
          <a:ext cx="831668" cy="298801"/>
        </a:xfrm>
        <a:prstGeom prst="rect">
          <a:avLst/>
        </a:prstGeom>
      </xdr:spPr>
    </xdr:pic>
    <xdr:clientData/>
  </xdr:twoCellAnchor>
  <xdr:twoCellAnchor editAs="oneCell">
    <xdr:from>
      <xdr:col>28</xdr:col>
      <xdr:colOff>63500</xdr:colOff>
      <xdr:row>236</xdr:row>
      <xdr:rowOff>88900</xdr:rowOff>
    </xdr:from>
    <xdr:to>
      <xdr:col>28</xdr:col>
      <xdr:colOff>898343</xdr:colOff>
      <xdr:row>237</xdr:row>
      <xdr:rowOff>187223</xdr:rowOff>
    </xdr:to>
    <xdr:pic>
      <xdr:nvPicPr>
        <xdr:cNvPr id="11" name="Picture 10">
          <a:extLst>
            <a:ext uri="{FF2B5EF4-FFF2-40B4-BE49-F238E27FC236}">
              <a16:creationId xmlns:a16="http://schemas.microsoft.com/office/drawing/2014/main" id="{37BD94F6-DC33-4AE9-83BE-CF3F3235091B}"/>
            </a:ext>
          </a:extLst>
        </xdr:cNvPr>
        <xdr:cNvPicPr>
          <a:picLocks noChangeAspect="1"/>
        </xdr:cNvPicPr>
      </xdr:nvPicPr>
      <xdr:blipFill>
        <a:blip xmlns:r="http://schemas.openxmlformats.org/officeDocument/2006/relationships" r:embed="rId4"/>
        <a:stretch>
          <a:fillRect/>
        </a:stretch>
      </xdr:blipFill>
      <xdr:spPr>
        <a:xfrm>
          <a:off x="27501215" y="48336835"/>
          <a:ext cx="848178" cy="294538"/>
        </a:xfrm>
        <a:prstGeom prst="rect">
          <a:avLst/>
        </a:prstGeom>
      </xdr:spPr>
    </xdr:pic>
    <xdr:clientData/>
  </xdr:twoCellAnchor>
  <xdr:twoCellAnchor editAs="oneCell">
    <xdr:from>
      <xdr:col>28</xdr:col>
      <xdr:colOff>25400</xdr:colOff>
      <xdr:row>132</xdr:row>
      <xdr:rowOff>76200</xdr:rowOff>
    </xdr:from>
    <xdr:to>
      <xdr:col>28</xdr:col>
      <xdr:colOff>860243</xdr:colOff>
      <xdr:row>133</xdr:row>
      <xdr:rowOff>175158</xdr:rowOff>
    </xdr:to>
    <xdr:pic>
      <xdr:nvPicPr>
        <xdr:cNvPr id="12" name="Picture 11">
          <a:extLst>
            <a:ext uri="{FF2B5EF4-FFF2-40B4-BE49-F238E27FC236}">
              <a16:creationId xmlns:a16="http://schemas.microsoft.com/office/drawing/2014/main" id="{4ADB3465-1579-46BB-B301-4E70A84507AD}"/>
            </a:ext>
          </a:extLst>
        </xdr:cNvPr>
        <xdr:cNvPicPr>
          <a:picLocks noChangeAspect="1"/>
        </xdr:cNvPicPr>
      </xdr:nvPicPr>
      <xdr:blipFill>
        <a:blip xmlns:r="http://schemas.openxmlformats.org/officeDocument/2006/relationships" r:embed="rId4"/>
        <a:stretch>
          <a:fillRect/>
        </a:stretch>
      </xdr:blipFill>
      <xdr:spPr>
        <a:xfrm>
          <a:off x="27463115" y="27412950"/>
          <a:ext cx="848178" cy="308508"/>
        </a:xfrm>
        <a:prstGeom prst="rect">
          <a:avLst/>
        </a:prstGeom>
      </xdr:spPr>
    </xdr:pic>
    <xdr:clientData/>
  </xdr:twoCellAnchor>
  <xdr:twoCellAnchor editAs="oneCell">
    <xdr:from>
      <xdr:col>28</xdr:col>
      <xdr:colOff>0</xdr:colOff>
      <xdr:row>52</xdr:row>
      <xdr:rowOff>0</xdr:rowOff>
    </xdr:from>
    <xdr:to>
      <xdr:col>28</xdr:col>
      <xdr:colOff>822143</xdr:colOff>
      <xdr:row>53</xdr:row>
      <xdr:rowOff>98958</xdr:rowOff>
    </xdr:to>
    <xdr:pic>
      <xdr:nvPicPr>
        <xdr:cNvPr id="13" name="Picture 12">
          <a:extLst>
            <a:ext uri="{FF2B5EF4-FFF2-40B4-BE49-F238E27FC236}">
              <a16:creationId xmlns:a16="http://schemas.microsoft.com/office/drawing/2014/main" id="{BFF66BAF-7AC0-47A1-9271-B0B2D23B7511}"/>
            </a:ext>
          </a:extLst>
        </xdr:cNvPr>
        <xdr:cNvPicPr>
          <a:picLocks noChangeAspect="1"/>
        </xdr:cNvPicPr>
      </xdr:nvPicPr>
      <xdr:blipFill>
        <a:blip xmlns:r="http://schemas.openxmlformats.org/officeDocument/2006/relationships" r:embed="rId4"/>
        <a:stretch>
          <a:fillRect/>
        </a:stretch>
      </xdr:blipFill>
      <xdr:spPr>
        <a:xfrm>
          <a:off x="27441525" y="10706100"/>
          <a:ext cx="831668" cy="3085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423D2480-97B2-4758-B645-C7DEB404E5D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7113270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3669FD0-2C06-48AD-BF48-A3BE91F9570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4843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54111678-4355-4E0A-8769-14FC6E68FC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D96923D7-7C89-4752-90E5-0ADC97E86E7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136418</xdr:rowOff>
    </xdr:to>
    <xdr:pic>
      <xdr:nvPicPr>
        <xdr:cNvPr id="6" name="Picture 5">
          <a:extLst>
            <a:ext uri="{FF2B5EF4-FFF2-40B4-BE49-F238E27FC236}">
              <a16:creationId xmlns:a16="http://schemas.microsoft.com/office/drawing/2014/main" id="{16BCB663-41EE-4E4E-B3C6-0B78054AC5D1}"/>
            </a:ext>
          </a:extLst>
        </xdr:cNvPr>
        <xdr:cNvPicPr>
          <a:picLocks noChangeAspect="1"/>
        </xdr:cNvPicPr>
      </xdr:nvPicPr>
      <xdr:blipFill>
        <a:blip xmlns:r="http://schemas.openxmlformats.org/officeDocument/2006/relationships" r:embed="rId3"/>
        <a:stretch>
          <a:fillRect/>
        </a:stretch>
      </xdr:blipFill>
      <xdr:spPr>
        <a:xfrm>
          <a:off x="139700" y="10829925"/>
          <a:ext cx="204086"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212618</xdr:rowOff>
    </xdr:to>
    <xdr:pic>
      <xdr:nvPicPr>
        <xdr:cNvPr id="7" name="Picture 6">
          <a:extLst>
            <a:ext uri="{FF2B5EF4-FFF2-40B4-BE49-F238E27FC236}">
              <a16:creationId xmlns:a16="http://schemas.microsoft.com/office/drawing/2014/main" id="{35909FB4-01A0-43C1-835F-AE4BCAE724C7}"/>
            </a:ext>
          </a:extLst>
        </xdr:cNvPr>
        <xdr:cNvPicPr>
          <a:picLocks noChangeAspect="1"/>
        </xdr:cNvPicPr>
      </xdr:nvPicPr>
      <xdr:blipFill>
        <a:blip xmlns:r="http://schemas.openxmlformats.org/officeDocument/2006/relationships" r:embed="rId3"/>
        <a:stretch>
          <a:fillRect/>
        </a:stretch>
      </xdr:blipFill>
      <xdr:spPr>
        <a:xfrm>
          <a:off x="165100" y="27543125"/>
          <a:ext cx="178323" cy="234843"/>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174518</xdr:rowOff>
    </xdr:to>
    <xdr:pic>
      <xdr:nvPicPr>
        <xdr:cNvPr id="8" name="Picture 7">
          <a:extLst>
            <a:ext uri="{FF2B5EF4-FFF2-40B4-BE49-F238E27FC236}">
              <a16:creationId xmlns:a16="http://schemas.microsoft.com/office/drawing/2014/main" id="{41C51070-AD85-4F9A-9143-8E9FDDA33D9E}"/>
            </a:ext>
          </a:extLst>
        </xdr:cNvPr>
        <xdr:cNvPicPr>
          <a:picLocks noChangeAspect="1"/>
        </xdr:cNvPicPr>
      </xdr:nvPicPr>
      <xdr:blipFill>
        <a:blip xmlns:r="http://schemas.openxmlformats.org/officeDocument/2006/relationships" r:embed="rId3"/>
        <a:stretch>
          <a:fillRect/>
        </a:stretch>
      </xdr:blipFill>
      <xdr:spPr>
        <a:xfrm>
          <a:off x="139700" y="48434625"/>
          <a:ext cx="204086" cy="22214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22FA1DA0-6183-45F6-B1E8-D9525E1326B8}"/>
            </a:ext>
          </a:extLst>
        </xdr:cNvPr>
        <xdr:cNvPicPr>
          <a:picLocks noChangeAspect="1"/>
        </xdr:cNvPicPr>
      </xdr:nvPicPr>
      <xdr:blipFill>
        <a:blip xmlns:r="http://schemas.openxmlformats.org/officeDocument/2006/relationships" r:embed="rId3"/>
        <a:stretch>
          <a:fillRect/>
        </a:stretch>
      </xdr:blipFill>
      <xdr:spPr>
        <a:xfrm>
          <a:off x="139700" y="71135875"/>
          <a:ext cx="204086" cy="225771"/>
        </a:xfrm>
        <a:prstGeom prst="rect">
          <a:avLst/>
        </a:prstGeom>
      </xdr:spPr>
    </xdr:pic>
    <xdr:clientData/>
  </xdr:twoCellAnchor>
  <xdr:twoCellAnchor editAs="oneCell">
    <xdr:from>
      <xdr:col>28</xdr:col>
      <xdr:colOff>0</xdr:colOff>
      <xdr:row>349</xdr:row>
      <xdr:rowOff>0</xdr:rowOff>
    </xdr:from>
    <xdr:to>
      <xdr:col>28</xdr:col>
      <xdr:colOff>822143</xdr:colOff>
      <xdr:row>350</xdr:row>
      <xdr:rowOff>60676</xdr:rowOff>
    </xdr:to>
    <xdr:pic>
      <xdr:nvPicPr>
        <xdr:cNvPr id="10" name="Picture 9">
          <a:extLst>
            <a:ext uri="{FF2B5EF4-FFF2-40B4-BE49-F238E27FC236}">
              <a16:creationId xmlns:a16="http://schemas.microsoft.com/office/drawing/2014/main" id="{64B79709-CD0E-4FF0-AC2C-03BF72BA9EBE}"/>
            </a:ext>
          </a:extLst>
        </xdr:cNvPr>
        <xdr:cNvPicPr>
          <a:picLocks noChangeAspect="1"/>
        </xdr:cNvPicPr>
      </xdr:nvPicPr>
      <xdr:blipFill>
        <a:blip xmlns:r="http://schemas.openxmlformats.org/officeDocument/2006/relationships" r:embed="rId4"/>
        <a:stretch>
          <a:fillRect/>
        </a:stretch>
      </xdr:blipFill>
      <xdr:spPr>
        <a:xfrm>
          <a:off x="28098750" y="71008875"/>
          <a:ext cx="822143" cy="298801"/>
        </a:xfrm>
        <a:prstGeom prst="rect">
          <a:avLst/>
        </a:prstGeom>
      </xdr:spPr>
    </xdr:pic>
    <xdr:clientData/>
  </xdr:twoCellAnchor>
  <xdr:twoCellAnchor editAs="oneCell">
    <xdr:from>
      <xdr:col>28</xdr:col>
      <xdr:colOff>63500</xdr:colOff>
      <xdr:row>236</xdr:row>
      <xdr:rowOff>88900</xdr:rowOff>
    </xdr:from>
    <xdr:to>
      <xdr:col>28</xdr:col>
      <xdr:colOff>898343</xdr:colOff>
      <xdr:row>237</xdr:row>
      <xdr:rowOff>187223</xdr:rowOff>
    </xdr:to>
    <xdr:pic>
      <xdr:nvPicPr>
        <xdr:cNvPr id="11" name="Picture 10">
          <a:extLst>
            <a:ext uri="{FF2B5EF4-FFF2-40B4-BE49-F238E27FC236}">
              <a16:creationId xmlns:a16="http://schemas.microsoft.com/office/drawing/2014/main" id="{958F7C8F-6B55-4F9A-B022-34CF35847CA0}"/>
            </a:ext>
          </a:extLst>
        </xdr:cNvPr>
        <xdr:cNvPicPr>
          <a:picLocks noChangeAspect="1"/>
        </xdr:cNvPicPr>
      </xdr:nvPicPr>
      <xdr:blipFill>
        <a:blip xmlns:r="http://schemas.openxmlformats.org/officeDocument/2006/relationships" r:embed="rId4"/>
        <a:stretch>
          <a:fillRect/>
        </a:stretch>
      </xdr:blipFill>
      <xdr:spPr>
        <a:xfrm>
          <a:off x="28162250" y="48371125"/>
          <a:ext cx="834843" cy="298348"/>
        </a:xfrm>
        <a:prstGeom prst="rect">
          <a:avLst/>
        </a:prstGeom>
      </xdr:spPr>
    </xdr:pic>
    <xdr:clientData/>
  </xdr:twoCellAnchor>
  <xdr:twoCellAnchor editAs="oneCell">
    <xdr:from>
      <xdr:col>28</xdr:col>
      <xdr:colOff>25400</xdr:colOff>
      <xdr:row>132</xdr:row>
      <xdr:rowOff>76200</xdr:rowOff>
    </xdr:from>
    <xdr:to>
      <xdr:col>28</xdr:col>
      <xdr:colOff>860243</xdr:colOff>
      <xdr:row>133</xdr:row>
      <xdr:rowOff>175158</xdr:rowOff>
    </xdr:to>
    <xdr:pic>
      <xdr:nvPicPr>
        <xdr:cNvPr id="12" name="Picture 11">
          <a:extLst>
            <a:ext uri="{FF2B5EF4-FFF2-40B4-BE49-F238E27FC236}">
              <a16:creationId xmlns:a16="http://schemas.microsoft.com/office/drawing/2014/main" id="{3A86B2D5-1691-425E-96DF-7F1000F627E2}"/>
            </a:ext>
          </a:extLst>
        </xdr:cNvPr>
        <xdr:cNvPicPr>
          <a:picLocks noChangeAspect="1"/>
        </xdr:cNvPicPr>
      </xdr:nvPicPr>
      <xdr:blipFill>
        <a:blip xmlns:r="http://schemas.openxmlformats.org/officeDocument/2006/relationships" r:embed="rId4"/>
        <a:stretch>
          <a:fillRect/>
        </a:stretch>
      </xdr:blipFill>
      <xdr:spPr>
        <a:xfrm>
          <a:off x="28124150" y="27441525"/>
          <a:ext cx="834843" cy="298983"/>
        </a:xfrm>
        <a:prstGeom prst="rect">
          <a:avLst/>
        </a:prstGeom>
      </xdr:spPr>
    </xdr:pic>
    <xdr:clientData/>
  </xdr:twoCellAnchor>
  <xdr:twoCellAnchor editAs="oneCell">
    <xdr:from>
      <xdr:col>28</xdr:col>
      <xdr:colOff>0</xdr:colOff>
      <xdr:row>52</xdr:row>
      <xdr:rowOff>0</xdr:rowOff>
    </xdr:from>
    <xdr:to>
      <xdr:col>28</xdr:col>
      <xdr:colOff>822143</xdr:colOff>
      <xdr:row>53</xdr:row>
      <xdr:rowOff>98958</xdr:rowOff>
    </xdr:to>
    <xdr:pic>
      <xdr:nvPicPr>
        <xdr:cNvPr id="13" name="Picture 12">
          <a:extLst>
            <a:ext uri="{FF2B5EF4-FFF2-40B4-BE49-F238E27FC236}">
              <a16:creationId xmlns:a16="http://schemas.microsoft.com/office/drawing/2014/main" id="{C48AA78C-43FC-459B-8C7F-612FFB7FA382}"/>
            </a:ext>
          </a:extLst>
        </xdr:cNvPr>
        <xdr:cNvPicPr>
          <a:picLocks noChangeAspect="1"/>
        </xdr:cNvPicPr>
      </xdr:nvPicPr>
      <xdr:blipFill>
        <a:blip xmlns:r="http://schemas.openxmlformats.org/officeDocument/2006/relationships" r:embed="rId4"/>
        <a:stretch>
          <a:fillRect/>
        </a:stretch>
      </xdr:blipFill>
      <xdr:spPr>
        <a:xfrm>
          <a:off x="28098750" y="10715625"/>
          <a:ext cx="822143" cy="2989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482BEBB4-6A88-4172-B4C7-B7ED655605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2BE8E054-C5F2-4F49-8872-DC102FD9EB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F1A9551D-E682-47A8-805B-1CD3C4C7F9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AD16248D-BE22-420E-85A7-DBF7283E23B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140228</xdr:rowOff>
    </xdr:to>
    <xdr:pic>
      <xdr:nvPicPr>
        <xdr:cNvPr id="6" name="Picture 5">
          <a:extLst>
            <a:ext uri="{FF2B5EF4-FFF2-40B4-BE49-F238E27FC236}">
              <a16:creationId xmlns:a16="http://schemas.microsoft.com/office/drawing/2014/main" id="{BAE37A3D-7165-41C6-A439-570EA3868B02}"/>
            </a:ext>
          </a:extLst>
        </xdr:cNvPr>
        <xdr:cNvPicPr>
          <a:picLocks noChangeAspect="1"/>
        </xdr:cNvPicPr>
      </xdr:nvPicPr>
      <xdr:blipFill>
        <a:blip xmlns:r="http://schemas.openxmlformats.org/officeDocument/2006/relationships" r:embed="rId3"/>
        <a:stretch>
          <a:fillRect/>
        </a:stretch>
      </xdr:blipFill>
      <xdr:spPr>
        <a:xfrm>
          <a:off x="135890" y="10820400"/>
          <a:ext cx="198371" cy="21833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216428</xdr:rowOff>
    </xdr:to>
    <xdr:pic>
      <xdr:nvPicPr>
        <xdr:cNvPr id="7" name="Picture 6">
          <a:extLst>
            <a:ext uri="{FF2B5EF4-FFF2-40B4-BE49-F238E27FC236}">
              <a16:creationId xmlns:a16="http://schemas.microsoft.com/office/drawing/2014/main" id="{8F89ACF7-FE3F-4EC3-8191-BE5F59961484}"/>
            </a:ext>
          </a:extLst>
        </xdr:cNvPr>
        <xdr:cNvPicPr>
          <a:picLocks noChangeAspect="1"/>
        </xdr:cNvPicPr>
      </xdr:nvPicPr>
      <xdr:blipFill>
        <a:blip xmlns:r="http://schemas.openxmlformats.org/officeDocument/2006/relationships" r:embed="rId3"/>
        <a:stretch>
          <a:fillRect/>
        </a:stretch>
      </xdr:blipFill>
      <xdr:spPr>
        <a:xfrm>
          <a:off x="168910" y="27510740"/>
          <a:ext cx="164988" cy="234843"/>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178328</xdr:rowOff>
    </xdr:to>
    <xdr:pic>
      <xdr:nvPicPr>
        <xdr:cNvPr id="8" name="Picture 7">
          <a:extLst>
            <a:ext uri="{FF2B5EF4-FFF2-40B4-BE49-F238E27FC236}">
              <a16:creationId xmlns:a16="http://schemas.microsoft.com/office/drawing/2014/main" id="{571DEC18-44ED-4397-8A6B-93BE7FEE81F4}"/>
            </a:ext>
          </a:extLst>
        </xdr:cNvPr>
        <xdr:cNvPicPr>
          <a:picLocks noChangeAspect="1"/>
        </xdr:cNvPicPr>
      </xdr:nvPicPr>
      <xdr:blipFill>
        <a:blip xmlns:r="http://schemas.openxmlformats.org/officeDocument/2006/relationships" r:embed="rId3"/>
        <a:stretch>
          <a:fillRect/>
        </a:stretch>
      </xdr:blipFill>
      <xdr:spPr>
        <a:xfrm>
          <a:off x="135890" y="48396525"/>
          <a:ext cx="198371" cy="21833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11B03759-2FE2-4709-8558-C77170EA4B5D}"/>
            </a:ext>
          </a:extLst>
        </xdr:cNvPr>
        <xdr:cNvPicPr>
          <a:picLocks noChangeAspect="1"/>
        </xdr:cNvPicPr>
      </xdr:nvPicPr>
      <xdr:blipFill>
        <a:blip xmlns:r="http://schemas.openxmlformats.org/officeDocument/2006/relationships" r:embed="rId3"/>
        <a:stretch>
          <a:fillRect/>
        </a:stretch>
      </xdr:blipFill>
      <xdr:spPr>
        <a:xfrm>
          <a:off x="135890" y="71073010"/>
          <a:ext cx="198371" cy="212436"/>
        </a:xfrm>
        <a:prstGeom prst="rect">
          <a:avLst/>
        </a:prstGeom>
      </xdr:spPr>
    </xdr:pic>
    <xdr:clientData/>
  </xdr:twoCellAnchor>
  <xdr:twoCellAnchor editAs="oneCell">
    <xdr:from>
      <xdr:col>28</xdr:col>
      <xdr:colOff>0</xdr:colOff>
      <xdr:row>349</xdr:row>
      <xdr:rowOff>0</xdr:rowOff>
    </xdr:from>
    <xdr:to>
      <xdr:col>28</xdr:col>
      <xdr:colOff>825953</xdr:colOff>
      <xdr:row>350</xdr:row>
      <xdr:rowOff>58136</xdr:rowOff>
    </xdr:to>
    <xdr:pic>
      <xdr:nvPicPr>
        <xdr:cNvPr id="10" name="Picture 9">
          <a:extLst>
            <a:ext uri="{FF2B5EF4-FFF2-40B4-BE49-F238E27FC236}">
              <a16:creationId xmlns:a16="http://schemas.microsoft.com/office/drawing/2014/main" id="{3FFEBA3E-039A-4147-9D67-F3E53895E0F5}"/>
            </a:ext>
          </a:extLst>
        </xdr:cNvPr>
        <xdr:cNvPicPr>
          <a:picLocks noChangeAspect="1"/>
        </xdr:cNvPicPr>
      </xdr:nvPicPr>
      <xdr:blipFill>
        <a:blip xmlns:r="http://schemas.openxmlformats.org/officeDocument/2006/relationships" r:embed="rId4"/>
        <a:stretch>
          <a:fillRect/>
        </a:stretch>
      </xdr:blipFill>
      <xdr:spPr>
        <a:xfrm>
          <a:off x="27441525" y="70942200"/>
          <a:ext cx="818333" cy="285466"/>
        </a:xfrm>
        <a:prstGeom prst="rect">
          <a:avLst/>
        </a:prstGeom>
      </xdr:spPr>
    </xdr:pic>
    <xdr:clientData/>
  </xdr:twoCellAnchor>
  <xdr:twoCellAnchor editAs="oneCell">
    <xdr:from>
      <xdr:col>28</xdr:col>
      <xdr:colOff>63500</xdr:colOff>
      <xdr:row>236</xdr:row>
      <xdr:rowOff>88900</xdr:rowOff>
    </xdr:from>
    <xdr:to>
      <xdr:col>28</xdr:col>
      <xdr:colOff>902153</xdr:colOff>
      <xdr:row>237</xdr:row>
      <xdr:rowOff>185953</xdr:rowOff>
    </xdr:to>
    <xdr:pic>
      <xdr:nvPicPr>
        <xdr:cNvPr id="11" name="Picture 10">
          <a:extLst>
            <a:ext uri="{FF2B5EF4-FFF2-40B4-BE49-F238E27FC236}">
              <a16:creationId xmlns:a16="http://schemas.microsoft.com/office/drawing/2014/main" id="{9E40D66F-336C-4F9D-96E5-EBF7AB673D4F}"/>
            </a:ext>
          </a:extLst>
        </xdr:cNvPr>
        <xdr:cNvPicPr>
          <a:picLocks noChangeAspect="1"/>
        </xdr:cNvPicPr>
      </xdr:nvPicPr>
      <xdr:blipFill>
        <a:blip xmlns:r="http://schemas.openxmlformats.org/officeDocument/2006/relationships" r:embed="rId4"/>
        <a:stretch>
          <a:fillRect/>
        </a:stretch>
      </xdr:blipFill>
      <xdr:spPr>
        <a:xfrm>
          <a:off x="27501215" y="48336835"/>
          <a:ext cx="834843" cy="294538"/>
        </a:xfrm>
        <a:prstGeom prst="rect">
          <a:avLst/>
        </a:prstGeom>
      </xdr:spPr>
    </xdr:pic>
    <xdr:clientData/>
  </xdr:twoCellAnchor>
  <xdr:twoCellAnchor editAs="oneCell">
    <xdr:from>
      <xdr:col>28</xdr:col>
      <xdr:colOff>25400</xdr:colOff>
      <xdr:row>132</xdr:row>
      <xdr:rowOff>76200</xdr:rowOff>
    </xdr:from>
    <xdr:to>
      <xdr:col>28</xdr:col>
      <xdr:colOff>864053</xdr:colOff>
      <xdr:row>133</xdr:row>
      <xdr:rowOff>172618</xdr:rowOff>
    </xdr:to>
    <xdr:pic>
      <xdr:nvPicPr>
        <xdr:cNvPr id="12" name="Picture 11">
          <a:extLst>
            <a:ext uri="{FF2B5EF4-FFF2-40B4-BE49-F238E27FC236}">
              <a16:creationId xmlns:a16="http://schemas.microsoft.com/office/drawing/2014/main" id="{26775710-411C-4AAB-8741-40776149D031}"/>
            </a:ext>
          </a:extLst>
        </xdr:cNvPr>
        <xdr:cNvPicPr>
          <a:picLocks noChangeAspect="1"/>
        </xdr:cNvPicPr>
      </xdr:nvPicPr>
      <xdr:blipFill>
        <a:blip xmlns:r="http://schemas.openxmlformats.org/officeDocument/2006/relationships" r:embed="rId4"/>
        <a:stretch>
          <a:fillRect/>
        </a:stretch>
      </xdr:blipFill>
      <xdr:spPr>
        <a:xfrm>
          <a:off x="27463115" y="27412950"/>
          <a:ext cx="834843" cy="295173"/>
        </a:xfrm>
        <a:prstGeom prst="rect">
          <a:avLst/>
        </a:prstGeom>
      </xdr:spPr>
    </xdr:pic>
    <xdr:clientData/>
  </xdr:twoCellAnchor>
  <xdr:twoCellAnchor editAs="oneCell">
    <xdr:from>
      <xdr:col>28</xdr:col>
      <xdr:colOff>0</xdr:colOff>
      <xdr:row>52</xdr:row>
      <xdr:rowOff>0</xdr:rowOff>
    </xdr:from>
    <xdr:to>
      <xdr:col>28</xdr:col>
      <xdr:colOff>825953</xdr:colOff>
      <xdr:row>53</xdr:row>
      <xdr:rowOff>96418</xdr:rowOff>
    </xdr:to>
    <xdr:pic>
      <xdr:nvPicPr>
        <xdr:cNvPr id="13" name="Picture 12">
          <a:extLst>
            <a:ext uri="{FF2B5EF4-FFF2-40B4-BE49-F238E27FC236}">
              <a16:creationId xmlns:a16="http://schemas.microsoft.com/office/drawing/2014/main" id="{E023D5D2-6717-4F86-BF78-7D6A6A803CAD}"/>
            </a:ext>
          </a:extLst>
        </xdr:cNvPr>
        <xdr:cNvPicPr>
          <a:picLocks noChangeAspect="1"/>
        </xdr:cNvPicPr>
      </xdr:nvPicPr>
      <xdr:blipFill>
        <a:blip xmlns:r="http://schemas.openxmlformats.org/officeDocument/2006/relationships" r:embed="rId4"/>
        <a:stretch>
          <a:fillRect/>
        </a:stretch>
      </xdr:blipFill>
      <xdr:spPr>
        <a:xfrm>
          <a:off x="27441525" y="10706100"/>
          <a:ext cx="818333" cy="295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338</xdr:row>
      <xdr:rowOff>123825</xdr:rowOff>
    </xdr:from>
    <xdr:to>
      <xdr:col>28</xdr:col>
      <xdr:colOff>1895475</xdr:colOff>
      <xdr:row>339</xdr:row>
      <xdr:rowOff>152400</xdr:rowOff>
    </xdr:to>
    <xdr:pic>
      <xdr:nvPicPr>
        <xdr:cNvPr id="2" name="Picture 1" descr="C:\WINDOWS\TEMP\~0003946.gif">
          <a:extLst>
            <a:ext uri="{FF2B5EF4-FFF2-40B4-BE49-F238E27FC236}">
              <a16:creationId xmlns:a16="http://schemas.microsoft.com/office/drawing/2014/main" id="{81E5A735-3C48-4D3A-B892-3BA96F5B6DA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69132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9385881-001F-418B-B4DF-92558FD1BE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843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664DB0F1-4388-438B-BB90-EF3B27726A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792C064-E247-432A-8CAF-1FD0859BE2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107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310403</xdr:colOff>
      <xdr:row>53</xdr:row>
      <xdr:rowOff>142768</xdr:rowOff>
    </xdr:to>
    <xdr:pic>
      <xdr:nvPicPr>
        <xdr:cNvPr id="6" name="Picture 5">
          <a:extLst>
            <a:ext uri="{FF2B5EF4-FFF2-40B4-BE49-F238E27FC236}">
              <a16:creationId xmlns:a16="http://schemas.microsoft.com/office/drawing/2014/main" id="{EAD1A94A-30C3-4B5F-BF49-3F46175B90AF}"/>
            </a:ext>
          </a:extLst>
        </xdr:cNvPr>
        <xdr:cNvPicPr>
          <a:picLocks noChangeAspect="1"/>
        </xdr:cNvPicPr>
      </xdr:nvPicPr>
      <xdr:blipFill>
        <a:blip xmlns:r="http://schemas.openxmlformats.org/officeDocument/2006/relationships" r:embed="rId3"/>
        <a:stretch>
          <a:fillRect/>
        </a:stretch>
      </xdr:blipFill>
      <xdr:spPr>
        <a:xfrm>
          <a:off x="139700" y="11029950"/>
          <a:ext cx="170703" cy="22849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206268</xdr:rowOff>
    </xdr:to>
    <xdr:pic>
      <xdr:nvPicPr>
        <xdr:cNvPr id="7" name="Picture 6">
          <a:extLst>
            <a:ext uri="{FF2B5EF4-FFF2-40B4-BE49-F238E27FC236}">
              <a16:creationId xmlns:a16="http://schemas.microsoft.com/office/drawing/2014/main" id="{F440F335-7FF9-4E5E-8E41-AC1CB4EBD1A8}"/>
            </a:ext>
          </a:extLst>
        </xdr:cNvPr>
        <xdr:cNvPicPr>
          <a:picLocks noChangeAspect="1"/>
        </xdr:cNvPicPr>
      </xdr:nvPicPr>
      <xdr:blipFill>
        <a:blip xmlns:r="http://schemas.openxmlformats.org/officeDocument/2006/relationships" r:embed="rId3"/>
        <a:stretch>
          <a:fillRect/>
        </a:stretch>
      </xdr:blipFill>
      <xdr:spPr>
        <a:xfrm>
          <a:off x="165100" y="27743150"/>
          <a:ext cx="178323" cy="228493"/>
        </a:xfrm>
        <a:prstGeom prst="rect">
          <a:avLst/>
        </a:prstGeom>
      </xdr:spPr>
    </xdr:pic>
    <xdr:clientData/>
  </xdr:twoCellAnchor>
  <xdr:twoCellAnchor editAs="oneCell">
    <xdr:from>
      <xdr:col>0</xdr:col>
      <xdr:colOff>139700</xdr:colOff>
      <xdr:row>235</xdr:row>
      <xdr:rowOff>152400</xdr:rowOff>
    </xdr:from>
    <xdr:to>
      <xdr:col>0</xdr:col>
      <xdr:colOff>310403</xdr:colOff>
      <xdr:row>236</xdr:row>
      <xdr:rowOff>180868</xdr:rowOff>
    </xdr:to>
    <xdr:pic>
      <xdr:nvPicPr>
        <xdr:cNvPr id="8" name="Picture 7">
          <a:extLst>
            <a:ext uri="{FF2B5EF4-FFF2-40B4-BE49-F238E27FC236}">
              <a16:creationId xmlns:a16="http://schemas.microsoft.com/office/drawing/2014/main" id="{27451789-A63F-445D-B5B1-EF843F843398}"/>
            </a:ext>
          </a:extLst>
        </xdr:cNvPr>
        <xdr:cNvPicPr>
          <a:picLocks noChangeAspect="1"/>
        </xdr:cNvPicPr>
      </xdr:nvPicPr>
      <xdr:blipFill>
        <a:blip xmlns:r="http://schemas.openxmlformats.org/officeDocument/2006/relationships" r:embed="rId3"/>
        <a:stretch>
          <a:fillRect/>
        </a:stretch>
      </xdr:blipFill>
      <xdr:spPr>
        <a:xfrm>
          <a:off x="139700" y="48434625"/>
          <a:ext cx="170703" cy="228493"/>
        </a:xfrm>
        <a:prstGeom prst="rect">
          <a:avLst/>
        </a:prstGeom>
      </xdr:spPr>
    </xdr:pic>
    <xdr:clientData/>
  </xdr:twoCellAnchor>
  <xdr:twoCellAnchor editAs="oneCell">
    <xdr:from>
      <xdr:col>0</xdr:col>
      <xdr:colOff>139700</xdr:colOff>
      <xdr:row>338</xdr:row>
      <xdr:rowOff>127000</xdr:rowOff>
    </xdr:from>
    <xdr:to>
      <xdr:col>0</xdr:col>
      <xdr:colOff>310403</xdr:colOff>
      <xdr:row>339</xdr:row>
      <xdr:rowOff>155468</xdr:rowOff>
    </xdr:to>
    <xdr:pic>
      <xdr:nvPicPr>
        <xdr:cNvPr id="9" name="Picture 8">
          <a:extLst>
            <a:ext uri="{FF2B5EF4-FFF2-40B4-BE49-F238E27FC236}">
              <a16:creationId xmlns:a16="http://schemas.microsoft.com/office/drawing/2014/main" id="{C170933A-055F-49F4-891D-E2D233EFB357}"/>
            </a:ext>
          </a:extLst>
        </xdr:cNvPr>
        <xdr:cNvPicPr>
          <a:picLocks noChangeAspect="1"/>
        </xdr:cNvPicPr>
      </xdr:nvPicPr>
      <xdr:blipFill>
        <a:blip xmlns:r="http://schemas.openxmlformats.org/officeDocument/2006/relationships" r:embed="rId3"/>
        <a:stretch>
          <a:fillRect/>
        </a:stretch>
      </xdr:blipFill>
      <xdr:spPr>
        <a:xfrm>
          <a:off x="139700" y="69135625"/>
          <a:ext cx="170703" cy="228493"/>
        </a:xfrm>
        <a:prstGeom prst="rect">
          <a:avLst/>
        </a:prstGeom>
      </xdr:spPr>
    </xdr:pic>
    <xdr:clientData/>
  </xdr:twoCellAnchor>
  <xdr:twoCellAnchor editAs="oneCell">
    <xdr:from>
      <xdr:col>28</xdr:col>
      <xdr:colOff>0</xdr:colOff>
      <xdr:row>338</xdr:row>
      <xdr:rowOff>0</xdr:rowOff>
    </xdr:from>
    <xdr:to>
      <xdr:col>28</xdr:col>
      <xdr:colOff>829128</xdr:colOff>
      <xdr:row>339</xdr:row>
      <xdr:rowOff>89433</xdr:rowOff>
    </xdr:to>
    <xdr:pic>
      <xdr:nvPicPr>
        <xdr:cNvPr id="10" name="Picture 9">
          <a:extLst>
            <a:ext uri="{FF2B5EF4-FFF2-40B4-BE49-F238E27FC236}">
              <a16:creationId xmlns:a16="http://schemas.microsoft.com/office/drawing/2014/main" id="{277CBDFB-6FF0-4631-80F7-BB83D9BD5DDD}"/>
            </a:ext>
          </a:extLst>
        </xdr:cNvPr>
        <xdr:cNvPicPr>
          <a:picLocks noChangeAspect="1"/>
        </xdr:cNvPicPr>
      </xdr:nvPicPr>
      <xdr:blipFill>
        <a:blip xmlns:r="http://schemas.openxmlformats.org/officeDocument/2006/relationships" r:embed="rId4"/>
        <a:stretch>
          <a:fillRect/>
        </a:stretch>
      </xdr:blipFill>
      <xdr:spPr>
        <a:xfrm>
          <a:off x="28213050" y="69008625"/>
          <a:ext cx="829128" cy="289458"/>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98634ADB-B9FB-49B7-8775-56CB6B7F16BC}"/>
            </a:ext>
          </a:extLst>
        </xdr:cNvPr>
        <xdr:cNvPicPr>
          <a:picLocks noChangeAspect="1"/>
        </xdr:cNvPicPr>
      </xdr:nvPicPr>
      <xdr:blipFill>
        <a:blip xmlns:r="http://schemas.openxmlformats.org/officeDocument/2006/relationships" r:embed="rId4"/>
        <a:stretch>
          <a:fillRect/>
        </a:stretch>
      </xdr:blipFill>
      <xdr:spPr>
        <a:xfrm>
          <a:off x="28276550" y="48371125"/>
          <a:ext cx="829128" cy="28945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165633</xdr:rowOff>
    </xdr:to>
    <xdr:pic>
      <xdr:nvPicPr>
        <xdr:cNvPr id="12" name="Picture 11">
          <a:extLst>
            <a:ext uri="{FF2B5EF4-FFF2-40B4-BE49-F238E27FC236}">
              <a16:creationId xmlns:a16="http://schemas.microsoft.com/office/drawing/2014/main" id="{4BA94DEC-31BA-4947-A64F-F3A68BA9F007}"/>
            </a:ext>
          </a:extLst>
        </xdr:cNvPr>
        <xdr:cNvPicPr>
          <a:picLocks noChangeAspect="1"/>
        </xdr:cNvPicPr>
      </xdr:nvPicPr>
      <xdr:blipFill>
        <a:blip xmlns:r="http://schemas.openxmlformats.org/officeDocument/2006/relationships" r:embed="rId4"/>
        <a:stretch>
          <a:fillRect/>
        </a:stretch>
      </xdr:blipFill>
      <xdr:spPr>
        <a:xfrm>
          <a:off x="28238450" y="27641550"/>
          <a:ext cx="829128" cy="289458"/>
        </a:xfrm>
        <a:prstGeom prst="rect">
          <a:avLst/>
        </a:prstGeom>
      </xdr:spPr>
    </xdr:pic>
    <xdr:clientData/>
  </xdr:twoCellAnchor>
  <xdr:twoCellAnchor editAs="oneCell">
    <xdr:from>
      <xdr:col>28</xdr:col>
      <xdr:colOff>0</xdr:colOff>
      <xdr:row>52</xdr:row>
      <xdr:rowOff>0</xdr:rowOff>
    </xdr:from>
    <xdr:to>
      <xdr:col>28</xdr:col>
      <xdr:colOff>829128</xdr:colOff>
      <xdr:row>53</xdr:row>
      <xdr:rowOff>89433</xdr:rowOff>
    </xdr:to>
    <xdr:pic>
      <xdr:nvPicPr>
        <xdr:cNvPr id="13" name="Picture 12">
          <a:extLst>
            <a:ext uri="{FF2B5EF4-FFF2-40B4-BE49-F238E27FC236}">
              <a16:creationId xmlns:a16="http://schemas.microsoft.com/office/drawing/2014/main" id="{D4A177B6-219A-4228-809C-F4C8C9664ACD}"/>
            </a:ext>
          </a:extLst>
        </xdr:cNvPr>
        <xdr:cNvPicPr>
          <a:picLocks noChangeAspect="1"/>
        </xdr:cNvPicPr>
      </xdr:nvPicPr>
      <xdr:blipFill>
        <a:blip xmlns:r="http://schemas.openxmlformats.org/officeDocument/2006/relationships" r:embed="rId4"/>
        <a:stretch>
          <a:fillRect/>
        </a:stretch>
      </xdr:blipFill>
      <xdr:spPr>
        <a:xfrm>
          <a:off x="28213050" y="10915650"/>
          <a:ext cx="829128" cy="28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363</xdr:row>
      <xdr:rowOff>123825</xdr:rowOff>
    </xdr:from>
    <xdr:to>
      <xdr:col>28</xdr:col>
      <xdr:colOff>1895475</xdr:colOff>
      <xdr:row>365</xdr:row>
      <xdr:rowOff>152400</xdr:rowOff>
    </xdr:to>
    <xdr:pic>
      <xdr:nvPicPr>
        <xdr:cNvPr id="2" name="Picture 1" descr="C:\WINDOWS\TEMP\~0003946.gif">
          <a:extLst>
            <a:ext uri="{FF2B5EF4-FFF2-40B4-BE49-F238E27FC236}">
              <a16:creationId xmlns:a16="http://schemas.microsoft.com/office/drawing/2014/main" id="{8E7D1300-972B-4CFE-A583-D85DBAF3D7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690149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7EB9FD11-BC2B-48E7-83E7-46414F5CD68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57E43D94-F014-428F-96BD-0A83D78CD5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8AC74AC-3015-4CFC-835D-B4357517DE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316753</xdr:colOff>
      <xdr:row>53</xdr:row>
      <xdr:rowOff>142768</xdr:rowOff>
    </xdr:to>
    <xdr:pic>
      <xdr:nvPicPr>
        <xdr:cNvPr id="6" name="Picture 5">
          <a:extLst>
            <a:ext uri="{FF2B5EF4-FFF2-40B4-BE49-F238E27FC236}">
              <a16:creationId xmlns:a16="http://schemas.microsoft.com/office/drawing/2014/main" id="{BC7DFA64-A54E-4A67-8200-3BBDD6364596}"/>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199918</xdr:rowOff>
    </xdr:to>
    <xdr:pic>
      <xdr:nvPicPr>
        <xdr:cNvPr id="7" name="Picture 6">
          <a:extLst>
            <a:ext uri="{FF2B5EF4-FFF2-40B4-BE49-F238E27FC236}">
              <a16:creationId xmlns:a16="http://schemas.microsoft.com/office/drawing/2014/main" id="{12FE25D5-C8A5-464B-A40C-7C8ED43E8535}"/>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235</xdr:row>
      <xdr:rowOff>152400</xdr:rowOff>
    </xdr:from>
    <xdr:to>
      <xdr:col>0</xdr:col>
      <xdr:colOff>316753</xdr:colOff>
      <xdr:row>236</xdr:row>
      <xdr:rowOff>180868</xdr:rowOff>
    </xdr:to>
    <xdr:pic>
      <xdr:nvPicPr>
        <xdr:cNvPr id="8" name="Picture 7">
          <a:extLst>
            <a:ext uri="{FF2B5EF4-FFF2-40B4-BE49-F238E27FC236}">
              <a16:creationId xmlns:a16="http://schemas.microsoft.com/office/drawing/2014/main" id="{28166A8E-FD91-4A65-AA72-A5F483FF61DD}"/>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363</xdr:row>
      <xdr:rowOff>127000</xdr:rowOff>
    </xdr:from>
    <xdr:to>
      <xdr:col>0</xdr:col>
      <xdr:colOff>316753</xdr:colOff>
      <xdr:row>364</xdr:row>
      <xdr:rowOff>114647</xdr:rowOff>
    </xdr:to>
    <xdr:pic>
      <xdr:nvPicPr>
        <xdr:cNvPr id="9" name="Picture 8">
          <a:extLst>
            <a:ext uri="{FF2B5EF4-FFF2-40B4-BE49-F238E27FC236}">
              <a16:creationId xmlns:a16="http://schemas.microsoft.com/office/drawing/2014/main" id="{3E7C8145-79D5-410C-AD03-FEA09AFF9D14}"/>
            </a:ext>
          </a:extLst>
        </xdr:cNvPr>
        <xdr:cNvPicPr>
          <a:picLocks noChangeAspect="1"/>
        </xdr:cNvPicPr>
      </xdr:nvPicPr>
      <xdr:blipFill>
        <a:blip xmlns:r="http://schemas.openxmlformats.org/officeDocument/2006/relationships" r:embed="rId3"/>
        <a:stretch>
          <a:fillRect/>
        </a:stretch>
      </xdr:blipFill>
      <xdr:spPr>
        <a:xfrm>
          <a:off x="142875" y="69018150"/>
          <a:ext cx="170703" cy="231668"/>
        </a:xfrm>
        <a:prstGeom prst="rect">
          <a:avLst/>
        </a:prstGeom>
      </xdr:spPr>
    </xdr:pic>
    <xdr:clientData/>
  </xdr:twoCellAnchor>
  <xdr:twoCellAnchor editAs="oneCell">
    <xdr:from>
      <xdr:col>28</xdr:col>
      <xdr:colOff>0</xdr:colOff>
      <xdr:row>363</xdr:row>
      <xdr:rowOff>0</xdr:rowOff>
    </xdr:from>
    <xdr:to>
      <xdr:col>28</xdr:col>
      <xdr:colOff>829128</xdr:colOff>
      <xdr:row>364</xdr:row>
      <xdr:rowOff>48612</xdr:rowOff>
    </xdr:to>
    <xdr:pic>
      <xdr:nvPicPr>
        <xdr:cNvPr id="10" name="Picture 9">
          <a:extLst>
            <a:ext uri="{FF2B5EF4-FFF2-40B4-BE49-F238E27FC236}">
              <a16:creationId xmlns:a16="http://schemas.microsoft.com/office/drawing/2014/main" id="{EDE39628-55C7-4D69-98BE-FF76A491817C}"/>
            </a:ext>
          </a:extLst>
        </xdr:cNvPr>
        <xdr:cNvPicPr>
          <a:picLocks noChangeAspect="1"/>
        </xdr:cNvPicPr>
      </xdr:nvPicPr>
      <xdr:blipFill>
        <a:blip xmlns:r="http://schemas.openxmlformats.org/officeDocument/2006/relationships" r:embed="rId4"/>
        <a:stretch>
          <a:fillRect/>
        </a:stretch>
      </xdr:blipFill>
      <xdr:spPr>
        <a:xfrm>
          <a:off x="27184350" y="68894325"/>
          <a:ext cx="825953" cy="286283"/>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FC9F808B-5C76-44FD-BFAA-5C971B0672C1}"/>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159283</xdr:rowOff>
    </xdr:to>
    <xdr:pic>
      <xdr:nvPicPr>
        <xdr:cNvPr id="12" name="Picture 11">
          <a:extLst>
            <a:ext uri="{FF2B5EF4-FFF2-40B4-BE49-F238E27FC236}">
              <a16:creationId xmlns:a16="http://schemas.microsoft.com/office/drawing/2014/main" id="{E913A5E2-B4CC-4AAA-B4EF-0703143B62C0}"/>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52</xdr:row>
      <xdr:rowOff>0</xdr:rowOff>
    </xdr:from>
    <xdr:to>
      <xdr:col>28</xdr:col>
      <xdr:colOff>829128</xdr:colOff>
      <xdr:row>53</xdr:row>
      <xdr:rowOff>83083</xdr:rowOff>
    </xdr:to>
    <xdr:pic>
      <xdr:nvPicPr>
        <xdr:cNvPr id="13" name="Picture 12">
          <a:extLst>
            <a:ext uri="{FF2B5EF4-FFF2-40B4-BE49-F238E27FC236}">
              <a16:creationId xmlns:a16="http://schemas.microsoft.com/office/drawing/2014/main" id="{FEAD4692-EE15-4715-9B3E-F750EACEA2AA}"/>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D5AD161F-67C3-442A-B237-44B8B332CA5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40156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54AB4197-9B70-4863-9BA6-1F906E9D1F8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D1A320FA-4B75-4510-920C-3194992CFF9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37EAB8B9-22C6-4982-ADAD-497C44C556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CEB923DA-4097-4E45-94D7-0147C775B8BC}"/>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FD684B10-F7DE-41E0-B3DD-4CCFE6BC1B21}"/>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1AEC8718-70D0-4F06-A3EA-A83FC22988FB}"/>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B5B1CC6D-8C26-4E98-8ED6-08843994F826}"/>
            </a:ext>
          </a:extLst>
        </xdr:cNvPr>
        <xdr:cNvPicPr>
          <a:picLocks noChangeAspect="1"/>
        </xdr:cNvPicPr>
      </xdr:nvPicPr>
      <xdr:blipFill>
        <a:blip xmlns:r="http://schemas.openxmlformats.org/officeDocument/2006/relationships" r:embed="rId3"/>
        <a:stretch>
          <a:fillRect/>
        </a:stretch>
      </xdr:blipFill>
      <xdr:spPr>
        <a:xfrm>
          <a:off x="142875" y="74018775"/>
          <a:ext cx="17070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412B4D23-EB03-47FB-B986-8C6795527428}"/>
            </a:ext>
          </a:extLst>
        </xdr:cNvPr>
        <xdr:cNvPicPr>
          <a:picLocks noChangeAspect="1"/>
        </xdr:cNvPicPr>
      </xdr:nvPicPr>
      <xdr:blipFill>
        <a:blip xmlns:r="http://schemas.openxmlformats.org/officeDocument/2006/relationships" r:embed="rId4"/>
        <a:stretch>
          <a:fillRect/>
        </a:stretch>
      </xdr:blipFill>
      <xdr:spPr>
        <a:xfrm>
          <a:off x="27184350" y="73894950"/>
          <a:ext cx="825953" cy="283562"/>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94B28EE4-1A5F-4CB0-BB8B-469B0FA3E8CF}"/>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168173</xdr:rowOff>
    </xdr:to>
    <xdr:pic>
      <xdr:nvPicPr>
        <xdr:cNvPr id="12" name="Picture 11">
          <a:extLst>
            <a:ext uri="{FF2B5EF4-FFF2-40B4-BE49-F238E27FC236}">
              <a16:creationId xmlns:a16="http://schemas.microsoft.com/office/drawing/2014/main" id="{253B0F5F-DC70-4D60-9482-40E4B8D034EE}"/>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52</xdr:row>
      <xdr:rowOff>0</xdr:rowOff>
    </xdr:from>
    <xdr:to>
      <xdr:col>28</xdr:col>
      <xdr:colOff>818333</xdr:colOff>
      <xdr:row>53</xdr:row>
      <xdr:rowOff>91973</xdr:rowOff>
    </xdr:to>
    <xdr:pic>
      <xdr:nvPicPr>
        <xdr:cNvPr id="13" name="Picture 12">
          <a:extLst>
            <a:ext uri="{FF2B5EF4-FFF2-40B4-BE49-F238E27FC236}">
              <a16:creationId xmlns:a16="http://schemas.microsoft.com/office/drawing/2014/main" id="{531D015C-6BAF-45CD-BD10-250863FA1698}"/>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7FB339D3-92D0-489F-B2D9-DA9D23765EC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E22388E-3EBE-49C0-AB28-980CB042726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EBB1B8D0-AB73-4B2E-901B-364E3F2F72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3B32FFB3-48D3-4FFC-BFF7-821D77B54C3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2E811B23-9AD8-4DFB-B679-B43E20FEADE1}"/>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71E2612A-B51D-4097-A98C-2DE7C8740605}"/>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B72B5F1F-6356-46C9-9CE6-D87F47866B02}"/>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2A3E2A68-B011-477E-A5FD-41DC19EB1852}"/>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6888DB71-A6D3-4CC6-B9CB-1C0E7B2EFCC2}"/>
            </a:ext>
          </a:extLst>
        </xdr:cNvPr>
        <xdr:cNvPicPr>
          <a:picLocks noChangeAspect="1"/>
        </xdr:cNvPicPr>
      </xdr:nvPicPr>
      <xdr:blipFill>
        <a:blip xmlns:r="http://schemas.openxmlformats.org/officeDocument/2006/relationships" r:embed="rId4"/>
        <a:stretch>
          <a:fillRect/>
        </a:stretch>
      </xdr:blipFill>
      <xdr:spPr>
        <a:xfrm>
          <a:off x="271843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B5F4E2D4-2F70-4C0F-A43B-F4716B2A8440}"/>
            </a:ext>
          </a:extLst>
        </xdr:cNvPr>
        <xdr:cNvPicPr>
          <a:picLocks noChangeAspect="1"/>
        </xdr:cNvPicPr>
      </xdr:nvPicPr>
      <xdr:blipFill>
        <a:blip xmlns:r="http://schemas.openxmlformats.org/officeDocument/2006/relationships" r:embed="rId4"/>
        <a:stretch>
          <a:fillRect/>
        </a:stretch>
      </xdr:blipFill>
      <xdr:spPr>
        <a:xfrm>
          <a:off x="272510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723F4B17-4D97-4E9F-A10C-41F5526881F7}"/>
            </a:ext>
          </a:extLst>
        </xdr:cNvPr>
        <xdr:cNvPicPr>
          <a:picLocks noChangeAspect="1"/>
        </xdr:cNvPicPr>
      </xdr:nvPicPr>
      <xdr:blipFill>
        <a:blip xmlns:r="http://schemas.openxmlformats.org/officeDocument/2006/relationships" r:embed="rId4"/>
        <a:stretch>
          <a:fillRect/>
        </a:stretch>
      </xdr:blipFill>
      <xdr:spPr>
        <a:xfrm>
          <a:off x="27212925" y="27612975"/>
          <a:ext cx="825953" cy="288823"/>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BFB47486-5B0B-4992-A56B-BAD73190F285}"/>
            </a:ext>
          </a:extLst>
        </xdr:cNvPr>
        <xdr:cNvPicPr>
          <a:picLocks noChangeAspect="1"/>
        </xdr:cNvPicPr>
      </xdr:nvPicPr>
      <xdr:blipFill>
        <a:blip xmlns:r="http://schemas.openxmlformats.org/officeDocument/2006/relationships" r:embed="rId4"/>
        <a:stretch>
          <a:fillRect/>
        </a:stretch>
      </xdr:blipFill>
      <xdr:spPr>
        <a:xfrm>
          <a:off x="27184350" y="10896600"/>
          <a:ext cx="818333" cy="2888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B9CB98A4-DC56-4A67-9FB5-A16368EC07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7440612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13315895-8791-49E3-8ADA-15F710C0B54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6850" y="483203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F4EB099C-602A-46DD-8F71-6B3DAFEF7F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276860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A3A5D0B-AF2B-40CA-8A5C-F639371792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9C860939-2C42-479B-86A2-5C56D57742A0}"/>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356B19AC-FB29-418A-AA60-9B72B4221389}"/>
            </a:ext>
          </a:extLst>
        </xdr:cNvPr>
        <xdr:cNvPicPr>
          <a:picLocks noChangeAspect="1"/>
        </xdr:cNvPicPr>
      </xdr:nvPicPr>
      <xdr:blipFill>
        <a:blip xmlns:r="http://schemas.openxmlformats.org/officeDocument/2006/relationships" r:embed="rId3"/>
        <a:stretch>
          <a:fillRect/>
        </a:stretch>
      </xdr:blipFill>
      <xdr:spPr>
        <a:xfrm>
          <a:off x="161925" y="27708225"/>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C3EB1102-DE8B-4AD4-8223-8CD789602EF4}"/>
            </a:ext>
          </a:extLst>
        </xdr:cNvPr>
        <xdr:cNvPicPr>
          <a:picLocks noChangeAspect="1"/>
        </xdr:cNvPicPr>
      </xdr:nvPicPr>
      <xdr:blipFill>
        <a:blip xmlns:r="http://schemas.openxmlformats.org/officeDocument/2006/relationships" r:embed="rId3"/>
        <a:stretch>
          <a:fillRect/>
        </a:stretch>
      </xdr:blipFill>
      <xdr:spPr>
        <a:xfrm>
          <a:off x="142875" y="48320325"/>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D76FAB43-96B5-4683-A839-1BDCCAB88DBB}"/>
            </a:ext>
          </a:extLst>
        </xdr:cNvPr>
        <xdr:cNvPicPr>
          <a:picLocks noChangeAspect="1"/>
        </xdr:cNvPicPr>
      </xdr:nvPicPr>
      <xdr:blipFill>
        <a:blip xmlns:r="http://schemas.openxmlformats.org/officeDocument/2006/relationships" r:embed="rId3"/>
        <a:stretch>
          <a:fillRect/>
        </a:stretch>
      </xdr:blipFill>
      <xdr:spPr>
        <a:xfrm>
          <a:off x="142875" y="74409300"/>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F1059141-91F8-44C1-9E63-07BBE4A2526B}"/>
            </a:ext>
          </a:extLst>
        </xdr:cNvPr>
        <xdr:cNvPicPr>
          <a:picLocks noChangeAspect="1"/>
        </xdr:cNvPicPr>
      </xdr:nvPicPr>
      <xdr:blipFill>
        <a:blip xmlns:r="http://schemas.openxmlformats.org/officeDocument/2006/relationships" r:embed="rId4"/>
        <a:stretch>
          <a:fillRect/>
        </a:stretch>
      </xdr:blipFill>
      <xdr:spPr>
        <a:xfrm>
          <a:off x="27165300" y="74285475"/>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65F6DB5C-1231-4236-B29A-0329E7AC84EF}"/>
            </a:ext>
          </a:extLst>
        </xdr:cNvPr>
        <xdr:cNvPicPr>
          <a:picLocks noChangeAspect="1"/>
        </xdr:cNvPicPr>
      </xdr:nvPicPr>
      <xdr:blipFill>
        <a:blip xmlns:r="http://schemas.openxmlformats.org/officeDocument/2006/relationships" r:embed="rId4"/>
        <a:stretch>
          <a:fillRect/>
        </a:stretch>
      </xdr:blipFill>
      <xdr:spPr>
        <a:xfrm>
          <a:off x="27231975" y="48253650"/>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910AD358-41D6-438F-9EC6-EE8B22F68DCE}"/>
            </a:ext>
          </a:extLst>
        </xdr:cNvPr>
        <xdr:cNvPicPr>
          <a:picLocks noChangeAspect="1"/>
        </xdr:cNvPicPr>
      </xdr:nvPicPr>
      <xdr:blipFill>
        <a:blip xmlns:r="http://schemas.openxmlformats.org/officeDocument/2006/relationships" r:embed="rId4"/>
        <a:stretch>
          <a:fillRect/>
        </a:stretch>
      </xdr:blipFill>
      <xdr:spPr>
        <a:xfrm>
          <a:off x="27193875" y="27603450"/>
          <a:ext cx="825953" cy="285648"/>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E0D18361-7931-43D1-A1F4-E2C890603C8F}"/>
            </a:ext>
          </a:extLst>
        </xdr:cNvPr>
        <xdr:cNvPicPr>
          <a:picLocks noChangeAspect="1"/>
        </xdr:cNvPicPr>
      </xdr:nvPicPr>
      <xdr:blipFill>
        <a:blip xmlns:r="http://schemas.openxmlformats.org/officeDocument/2006/relationships" r:embed="rId4"/>
        <a:stretch>
          <a:fillRect/>
        </a:stretch>
      </xdr:blipFill>
      <xdr:spPr>
        <a:xfrm>
          <a:off x="27165300" y="10896600"/>
          <a:ext cx="818333" cy="2856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F922AE1C-F43B-4664-B776-38F7722E83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9EDD209A-013F-40F4-A544-7D5604125E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73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C01D70CA-881D-4C40-842D-73464512F0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F175CAD7-DF90-4586-91BF-B47707E644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399D3F6E-5F5D-47AF-BE46-B775FDEB934D}"/>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F893B6CD-54A6-45F5-9565-B02FD73D88FB}"/>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181BF278-DF2E-4304-AD11-F7529FBDA9DB}"/>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783D26FD-5927-4267-ACEE-B9E0A1B38E72}"/>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1E2477C8-BE1A-4610-A6DB-708B1EEC3AB1}"/>
            </a:ext>
          </a:extLst>
        </xdr:cNvPr>
        <xdr:cNvPicPr>
          <a:picLocks noChangeAspect="1"/>
        </xdr:cNvPicPr>
      </xdr:nvPicPr>
      <xdr:blipFill>
        <a:blip xmlns:r="http://schemas.openxmlformats.org/officeDocument/2006/relationships" r:embed="rId4"/>
        <a:stretch>
          <a:fillRect/>
        </a:stretch>
      </xdr:blipFill>
      <xdr:spPr>
        <a:xfrm>
          <a:off x="271462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945B9CD4-DD0F-4506-BDCE-C316EDB86F22}"/>
            </a:ext>
          </a:extLst>
        </xdr:cNvPr>
        <xdr:cNvPicPr>
          <a:picLocks noChangeAspect="1"/>
        </xdr:cNvPicPr>
      </xdr:nvPicPr>
      <xdr:blipFill>
        <a:blip xmlns:r="http://schemas.openxmlformats.org/officeDocument/2006/relationships" r:embed="rId4"/>
        <a:stretch>
          <a:fillRect/>
        </a:stretch>
      </xdr:blipFill>
      <xdr:spPr>
        <a:xfrm>
          <a:off x="272129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E3FB61CA-D85F-402E-B860-D8514D260EE9}"/>
            </a:ext>
          </a:extLst>
        </xdr:cNvPr>
        <xdr:cNvPicPr>
          <a:picLocks noChangeAspect="1"/>
        </xdr:cNvPicPr>
      </xdr:nvPicPr>
      <xdr:blipFill>
        <a:blip xmlns:r="http://schemas.openxmlformats.org/officeDocument/2006/relationships" r:embed="rId4"/>
        <a:stretch>
          <a:fillRect/>
        </a:stretch>
      </xdr:blipFill>
      <xdr:spPr>
        <a:xfrm>
          <a:off x="27174825" y="27612975"/>
          <a:ext cx="825953" cy="285648"/>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8269DAD9-B7DC-4DE1-A811-CE25B277F6F8}"/>
            </a:ext>
          </a:extLst>
        </xdr:cNvPr>
        <xdr:cNvPicPr>
          <a:picLocks noChangeAspect="1"/>
        </xdr:cNvPicPr>
      </xdr:nvPicPr>
      <xdr:blipFill>
        <a:blip xmlns:r="http://schemas.openxmlformats.org/officeDocument/2006/relationships" r:embed="rId4"/>
        <a:stretch>
          <a:fillRect/>
        </a:stretch>
      </xdr:blipFill>
      <xdr:spPr>
        <a:xfrm>
          <a:off x="27146250" y="10896600"/>
          <a:ext cx="818333" cy="2856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A8937281-D8EA-4275-930D-2288C83F19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3F43AE8D-9E72-4F4A-B695-34EAD3F13A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73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ADB3B123-59C7-4AD0-88C8-DBEDDB8ADE0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1D5DB85E-F71C-4EAC-A2DE-3F3C87E2B2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E80B594C-1161-4DCD-BCA6-A396ECE8C565}"/>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F81D18E0-FB76-42E4-A73A-F38BC4272761}"/>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6A20BDB0-5790-4514-B5C1-182DD2CBBA18}"/>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321198</xdr:colOff>
      <xdr:row>366</xdr:row>
      <xdr:rowOff>114647</xdr:rowOff>
    </xdr:to>
    <xdr:pic>
      <xdr:nvPicPr>
        <xdr:cNvPr id="9" name="Picture 8">
          <a:extLst>
            <a:ext uri="{FF2B5EF4-FFF2-40B4-BE49-F238E27FC236}">
              <a16:creationId xmlns:a16="http://schemas.microsoft.com/office/drawing/2014/main" id="{643A5D23-DE7A-4F6F-A568-B4BDB17E4DA3}"/>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822143</xdr:colOff>
      <xdr:row>366</xdr:row>
      <xdr:rowOff>58772</xdr:rowOff>
    </xdr:to>
    <xdr:pic>
      <xdr:nvPicPr>
        <xdr:cNvPr id="10" name="Picture 9">
          <a:extLst>
            <a:ext uri="{FF2B5EF4-FFF2-40B4-BE49-F238E27FC236}">
              <a16:creationId xmlns:a16="http://schemas.microsoft.com/office/drawing/2014/main" id="{43ED7F5A-6167-4D4D-8A29-B795EAD2553C}"/>
            </a:ext>
          </a:extLst>
        </xdr:cNvPr>
        <xdr:cNvPicPr>
          <a:picLocks noChangeAspect="1"/>
        </xdr:cNvPicPr>
      </xdr:nvPicPr>
      <xdr:blipFill>
        <a:blip xmlns:r="http://schemas.openxmlformats.org/officeDocument/2006/relationships" r:embed="rId4"/>
        <a:stretch>
          <a:fillRect/>
        </a:stretch>
      </xdr:blipFill>
      <xdr:spPr>
        <a:xfrm>
          <a:off x="271462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868F4E2B-D9A2-4E16-B496-5E79B5A9C3E8}"/>
            </a:ext>
          </a:extLst>
        </xdr:cNvPr>
        <xdr:cNvPicPr>
          <a:picLocks noChangeAspect="1"/>
        </xdr:cNvPicPr>
      </xdr:nvPicPr>
      <xdr:blipFill>
        <a:blip xmlns:r="http://schemas.openxmlformats.org/officeDocument/2006/relationships" r:embed="rId4"/>
        <a:stretch>
          <a:fillRect/>
        </a:stretch>
      </xdr:blipFill>
      <xdr:spPr>
        <a:xfrm>
          <a:off x="272129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3F2553D1-CC5A-4BD5-8D19-016302478B2D}"/>
            </a:ext>
          </a:extLst>
        </xdr:cNvPr>
        <xdr:cNvPicPr>
          <a:picLocks noChangeAspect="1"/>
        </xdr:cNvPicPr>
      </xdr:nvPicPr>
      <xdr:blipFill>
        <a:blip xmlns:r="http://schemas.openxmlformats.org/officeDocument/2006/relationships" r:embed="rId4"/>
        <a:stretch>
          <a:fillRect/>
        </a:stretch>
      </xdr:blipFill>
      <xdr:spPr>
        <a:xfrm>
          <a:off x="27174825" y="27612975"/>
          <a:ext cx="825953" cy="285648"/>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308F46EA-DD20-43AE-BCCF-9FEE1C723CD1}"/>
            </a:ext>
          </a:extLst>
        </xdr:cNvPr>
        <xdr:cNvPicPr>
          <a:picLocks noChangeAspect="1"/>
        </xdr:cNvPicPr>
      </xdr:nvPicPr>
      <xdr:blipFill>
        <a:blip xmlns:r="http://schemas.openxmlformats.org/officeDocument/2006/relationships" r:embed="rId4"/>
        <a:stretch>
          <a:fillRect/>
        </a:stretch>
      </xdr:blipFill>
      <xdr:spPr>
        <a:xfrm>
          <a:off x="27146250" y="10896600"/>
          <a:ext cx="818333" cy="2856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64F9225F-F395-4629-ACBB-33741A69C10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733647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E81FAF8B-308A-4ADF-A7A1-369441B5EAE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E36EB1FE-386F-4F25-B13E-92978B93649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8C8DAACA-271F-4496-B635-6D0F6E77BD8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1785C830-1B13-43D5-9F0E-506C5878A77A}"/>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C1C12ABA-BD2E-4321-A807-EA520405EC2A}"/>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ED71893D-1007-48C6-A98F-0321299186CE}"/>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22C053BA-9AA5-4B0B-9290-F5A40F887D48}"/>
            </a:ext>
          </a:extLst>
        </xdr:cNvPr>
        <xdr:cNvPicPr>
          <a:picLocks noChangeAspect="1"/>
        </xdr:cNvPicPr>
      </xdr:nvPicPr>
      <xdr:blipFill>
        <a:blip xmlns:r="http://schemas.openxmlformats.org/officeDocument/2006/relationships" r:embed="rId3"/>
        <a:stretch>
          <a:fillRect/>
        </a:stretch>
      </xdr:blipFill>
      <xdr:spPr>
        <a:xfrm>
          <a:off x="139700" y="73367900"/>
          <a:ext cx="181498" cy="222597"/>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3930B523-B52C-4CF2-929F-13A4E7B563FC}"/>
            </a:ext>
          </a:extLst>
        </xdr:cNvPr>
        <xdr:cNvPicPr>
          <a:picLocks noChangeAspect="1"/>
        </xdr:cNvPicPr>
      </xdr:nvPicPr>
      <xdr:blipFill>
        <a:blip xmlns:r="http://schemas.openxmlformats.org/officeDocument/2006/relationships" r:embed="rId4"/>
        <a:stretch>
          <a:fillRect/>
        </a:stretch>
      </xdr:blipFill>
      <xdr:spPr>
        <a:xfrm>
          <a:off x="27070050" y="73240900"/>
          <a:ext cx="822143" cy="293722"/>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63555CFD-6685-4BE8-88DE-343412412597}"/>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7000489C-C196-4D35-BD6F-FBFC4A3BEBD4}"/>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8F962093-5B77-47A6-BCF4-6785A6A38B5E}"/>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9CB31"/>
  </sheetPr>
  <dimension ref="A1:JB342"/>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0.25140000000000001</v>
      </c>
      <c r="Z17" s="29" t="s">
        <v>258</v>
      </c>
      <c r="AA17" s="29">
        <v>0.74860000000000004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43795</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268</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v>0</v>
      </c>
      <c r="E30" s="53"/>
      <c r="F30" s="54">
        <v>0</v>
      </c>
      <c r="G30" s="54"/>
      <c r="H30" s="54">
        <v>0</v>
      </c>
      <c r="I30" s="54"/>
      <c r="J30" s="54">
        <v>0</v>
      </c>
      <c r="K30" s="54"/>
      <c r="L30" s="54">
        <v>0</v>
      </c>
      <c r="M30" s="50"/>
      <c r="N30" s="54">
        <v>0</v>
      </c>
      <c r="O30" s="54"/>
      <c r="P30" s="54">
        <v>0</v>
      </c>
      <c r="Q30" s="54"/>
      <c r="R30" s="54">
        <v>0</v>
      </c>
      <c r="S30" s="54"/>
      <c r="T30" s="54" t="s">
        <v>83</v>
      </c>
      <c r="U30" s="54"/>
      <c r="V30" s="54" t="s">
        <v>83</v>
      </c>
      <c r="W30" s="54"/>
      <c r="X30" s="54" t="s">
        <v>83</v>
      </c>
      <c r="Y30" s="54" t="s">
        <v>83</v>
      </c>
      <c r="Z30" s="54"/>
      <c r="AA30" s="49"/>
      <c r="AB30" s="50">
        <f>SUM(D30:N30)</f>
        <v>0</v>
      </c>
      <c r="AC30" s="51"/>
      <c r="AD30" s="22"/>
    </row>
    <row r="31" spans="1:33" s="23" customFormat="1" x14ac:dyDescent="0.3">
      <c r="A31" s="47"/>
      <c r="B31" s="44" t="s">
        <v>92</v>
      </c>
      <c r="C31" s="49"/>
      <c r="D31" s="57">
        <f>D29*D32</f>
        <v>321689.74764999998</v>
      </c>
      <c r="E31" s="57"/>
      <c r="F31" s="57">
        <f>F29</f>
        <v>151540</v>
      </c>
      <c r="G31" s="57"/>
      <c r="H31" s="57">
        <f>H29</f>
        <v>24741</v>
      </c>
      <c r="I31" s="57"/>
      <c r="J31" s="57">
        <f>J29</f>
        <v>18555</v>
      </c>
      <c r="K31" s="57"/>
      <c r="L31" s="57">
        <f>L29</f>
        <v>20102</v>
      </c>
      <c r="M31" s="57"/>
      <c r="N31" s="57">
        <f>N29</f>
        <v>20105</v>
      </c>
      <c r="O31" s="57"/>
      <c r="P31" s="57">
        <f>P29*P32</f>
        <v>8976.4193099999993</v>
      </c>
      <c r="Q31" s="57"/>
      <c r="R31" s="57">
        <v>9156</v>
      </c>
      <c r="S31" s="57"/>
      <c r="T31" s="57" t="s">
        <v>83</v>
      </c>
      <c r="U31" s="57"/>
      <c r="V31" s="57" t="s">
        <v>83</v>
      </c>
      <c r="W31" s="57"/>
      <c r="X31" s="57" t="s">
        <v>83</v>
      </c>
      <c r="Y31" s="57" t="s">
        <v>83</v>
      </c>
      <c r="Z31" s="57"/>
      <c r="AA31" s="49"/>
      <c r="AB31" s="56">
        <f>SUM(D31:N31)</f>
        <v>556732.74765000003</v>
      </c>
      <c r="AC31" s="51"/>
      <c r="AD31" s="22"/>
      <c r="AE31" s="235"/>
    </row>
    <row r="32" spans="1:33" s="65" customFormat="1" x14ac:dyDescent="0.3">
      <c r="A32" s="58"/>
      <c r="B32" s="166" t="s">
        <v>88</v>
      </c>
      <c r="C32" s="61"/>
      <c r="D32" s="60">
        <v>0.83884999999999998</v>
      </c>
      <c r="E32" s="60"/>
      <c r="F32" s="60">
        <v>1</v>
      </c>
      <c r="G32" s="60"/>
      <c r="H32" s="60">
        <v>1</v>
      </c>
      <c r="I32" s="60"/>
      <c r="J32" s="60">
        <v>1</v>
      </c>
      <c r="K32" s="60"/>
      <c r="L32" s="60">
        <v>1</v>
      </c>
      <c r="M32" s="60"/>
      <c r="N32" s="60">
        <v>1</v>
      </c>
      <c r="O32" s="60"/>
      <c r="P32" s="60">
        <v>0.88202999999999998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225">
        <v>1</v>
      </c>
      <c r="E33" s="225"/>
      <c r="F33" s="225">
        <v>1</v>
      </c>
      <c r="G33" s="225"/>
      <c r="H33" s="225">
        <v>1</v>
      </c>
      <c r="I33" s="225"/>
      <c r="J33" s="225">
        <v>1</v>
      </c>
      <c r="K33" s="225"/>
      <c r="L33" s="225">
        <v>1</v>
      </c>
      <c r="M33" s="225"/>
      <c r="N33" s="225">
        <v>1</v>
      </c>
      <c r="O33" s="225"/>
      <c r="P33" s="225">
        <v>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1.7608200000000001E-2</v>
      </c>
      <c r="E35" s="241"/>
      <c r="F35" s="241">
        <v>1.9108199999999999E-2</v>
      </c>
      <c r="G35" s="241"/>
      <c r="H35" s="241">
        <v>2.6108200000000002E-2</v>
      </c>
      <c r="I35" s="241"/>
      <c r="J35" s="241">
        <v>2.9608200000000001E-2</v>
      </c>
      <c r="K35" s="241"/>
      <c r="L35" s="241">
        <v>3.3108199999999997E-2</v>
      </c>
      <c r="M35" s="241"/>
      <c r="N35" s="241">
        <v>4.3108199999999999E-2</v>
      </c>
      <c r="O35" s="241"/>
      <c r="P35" s="241">
        <v>4.7108200000000003E-2</v>
      </c>
      <c r="Q35" s="241"/>
      <c r="R35" s="241">
        <v>4.7108200000000003E-2</v>
      </c>
      <c r="S35" s="68"/>
      <c r="T35" s="68" t="s">
        <v>83</v>
      </c>
      <c r="U35" s="68"/>
      <c r="V35" s="68" t="s">
        <v>83</v>
      </c>
      <c r="W35" s="68"/>
      <c r="X35" s="68" t="s">
        <v>83</v>
      </c>
      <c r="Y35" s="68" t="s">
        <v>83</v>
      </c>
      <c r="Z35" s="68"/>
      <c r="AA35" s="40"/>
      <c r="AB35" s="67">
        <f>SUMPRODUCT(D35:N35,D29:N29)/AB29</f>
        <v>2.0008281159907649E-2</v>
      </c>
      <c r="AC35" s="43"/>
      <c r="AD35" s="22"/>
    </row>
    <row r="36" spans="1:30" s="23" customFormat="1" x14ac:dyDescent="0.3">
      <c r="A36" s="47"/>
      <c r="B36" s="40" t="s">
        <v>10</v>
      </c>
      <c r="C36" s="69"/>
      <c r="D36" s="68">
        <v>0</v>
      </c>
      <c r="E36" s="68"/>
      <c r="F36" s="68">
        <v>0</v>
      </c>
      <c r="G36" s="68"/>
      <c r="H36" s="68">
        <v>0</v>
      </c>
      <c r="I36" s="68"/>
      <c r="J36" s="68">
        <v>0</v>
      </c>
      <c r="K36" s="68"/>
      <c r="L36" s="68">
        <v>0</v>
      </c>
      <c r="M36" s="68"/>
      <c r="N36" s="68">
        <v>0</v>
      </c>
      <c r="O36" s="68"/>
      <c r="P36" s="68">
        <v>0</v>
      </c>
      <c r="Q36" s="68"/>
      <c r="R36" s="68">
        <v>0</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0.17645340432351411</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43784</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c r="Y48" s="40"/>
      <c r="Z48" s="76"/>
      <c r="AA48" s="77"/>
      <c r="AB48" s="76"/>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135</v>
      </c>
      <c r="Y49" s="40"/>
      <c r="Z49" s="76">
        <v>43649</v>
      </c>
      <c r="AA49" s="77"/>
      <c r="AB49" s="76">
        <v>43783</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43783</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265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618144</v>
      </c>
      <c r="S58" s="238"/>
      <c r="T58" s="237">
        <f>287+508</f>
        <v>795</v>
      </c>
      <c r="U58" s="238"/>
      <c r="V58" s="238">
        <v>61008</v>
      </c>
      <c r="W58" s="238"/>
      <c r="X58" s="238">
        <v>5</v>
      </c>
      <c r="Y58" s="238"/>
      <c r="Z58" s="238">
        <v>0</v>
      </c>
      <c r="AA58" s="238"/>
      <c r="AB58" s="237">
        <f>P58-T58-V58+X58-Z58</f>
        <v>556346</v>
      </c>
      <c r="AC58" s="43"/>
      <c r="AD58" s="22"/>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618144</v>
      </c>
      <c r="S61" s="238"/>
      <c r="T61" s="238">
        <f>T58+T59</f>
        <v>795</v>
      </c>
      <c r="U61" s="238"/>
      <c r="V61" s="238">
        <f>SUM(V58:V60)</f>
        <v>61008</v>
      </c>
      <c r="W61" s="238"/>
      <c r="X61" s="238">
        <f>SUM(X58:X60)</f>
        <v>5</v>
      </c>
      <c r="Y61" s="238"/>
      <c r="Z61" s="238">
        <f>SUM(Z58:Z60)</f>
        <v>0</v>
      </c>
      <c r="AA61" s="238"/>
      <c r="AB61" s="238">
        <f>SUM(AB58:AB60)</f>
        <v>556346</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4</v>
      </c>
      <c r="W64" s="238"/>
      <c r="X64" s="238"/>
      <c r="Y64" s="238"/>
      <c r="Z64" s="238"/>
      <c r="AA64" s="238"/>
      <c r="AB64" s="238">
        <f>R64+V64</f>
        <v>4</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388</v>
      </c>
      <c r="S65" s="238"/>
      <c r="T65" s="238"/>
      <c r="U65" s="238"/>
      <c r="V65" s="238"/>
      <c r="W65" s="238"/>
      <c r="X65" s="238">
        <v>-5</v>
      </c>
      <c r="Y65" s="238"/>
      <c r="Z65" s="238"/>
      <c r="AA65" s="238"/>
      <c r="AB65" s="238">
        <f>+R65+X65</f>
        <v>383</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618532</v>
      </c>
      <c r="S67" s="238"/>
      <c r="T67" s="238"/>
      <c r="U67" s="238"/>
      <c r="V67" s="238"/>
      <c r="W67" s="238"/>
      <c r="X67" s="238"/>
      <c r="Y67" s="238"/>
      <c r="Z67" s="238"/>
      <c r="AA67" s="238"/>
      <c r="AB67" s="238">
        <f>SUM(AB61:AB66)</f>
        <v>556733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43769</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5</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f>-Z72</f>
        <v>-5</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61803</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7915+3621-1353-825</f>
        <v>9358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335+41</f>
        <v>376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46</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45</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61803</v>
      </c>
      <c r="AA84" s="40"/>
      <c r="AB84" s="97">
        <f>SUM(AB71:AB83)</f>
        <v>9825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61803</v>
      </c>
      <c r="AA87" s="40"/>
      <c r="AB87" s="97">
        <f>AB84+AB85+AB86</f>
        <v>9825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-2103</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f>
        <v>-3</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-417-32-10</f>
        <v>-459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-38</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-2497</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-1071</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-239</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-203</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-246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-1</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-30</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-320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-177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-1201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-165</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-322</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-61799</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-61799</v>
      </c>
      <c r="AA130" s="97"/>
      <c r="AB130" s="97">
        <f>SUM(AB88:AB128)</f>
        <v>-9825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4</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2019</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SUM(D29:H29)*0.015</f>
        <v>8396.5499999999993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0</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8396.5499999999993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SUM(J29:L29)*0.015</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249</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v>388</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-5</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383</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701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45</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656</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701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AB202-AB204+AB205</f>
        <v>950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v>0</v>
      </c>
      <c r="Z211" s="98">
        <v>0</v>
      </c>
      <c r="AA211" s="40"/>
      <c r="AB211" s="98">
        <f>Y211+Z211</f>
        <v>0</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5</v>
      </c>
      <c r="AA212" s="40"/>
      <c r="AB212" s="98">
        <f>Y212+Z212</f>
        <v>5</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421485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426343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-4858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7.3000000000000001E-3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2.024103139013453</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2.02</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15.288702928870293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15.29</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16.822660098522167</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16.82</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13.056910569105691</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13.06</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9.2687500000000007</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9.27</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2019</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43769</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3.9277582316728357E-2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2.0008281159907649E-2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1.9269301156820708E-2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1.2484398543648509E-2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18.04</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9.9918840092347694E-2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0.24790000000000001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+X325</f>
        <v>0</v>
      </c>
      <c r="Z262" s="162">
        <f>+Z325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182"/>
      <c r="Q277" s="182"/>
      <c r="R277" s="182"/>
      <c r="S277" s="182"/>
      <c r="T277" s="182"/>
      <c r="U277" s="182"/>
      <c r="V277" s="182"/>
      <c r="W277" s="59"/>
      <c r="X277" s="183" t="s">
        <v>167</v>
      </c>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+X292+X304+X316</f>
        <v>3248</v>
      </c>
      <c r="Y280" s="192">
        <f>X280/$X$289</f>
        <v>0.99969221298861188</v>
      </c>
      <c r="Z280" s="107">
        <f>+Z292+Z304+Z316</f>
        <v>556052</v>
      </c>
      <c r="AA280" s="192">
        <f t="shared" ref="AA280:AA287" si="0">Z280/$Z$289</f>
        <v>0.99947155187599079</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+X293+X305+X317</f>
        <v>0</v>
      </c>
      <c r="Y281" s="196">
        <f t="shared" ref="Y281:Y287" si="1">X281/$X$289</f>
        <v>0</v>
      </c>
      <c r="Z281" s="197">
        <f>+Z293+Z305+Z317</f>
        <v>0</v>
      </c>
      <c r="AA281" s="198">
        <f t="shared" si="0"/>
        <v>0</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ref="X282:X286" si="2">+X294+X306+X318</f>
        <v>0</v>
      </c>
      <c r="Y282" s="200">
        <f t="shared" si="1"/>
        <v>0</v>
      </c>
      <c r="Z282" s="131">
        <f t="shared" ref="Z282:Z286" si="3">+Z294+Z306+Z318</f>
        <v>0</v>
      </c>
      <c r="AA282" s="198">
        <f t="shared" si="0"/>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2"/>
        <v>1</v>
      </c>
      <c r="Y283" s="200">
        <f t="shared" si="1"/>
        <v>3.0778701138811941E-4</v>
      </c>
      <c r="Z283" s="131">
        <f t="shared" si="3"/>
        <v>294</v>
      </c>
      <c r="AA283" s="198">
        <f t="shared" si="0"/>
        <v>5.2844812400915976E-4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2"/>
        <v>0</v>
      </c>
      <c r="Y284" s="200">
        <f t="shared" si="1"/>
        <v>0</v>
      </c>
      <c r="Z284" s="131">
        <f t="shared" si="3"/>
        <v>0</v>
      </c>
      <c r="AA284" s="198">
        <f t="shared" si="0"/>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+X297+X309+X321</f>
        <v>0</v>
      </c>
      <c r="Y285" s="200">
        <f t="shared" si="1"/>
        <v>0</v>
      </c>
      <c r="Z285" s="131">
        <f t="shared" si="3"/>
        <v>0</v>
      </c>
      <c r="AA285" s="198">
        <f t="shared" si="0"/>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2"/>
        <v>0</v>
      </c>
      <c r="Y286" s="202">
        <f t="shared" si="1"/>
        <v>0</v>
      </c>
      <c r="Z286" s="203">
        <f t="shared" si="3"/>
        <v>0</v>
      </c>
      <c r="AA286" s="198">
        <f t="shared" si="0"/>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+X299+X311+X323</f>
        <v>0</v>
      </c>
      <c r="Y287" s="198">
        <f t="shared" si="1"/>
        <v>0</v>
      </c>
      <c r="Z287" s="107">
        <f>+Z299+Z311+Z323</f>
        <v>0</v>
      </c>
      <c r="AA287" s="198">
        <f t="shared" si="0"/>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3249</v>
      </c>
      <c r="Y289" s="198">
        <f>SUM(Y280:Y288)</f>
        <v>1</v>
      </c>
      <c r="Z289" s="98">
        <f>SUM(Z280:Z288)</f>
        <v>556346</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3248</v>
      </c>
      <c r="Y292" s="192">
        <f>X292/$X$301</f>
        <v>0.99969221298861188</v>
      </c>
      <c r="Z292" s="107">
        <v>556052</v>
      </c>
      <c r="AA292" s="192">
        <f>Z292/$Z$301</f>
        <v>0.99947155187599079</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ref="Y293:Y299" si="4">X293/$X$301</f>
        <v>0</v>
      </c>
      <c r="Z293" s="98">
        <v>0</v>
      </c>
      <c r="AA293" s="198">
        <f t="shared" ref="AA293:AA299" si="5">Z293/$Z$301</f>
        <v>0</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4"/>
        <v>3.0778701138811941E-4</v>
      </c>
      <c r="Z295" s="98">
        <v>294</v>
      </c>
      <c r="AA295" s="198">
        <f t="shared" si="5"/>
        <v>5.2844812400915976E-4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4"/>
        <v>0</v>
      </c>
      <c r="Z297" s="98">
        <v>0</v>
      </c>
      <c r="AA297" s="198">
        <f t="shared" si="5"/>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5"/>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4"/>
        <v>0</v>
      </c>
      <c r="Z299" s="98">
        <v>0</v>
      </c>
      <c r="AA299" s="198">
        <f t="shared" si="5"/>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3249</v>
      </c>
      <c r="Y301" s="198">
        <f>SUM(Y292:Y300)</f>
        <v>1</v>
      </c>
      <c r="Z301" s="98">
        <f>SUM(Z292:Z300)</f>
        <v>556346</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x14ac:dyDescent="0.3">
      <c r="A314" s="7"/>
      <c r="B314" s="99"/>
      <c r="C314" s="99"/>
      <c r="D314" s="205"/>
      <c r="E314" s="205"/>
      <c r="F314" s="205"/>
      <c r="G314" s="205"/>
      <c r="H314" s="205"/>
      <c r="I314" s="205"/>
      <c r="J314" s="205"/>
      <c r="K314" s="205"/>
      <c r="L314" s="205"/>
      <c r="M314" s="205"/>
      <c r="N314" s="205"/>
      <c r="O314" s="205"/>
      <c r="P314" s="205"/>
      <c r="Q314" s="205"/>
      <c r="R314" s="205"/>
      <c r="S314" s="205"/>
      <c r="T314" s="205"/>
      <c r="U314" s="205"/>
      <c r="V314" s="205"/>
      <c r="W314" s="205"/>
      <c r="X314" s="100"/>
      <c r="Y314" s="206"/>
      <c r="Z314" s="207"/>
      <c r="AA314" s="206"/>
      <c r="AB314" s="99"/>
      <c r="AC314" s="10"/>
      <c r="AD314" s="5"/>
    </row>
    <row r="315" spans="1:30" x14ac:dyDescent="0.3">
      <c r="A315" s="33"/>
      <c r="B315" s="102" t="s">
        <v>106</v>
      </c>
      <c r="C315" s="34"/>
      <c r="D315" s="208"/>
      <c r="E315" s="208"/>
      <c r="F315" s="208"/>
      <c r="G315" s="208"/>
      <c r="H315" s="208"/>
      <c r="I315" s="208"/>
      <c r="J315" s="208"/>
      <c r="K315" s="208"/>
      <c r="L315" s="208"/>
      <c r="M315" s="208"/>
      <c r="N315" s="208"/>
      <c r="O315" s="208"/>
      <c r="P315" s="208"/>
      <c r="Q315" s="208"/>
      <c r="R315" s="208"/>
      <c r="S315" s="208"/>
      <c r="T315" s="208"/>
      <c r="U315" s="208"/>
      <c r="V315" s="208"/>
      <c r="W315" s="208"/>
      <c r="X315" s="154" t="s">
        <v>69</v>
      </c>
      <c r="Y315" s="103" t="s">
        <v>70</v>
      </c>
      <c r="Z315" s="154" t="s">
        <v>75</v>
      </c>
      <c r="AA315" s="103" t="s">
        <v>70</v>
      </c>
      <c r="AB315" s="34"/>
      <c r="AC315" s="36"/>
      <c r="AD315" s="5"/>
    </row>
    <row r="316" spans="1:30" s="23" customFormat="1" x14ac:dyDescent="0.3">
      <c r="A316" s="18"/>
      <c r="B316" s="106" t="s">
        <v>59</v>
      </c>
      <c r="C316" s="37"/>
      <c r="D316" s="209"/>
      <c r="E316" s="209"/>
      <c r="F316" s="209"/>
      <c r="G316" s="209"/>
      <c r="H316" s="209"/>
      <c r="I316" s="209"/>
      <c r="J316" s="209"/>
      <c r="K316" s="209"/>
      <c r="L316" s="209"/>
      <c r="M316" s="209"/>
      <c r="N316" s="209"/>
      <c r="O316" s="209"/>
      <c r="P316" s="209"/>
      <c r="Q316" s="209"/>
      <c r="R316" s="209"/>
      <c r="S316" s="209"/>
      <c r="T316" s="209"/>
      <c r="U316" s="209"/>
      <c r="V316" s="209"/>
      <c r="W316" s="209"/>
      <c r="X316" s="106">
        <v>0</v>
      </c>
      <c r="Y316" s="192">
        <v>0</v>
      </c>
      <c r="Z316" s="107">
        <v>0</v>
      </c>
      <c r="AA316" s="192">
        <v>0</v>
      </c>
      <c r="AB316" s="37"/>
      <c r="AC316" s="21"/>
      <c r="AD316" s="22"/>
    </row>
    <row r="317" spans="1:30" s="23" customFormat="1" x14ac:dyDescent="0.3">
      <c r="A317" s="47"/>
      <c r="B317" s="97" t="s">
        <v>60</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97">
        <v>0</v>
      </c>
      <c r="Y317" s="198">
        <v>0</v>
      </c>
      <c r="Z317" s="98">
        <v>0</v>
      </c>
      <c r="AA317" s="198">
        <v>0</v>
      </c>
      <c r="AB317" s="40"/>
      <c r="AC317" s="43"/>
      <c r="AD317" s="22"/>
    </row>
    <row r="318" spans="1:30" s="23" customFormat="1" x14ac:dyDescent="0.3">
      <c r="A318" s="47"/>
      <c r="B318" s="97" t="s">
        <v>61</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97">
        <v>0</v>
      </c>
      <c r="Y318" s="198">
        <v>0</v>
      </c>
      <c r="Z318" s="98">
        <v>0</v>
      </c>
      <c r="AA318" s="198">
        <v>0</v>
      </c>
      <c r="AB318" s="40"/>
      <c r="AC318" s="43"/>
      <c r="AD318" s="22"/>
    </row>
    <row r="319" spans="1:30" s="23" customFormat="1" x14ac:dyDescent="0.3">
      <c r="A319" s="47"/>
      <c r="B319" s="97" t="s">
        <v>100</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97">
        <v>0</v>
      </c>
      <c r="Y319" s="198">
        <v>0</v>
      </c>
      <c r="Z319" s="98">
        <v>0</v>
      </c>
      <c r="AA319" s="198">
        <v>0</v>
      </c>
      <c r="AB319" s="40"/>
      <c r="AC319" s="43"/>
      <c r="AD319" s="22"/>
    </row>
    <row r="320" spans="1:30" s="23" customFormat="1" x14ac:dyDescent="0.3">
      <c r="A320" s="47"/>
      <c r="B320" s="97" t="s">
        <v>101</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97">
        <v>0</v>
      </c>
      <c r="Y320" s="198">
        <v>0</v>
      </c>
      <c r="Z320" s="98">
        <v>0</v>
      </c>
      <c r="AA320" s="198">
        <v>0</v>
      </c>
      <c r="AB320" s="40"/>
      <c r="AC320" s="43"/>
      <c r="AD320" s="22"/>
    </row>
    <row r="321" spans="1:30" s="23" customFormat="1" x14ac:dyDescent="0.3">
      <c r="A321" s="47"/>
      <c r="B321" s="97" t="s">
        <v>102</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97">
        <v>0</v>
      </c>
      <c r="Y321" s="198">
        <v>0</v>
      </c>
      <c r="Z321" s="98">
        <v>0</v>
      </c>
      <c r="AA321" s="198">
        <v>0</v>
      </c>
      <c r="AB321" s="40"/>
      <c r="AC321" s="43"/>
      <c r="AD321" s="22"/>
    </row>
    <row r="322" spans="1:30" s="23" customFormat="1" x14ac:dyDescent="0.3">
      <c r="A322" s="47"/>
      <c r="B322" s="97" t="s">
        <v>103</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97">
        <v>0</v>
      </c>
      <c r="Y322" s="198">
        <v>0</v>
      </c>
      <c r="Z322" s="98">
        <v>0</v>
      </c>
      <c r="AA322" s="198">
        <v>0</v>
      </c>
      <c r="AB322" s="40"/>
      <c r="AC322" s="43"/>
      <c r="AD322" s="22"/>
    </row>
    <row r="323" spans="1:30" s="23" customFormat="1" x14ac:dyDescent="0.3">
      <c r="A323" s="47"/>
      <c r="B323" s="97" t="s">
        <v>104</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97">
        <v>0</v>
      </c>
      <c r="Y323" s="198">
        <v>0</v>
      </c>
      <c r="Z323" s="98">
        <v>0</v>
      </c>
      <c r="AA323" s="198">
        <v>0</v>
      </c>
      <c r="AB323" s="40"/>
      <c r="AC323" s="43"/>
      <c r="AD323" s="22"/>
    </row>
    <row r="324" spans="1:30" s="23" customFormat="1" x14ac:dyDescent="0.3">
      <c r="A324" s="47"/>
      <c r="B324" s="97"/>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c r="Y324" s="198"/>
      <c r="Z324" s="98"/>
      <c r="AA324" s="198"/>
      <c r="AB324" s="40"/>
      <c r="AC324" s="43"/>
      <c r="AD324" s="22"/>
    </row>
    <row r="325" spans="1:30" s="23" customFormat="1" x14ac:dyDescent="0.3">
      <c r="A325" s="47"/>
      <c r="B325" s="40" t="s">
        <v>80</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f>SUM(X316:X323)</f>
        <v>0</v>
      </c>
      <c r="Y325" s="198">
        <f>SUM(Y316:Y323)</f>
        <v>0</v>
      </c>
      <c r="Z325" s="98">
        <f>SUM(Z316:Z323)</f>
        <v>0</v>
      </c>
      <c r="AA325" s="198">
        <f>SUM(AA316:AA323)</f>
        <v>0</v>
      </c>
      <c r="AB325" s="40"/>
      <c r="AC325" s="43"/>
      <c r="AD325" s="22"/>
    </row>
    <row r="326" spans="1:30" s="23" customFormat="1" x14ac:dyDescent="0.3">
      <c r="A326" s="47"/>
      <c r="B326" s="40"/>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c r="Y326" s="198"/>
      <c r="Z326" s="98"/>
      <c r="AA326" s="198"/>
      <c r="AB326" s="40"/>
      <c r="AC326" s="43"/>
      <c r="AD326" s="22"/>
    </row>
    <row r="327" spans="1:30" s="23" customFormat="1" x14ac:dyDescent="0.3">
      <c r="A327" s="47"/>
      <c r="B327" s="44" t="s">
        <v>139</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210">
        <f>X325+X313+X301</f>
        <v>3249</v>
      </c>
      <c r="Y327" s="198"/>
      <c r="Z327" s="211">
        <f>+Z325+Z313+Z301</f>
        <v>556346</v>
      </c>
      <c r="AA327" s="198"/>
      <c r="AB327" s="40"/>
      <c r="AC327" s="43"/>
      <c r="AD327" s="22"/>
    </row>
    <row r="328" spans="1:30" s="23" customFormat="1" x14ac:dyDescent="0.3">
      <c r="A328" s="47"/>
      <c r="B328" s="44" t="s">
        <v>304</v>
      </c>
      <c r="C328" s="44"/>
      <c r="D328" s="212"/>
      <c r="E328" s="212"/>
      <c r="F328" s="212"/>
      <c r="G328" s="212"/>
      <c r="H328" s="212"/>
      <c r="I328" s="212"/>
      <c r="J328" s="212"/>
      <c r="K328" s="212"/>
      <c r="L328" s="212"/>
      <c r="M328" s="212"/>
      <c r="N328" s="212"/>
      <c r="O328" s="212"/>
      <c r="P328" s="212"/>
      <c r="Q328" s="212"/>
      <c r="R328" s="212"/>
      <c r="S328" s="212"/>
      <c r="T328" s="212"/>
      <c r="U328" s="212"/>
      <c r="V328" s="212"/>
      <c r="W328" s="212"/>
      <c r="X328" s="210"/>
      <c r="Y328" s="213"/>
      <c r="Z328" s="211">
        <f>+AB65+AB64</f>
        <v>387</v>
      </c>
      <c r="AA328" s="198"/>
      <c r="AB328" s="40"/>
      <c r="AC328" s="43"/>
      <c r="AD328" s="22"/>
    </row>
    <row r="329" spans="1:30" s="23" customFormat="1" x14ac:dyDescent="0.3">
      <c r="A329" s="47"/>
      <c r="B329" s="44" t="s">
        <v>107</v>
      </c>
      <c r="C329" s="44"/>
      <c r="D329" s="212"/>
      <c r="E329" s="212"/>
      <c r="F329" s="212"/>
      <c r="G329" s="212"/>
      <c r="H329" s="212"/>
      <c r="I329" s="212"/>
      <c r="J329" s="212"/>
      <c r="K329" s="212"/>
      <c r="L329" s="212"/>
      <c r="M329" s="212"/>
      <c r="N329" s="212"/>
      <c r="O329" s="212"/>
      <c r="P329" s="212"/>
      <c r="Q329" s="212"/>
      <c r="R329" s="212"/>
      <c r="S329" s="212"/>
      <c r="T329" s="212"/>
      <c r="U329" s="212"/>
      <c r="V329" s="212"/>
      <c r="W329" s="212"/>
      <c r="X329" s="210"/>
      <c r="Y329" s="213"/>
      <c r="Z329" s="211">
        <f>+Z327+Z328</f>
        <v>556733</v>
      </c>
      <c r="AA329" s="198"/>
      <c r="AB329" s="40"/>
      <c r="AC329" s="43"/>
      <c r="AD329" s="22"/>
    </row>
    <row r="330" spans="1:30" s="23" customFormat="1" x14ac:dyDescent="0.3">
      <c r="A330" s="47"/>
      <c r="B330" s="44" t="s">
        <v>237</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210"/>
      <c r="Y330" s="198"/>
      <c r="Z330" s="211">
        <f>+AB67</f>
        <v>556733</v>
      </c>
      <c r="AA330" s="198"/>
      <c r="AB330" s="40"/>
      <c r="AC330" s="43"/>
      <c r="AD330" s="22"/>
    </row>
    <row r="331" spans="1:30" s="23" customFormat="1" x14ac:dyDescent="0.3">
      <c r="A331" s="47"/>
      <c r="B331" s="44"/>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210"/>
      <c r="Y331" s="198"/>
      <c r="Z331" s="211"/>
      <c r="AA331" s="198"/>
      <c r="AB331" s="40"/>
      <c r="AC331" s="43"/>
      <c r="AD331" s="22"/>
    </row>
    <row r="332" spans="1:30" s="23" customFormat="1" x14ac:dyDescent="0.3">
      <c r="A332" s="47"/>
      <c r="B332" s="44" t="s">
        <v>305</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210"/>
      <c r="Y332" s="198"/>
      <c r="Z332" s="236">
        <f>(D31*0.05+F31+H31+J31+L31+N31)/AB31</f>
        <v>0.45107367662944764</v>
      </c>
      <c r="AA332" s="198"/>
      <c r="AB332" s="40"/>
      <c r="AC332" s="43"/>
      <c r="AD332" s="22"/>
    </row>
    <row r="333" spans="1:30" s="23" customFormat="1" x14ac:dyDescent="0.3">
      <c r="A333" s="18"/>
      <c r="B333" s="20"/>
      <c r="C333" s="20"/>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5"/>
      <c r="AA333" s="214"/>
      <c r="AB333" s="20"/>
      <c r="AC333" s="21"/>
      <c r="AD333" s="22"/>
    </row>
    <row r="334" spans="1:30" s="23" customFormat="1" x14ac:dyDescent="0.3">
      <c r="A334" s="18"/>
      <c r="B334" s="19" t="s">
        <v>62</v>
      </c>
      <c r="C334" s="20"/>
      <c r="D334" s="216" t="s">
        <v>66</v>
      </c>
      <c r="E334" s="19"/>
      <c r="F334" s="19" t="s">
        <v>67</v>
      </c>
      <c r="G334" s="20"/>
      <c r="H334" s="19"/>
      <c r="I334" s="20"/>
      <c r="J334" s="20"/>
      <c r="K334" s="20"/>
      <c r="L334" s="20"/>
      <c r="M334" s="20"/>
      <c r="N334" s="20"/>
      <c r="O334" s="20"/>
      <c r="P334" s="20"/>
      <c r="Q334" s="20"/>
      <c r="R334" s="20"/>
      <c r="S334" s="20"/>
      <c r="T334" s="20"/>
      <c r="U334" s="20"/>
      <c r="V334" s="20"/>
      <c r="W334" s="20"/>
      <c r="X334" s="20"/>
      <c r="Y334" s="20"/>
      <c r="Z334" s="20"/>
      <c r="AA334" s="20"/>
      <c r="AB334" s="20"/>
      <c r="AC334" s="21"/>
      <c r="AD334" s="22"/>
    </row>
    <row r="335" spans="1:30" s="23" customFormat="1" x14ac:dyDescent="0.3">
      <c r="A335" s="18"/>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1"/>
      <c r="AD335" s="22"/>
    </row>
    <row r="336" spans="1:30" s="23" customFormat="1" x14ac:dyDescent="0.3">
      <c r="A336" s="18"/>
      <c r="B336" s="19" t="s">
        <v>152</v>
      </c>
      <c r="C336" s="19"/>
      <c r="D336" s="217" t="s">
        <v>122</v>
      </c>
      <c r="E336" s="19"/>
      <c r="F336" s="19" t="s">
        <v>168</v>
      </c>
      <c r="G336" s="19"/>
      <c r="H336" s="19"/>
      <c r="I336" s="20"/>
      <c r="J336" s="20"/>
      <c r="K336" s="20"/>
      <c r="L336" s="20"/>
      <c r="M336" s="20"/>
      <c r="N336" s="20"/>
      <c r="O336" s="20"/>
      <c r="P336" s="20"/>
      <c r="Q336" s="20"/>
      <c r="R336" s="20"/>
      <c r="S336" s="20"/>
      <c r="T336" s="20"/>
      <c r="U336" s="20"/>
      <c r="V336" s="20"/>
      <c r="W336" s="20"/>
      <c r="X336" s="20"/>
      <c r="Y336" s="20"/>
      <c r="Z336" s="20"/>
      <c r="AA336" s="20"/>
      <c r="AB336" s="20"/>
      <c r="AC336" s="21"/>
      <c r="AD336" s="22"/>
    </row>
    <row r="337" spans="1:30" s="23" customFormat="1" x14ac:dyDescent="0.3">
      <c r="A337" s="18"/>
      <c r="B337" s="19" t="s">
        <v>153</v>
      </c>
      <c r="C337" s="19"/>
      <c r="D337" s="217" t="s">
        <v>98</v>
      </c>
      <c r="E337" s="19"/>
      <c r="F337" s="19" t="s">
        <v>169</v>
      </c>
      <c r="G337" s="19"/>
      <c r="H337" s="19"/>
      <c r="I337" s="20"/>
      <c r="J337" s="20"/>
      <c r="K337" s="20"/>
      <c r="L337" s="20"/>
      <c r="M337" s="20"/>
      <c r="N337" s="20"/>
      <c r="O337" s="20"/>
      <c r="P337" s="20"/>
      <c r="Q337" s="20"/>
      <c r="R337" s="20"/>
      <c r="S337" s="20"/>
      <c r="T337" s="20"/>
      <c r="U337" s="20"/>
      <c r="V337" s="20"/>
      <c r="W337" s="20"/>
      <c r="X337" s="20"/>
      <c r="Y337" s="20"/>
      <c r="Z337" s="20"/>
      <c r="AA337" s="20"/>
      <c r="AB337" s="20"/>
      <c r="AC337" s="21"/>
      <c r="AD337" s="22"/>
    </row>
    <row r="338" spans="1:30" x14ac:dyDescent="0.3">
      <c r="A338" s="218"/>
      <c r="B338" s="219"/>
      <c r="C338" s="219"/>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1"/>
      <c r="AD338" s="5"/>
    </row>
    <row r="339" spans="1:30" x14ac:dyDescent="0.3">
      <c r="A339" s="218"/>
      <c r="B339" s="219"/>
      <c r="C339" s="219"/>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1"/>
      <c r="AD339" s="5"/>
    </row>
    <row r="340" spans="1:30" ht="18.600000000000001" thickBot="1" x14ac:dyDescent="0.4">
      <c r="A340" s="218"/>
      <c r="B340" s="222" t="str">
        <f>B237</f>
        <v>PM26 INVESTOR REPORT QUARTER ENDING OCTOBER 2019</v>
      </c>
      <c r="C340" s="219"/>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3"/>
      <c r="AD340" s="5"/>
    </row>
    <row r="341" spans="1:30" x14ac:dyDescent="0.3">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row>
    <row r="342" spans="1:30" x14ac:dyDescent="0.3">
      <c r="B342" s="6" t="s">
        <v>307</v>
      </c>
    </row>
  </sheetData>
  <hyperlinks>
    <hyperlink ref="X277" r:id="rId1" display="http://www.paragon-group.co.uk" xr:uid="{00000000-0004-0000-0000-000000000000}"/>
    <hyperlink ref="K9" r:id="rId2" display="http://www.paragon-group.co.uk" xr:uid="{00000000-0004-0000-00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4" max="18" man="1"/>
    <brk id="134" max="18" man="1"/>
    <brk id="237" max="18" man="1"/>
  </rowBreaks>
  <colBreaks count="1" manualBreakCount="1">
    <brk id="29" max="299"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2966-EF16-49C2-A844-881BA67903EB}">
  <sheetPr>
    <tabColor rgb="FF2D2926"/>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0.24654040449948858</v>
      </c>
      <c r="Z17" s="29" t="s">
        <v>258</v>
      </c>
      <c r="AA17" s="29">
        <v>0.75345959550051145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44610</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176558.33559999999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6052.9742900000001</v>
      </c>
      <c r="Q30" s="54"/>
      <c r="R30" s="54">
        <v>0</v>
      </c>
      <c r="S30" s="54"/>
      <c r="T30" s="54" t="s">
        <v>83</v>
      </c>
      <c r="U30" s="54"/>
      <c r="V30" s="54" t="s">
        <v>83</v>
      </c>
      <c r="W30" s="54"/>
      <c r="X30" s="54" t="s">
        <v>83</v>
      </c>
      <c r="Y30" s="54" t="s">
        <v>83</v>
      </c>
      <c r="Z30" s="54"/>
      <c r="AA30" s="49"/>
      <c r="AB30" s="50">
        <f>SUM(D30:N30)</f>
        <v>411601.33559999999</v>
      </c>
      <c r="AC30" s="51"/>
      <c r="AD30" s="22"/>
    </row>
    <row r="31" spans="1:33" s="23" customFormat="1" x14ac:dyDescent="0.3">
      <c r="A31" s="47"/>
      <c r="B31" s="44" t="s">
        <v>92</v>
      </c>
      <c r="C31" s="49"/>
      <c r="D31" s="57">
        <f>D29*D32</f>
        <v>166902.08257999999</v>
      </c>
      <c r="E31" s="57"/>
      <c r="F31" s="57">
        <f>F29</f>
        <v>151540</v>
      </c>
      <c r="G31" s="57"/>
      <c r="H31" s="57">
        <f>H29</f>
        <v>24741</v>
      </c>
      <c r="I31" s="57"/>
      <c r="J31" s="57">
        <f>J29</f>
        <v>18555</v>
      </c>
      <c r="K31" s="57"/>
      <c r="L31" s="57">
        <f>L29</f>
        <v>20102</v>
      </c>
      <c r="M31" s="57"/>
      <c r="N31" s="57">
        <f>N29</f>
        <v>20105</v>
      </c>
      <c r="O31" s="57"/>
      <c r="P31" s="57">
        <f>P29*P32</f>
        <v>5872.5360799999999</v>
      </c>
      <c r="Q31" s="57"/>
      <c r="R31" s="57">
        <v>0</v>
      </c>
      <c r="S31" s="57"/>
      <c r="T31" s="57" t="s">
        <v>83</v>
      </c>
      <c r="U31" s="57"/>
      <c r="V31" s="57" t="s">
        <v>83</v>
      </c>
      <c r="W31" s="57"/>
      <c r="X31" s="57" t="s">
        <v>83</v>
      </c>
      <c r="Y31" s="57" t="s">
        <v>83</v>
      </c>
      <c r="Z31" s="57"/>
      <c r="AA31" s="49"/>
      <c r="AB31" s="56">
        <f>SUM(D31:N31)</f>
        <v>401945.08257999999</v>
      </c>
      <c r="AC31" s="51"/>
      <c r="AD31" s="22"/>
      <c r="AE31" s="235"/>
    </row>
    <row r="32" spans="1:33" s="65" customFormat="1" x14ac:dyDescent="0.3">
      <c r="A32" s="58"/>
      <c r="B32" s="166" t="s">
        <v>88</v>
      </c>
      <c r="C32" s="61"/>
      <c r="D32" s="60">
        <v>0.43522</v>
      </c>
      <c r="E32" s="60"/>
      <c r="F32" s="60">
        <v>1</v>
      </c>
      <c r="G32" s="60"/>
      <c r="H32" s="60">
        <v>1</v>
      </c>
      <c r="I32" s="60"/>
      <c r="J32" s="60">
        <v>1</v>
      </c>
      <c r="K32" s="60"/>
      <c r="L32" s="60">
        <v>1</v>
      </c>
      <c r="M32" s="60"/>
      <c r="N32" s="60">
        <v>1</v>
      </c>
      <c r="O32" s="60"/>
      <c r="P32" s="60">
        <v>0.57704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0.46039999999999998</v>
      </c>
      <c r="E33" s="60"/>
      <c r="F33" s="60">
        <v>1</v>
      </c>
      <c r="G33" s="60"/>
      <c r="H33" s="60">
        <v>1</v>
      </c>
      <c r="I33" s="60"/>
      <c r="J33" s="60">
        <v>1</v>
      </c>
      <c r="K33" s="60"/>
      <c r="L33" s="60">
        <v>1</v>
      </c>
      <c r="M33" s="60"/>
      <c r="N33" s="60">
        <v>1</v>
      </c>
      <c r="O33" s="60"/>
      <c r="P33" s="60">
        <v>0.59477000000000002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1.19656E-2</v>
      </c>
      <c r="E35" s="241"/>
      <c r="F35" s="241">
        <v>1.3465599999999999E-2</v>
      </c>
      <c r="G35" s="241"/>
      <c r="H35" s="241">
        <v>2.04656E-2</v>
      </c>
      <c r="I35" s="241"/>
      <c r="J35" s="241">
        <v>2.39656E-2</v>
      </c>
      <c r="K35" s="241"/>
      <c r="L35" s="241">
        <v>2.74656E-2</v>
      </c>
      <c r="M35" s="241"/>
      <c r="N35" s="241">
        <v>3.7465600000000002E-2</v>
      </c>
      <c r="O35" s="241"/>
      <c r="P35" s="241">
        <v>4.1465599999999998E-2</v>
      </c>
      <c r="Q35" s="241"/>
      <c r="R35" s="241">
        <v>4.1465599999999998E-2</v>
      </c>
      <c r="S35" s="68"/>
      <c r="T35" s="68" t="s">
        <v>83</v>
      </c>
      <c r="U35" s="68"/>
      <c r="V35" s="68" t="s">
        <v>83</v>
      </c>
      <c r="W35" s="68"/>
      <c r="X35" s="68" t="s">
        <v>83</v>
      </c>
      <c r="Y35" s="68" t="s">
        <v>83</v>
      </c>
      <c r="Z35" s="68"/>
      <c r="AA35" s="40"/>
      <c r="AB35" s="67">
        <f>SUMPRODUCT(D35:N35,D30:N30)/AB30</f>
        <v>1.557231084275267E-2</v>
      </c>
      <c r="AC35" s="43"/>
      <c r="AD35" s="22"/>
    </row>
    <row r="36" spans="1:30" s="23" customFormat="1" x14ac:dyDescent="0.3">
      <c r="A36" s="47"/>
      <c r="B36" s="40" t="s">
        <v>10</v>
      </c>
      <c r="C36" s="69"/>
      <c r="D36" s="241">
        <v>1.10002E-2</v>
      </c>
      <c r="E36" s="241"/>
      <c r="F36" s="241">
        <v>1.25002E-2</v>
      </c>
      <c r="G36" s="241"/>
      <c r="H36" s="241">
        <v>1.9500199999999999E-2</v>
      </c>
      <c r="I36" s="241"/>
      <c r="J36" s="241">
        <v>2.3000199999999998E-2</v>
      </c>
      <c r="K36" s="241"/>
      <c r="L36" s="241">
        <v>2.6500200000000002E-2</v>
      </c>
      <c r="M36" s="241"/>
      <c r="N36" s="241">
        <v>3.6500199999999997E-2</v>
      </c>
      <c r="O36" s="241"/>
      <c r="P36" s="241">
        <v>4.05002E-2</v>
      </c>
      <c r="Q36" s="241"/>
      <c r="R36" s="241">
        <v>4.05002E-2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0.26222350803468986</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44607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44424</v>
      </c>
      <c r="AA48" s="77"/>
      <c r="AB48" s="76">
        <v>44514</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44515</v>
      </c>
      <c r="AA49" s="77"/>
      <c r="AB49" s="76">
        <v>44606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44606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411601</v>
      </c>
      <c r="S58" s="238"/>
      <c r="T58" s="237">
        <f>154+184</f>
        <v>338</v>
      </c>
      <c r="U58" s="237"/>
      <c r="V58" s="237">
        <f>9321</f>
        <v>9321</v>
      </c>
      <c r="W58" s="238"/>
      <c r="X58" s="238">
        <v>0</v>
      </c>
      <c r="Y58" s="238"/>
      <c r="Z58" s="238">
        <v>0</v>
      </c>
      <c r="AA58" s="238"/>
      <c r="AB58" s="237">
        <f>R58-T58-V58+X58-Z58</f>
        <v>401942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411601</v>
      </c>
      <c r="S61" s="238"/>
      <c r="T61" s="238">
        <f>T58+T59</f>
        <v>338</v>
      </c>
      <c r="U61" s="238"/>
      <c r="V61" s="238">
        <f>SUM(V58:V60)</f>
        <v>9321</v>
      </c>
      <c r="W61" s="238"/>
      <c r="X61" s="238">
        <f>SUM(X58:X60)</f>
        <v>0</v>
      </c>
      <c r="Y61" s="238"/>
      <c r="Z61" s="238">
        <f>SUM(Z58:Z60)</f>
        <v>0</v>
      </c>
      <c r="AA61" s="238"/>
      <c r="AB61" s="238">
        <f>SUM(AB58:AB60)</f>
        <v>401942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3</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411601</v>
      </c>
      <c r="S67" s="238"/>
      <c r="T67" s="238"/>
      <c r="U67" s="238"/>
      <c r="V67" s="238"/>
      <c r="W67" s="238"/>
      <c r="X67" s="238"/>
      <c r="Y67" s="238"/>
      <c r="Z67" s="238"/>
      <c r="AA67" s="238"/>
      <c r="AB67" s="238">
        <f>SUM(AB61:AB66)</f>
        <v>401945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44592</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9659</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3144+1323-297-280</f>
        <v>3890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80+15</f>
        <v>95</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180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1299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9659</v>
      </c>
      <c r="AA84" s="40"/>
      <c r="AB84" s="97">
        <f>SUM(AB71:AB83)</f>
        <v>5466</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9659</v>
      </c>
      <c r="AA87" s="40"/>
      <c r="AB87" s="97">
        <f>AB84+AB85+AB86</f>
        <v>5466</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-208-7-7</f>
        <v>-222</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-410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-533</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-513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-128</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-112</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-139</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-2150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-190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-180</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-700</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-9656</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-9656</v>
      </c>
      <c r="AA130" s="97"/>
      <c r="AB130" s="97">
        <f>SUM(AB88:AB128)</f>
        <v>-5466</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21'!AB146</f>
        <v>5473.5499999999993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-180</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5293.5499999999993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21'!AB198</f>
        <v>762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1696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1299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1159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21'!AB206</f>
        <v>2043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1696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2150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2497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21'!Y213</f>
        <v>0</v>
      </c>
      <c r="Z211" s="98">
        <f>+'October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346576</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353321</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-6745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6.3E-3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4.6195028680688335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29.578125</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26.92</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32.660714285714285</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29.71</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25.510791366906474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23.23</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17.931578947368422</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16.420000000000002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44592</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3.8210000000000001E-2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1.557231084275267E-2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2.2637689157247329E-2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1.3279851117951609E-2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16.13</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2.3466901198004864E-2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0.15160000000000001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2215</v>
      </c>
      <c r="Y280" s="192">
        <f>X280/$X$289</f>
        <v>0.99505840071877805</v>
      </c>
      <c r="Z280" s="107">
        <f t="shared" ref="Z280:Z287" si="2">+Z292+Z304+Z326</f>
        <v>399650</v>
      </c>
      <c r="AA280" s="192">
        <f t="shared" ref="AA280:AA287" si="3">Z280/$Z$289</f>
        <v>0.99429768474058444</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4</v>
      </c>
      <c r="Y281" s="196">
        <f t="shared" ref="Y281:Y287" si="4">X281/$X$289</f>
        <v>1.7969451931716084E-3</v>
      </c>
      <c r="Z281" s="197">
        <f t="shared" si="2"/>
        <v>569</v>
      </c>
      <c r="AA281" s="198">
        <f t="shared" si="3"/>
        <v>1.4156271302824786E-3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4.4923629829290209E-4</v>
      </c>
      <c r="Z283" s="131">
        <f t="shared" si="2"/>
        <v>100</v>
      </c>
      <c r="AA283" s="198">
        <f t="shared" si="3"/>
        <v>2.487921142851456E-4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4.4923629829290209E-4</v>
      </c>
      <c r="Z284" s="131">
        <f t="shared" si="2"/>
        <v>275</v>
      </c>
      <c r="AA284" s="198">
        <f t="shared" si="3"/>
        <v>6.8417831428415048E-4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4</v>
      </c>
      <c r="Y286" s="202">
        <f t="shared" si="4"/>
        <v>1.7969451931716084E-3</v>
      </c>
      <c r="Z286" s="203">
        <f t="shared" si="2"/>
        <v>1069</v>
      </c>
      <c r="AA286" s="198">
        <f t="shared" si="3"/>
        <v>2.6595877017082064E-3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4.4923629829290209E-4</v>
      </c>
      <c r="Z287" s="107">
        <f t="shared" si="2"/>
        <v>279</v>
      </c>
      <c r="AA287" s="198">
        <f t="shared" si="3"/>
        <v>6.9412999885555624E-4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2226</v>
      </c>
      <c r="Y289" s="198">
        <f>SUM(Y280:Y288)</f>
        <v>0.99999999999999989</v>
      </c>
      <c r="Z289" s="98">
        <f>SUM(Z280:Z288)</f>
        <v>401942</v>
      </c>
      <c r="AA289" s="198">
        <f>SUM(AA280:AA288)</f>
        <v>0.99999999999999989</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2215</v>
      </c>
      <c r="Y292" s="192">
        <f>X292/$X$301</f>
        <v>0.99505840071877805</v>
      </c>
      <c r="Z292" s="107">
        <v>399650</v>
      </c>
      <c r="AA292" s="192">
        <f>Z292/$Z$301</f>
        <v>0.99429768474058444</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4</v>
      </c>
      <c r="Y293" s="198">
        <f t="shared" ref="Y293:Y299" si="5">X293/$X$301</f>
        <v>1.7969451931716084E-3</v>
      </c>
      <c r="Z293" s="98">
        <v>569</v>
      </c>
      <c r="AA293" s="198">
        <f t="shared" ref="AA293:AA299" si="6">Z293/$Z$301</f>
        <v>1.4156271302824786E-3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4.4923629829290209E-4</v>
      </c>
      <c r="Z295" s="98">
        <v>100</v>
      </c>
      <c r="AA295" s="198">
        <f t="shared" si="6"/>
        <v>2.487921142851456E-4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4.4923629829290209E-4</v>
      </c>
      <c r="Z296" s="98">
        <v>275</v>
      </c>
      <c r="AA296" s="198">
        <f t="shared" si="6"/>
        <v>6.8417831428415048E-4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4</v>
      </c>
      <c r="Y298" s="198">
        <f>X298/$X$301</f>
        <v>1.7969451931716084E-3</v>
      </c>
      <c r="Z298" s="98">
        <v>1069</v>
      </c>
      <c r="AA298" s="198">
        <f t="shared" si="6"/>
        <v>2.6595877017082064E-3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4.4923629829290209E-4</v>
      </c>
      <c r="Z299" s="98">
        <v>279</v>
      </c>
      <c r="AA299" s="198">
        <f t="shared" si="6"/>
        <v>6.9412999885555624E-4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2226</v>
      </c>
      <c r="Y301" s="198">
        <f>SUM(Y292:Y300)</f>
        <v>0.99999999999999989</v>
      </c>
      <c r="Z301" s="98">
        <f>SUM(Z292:Z300)</f>
        <v>401942</v>
      </c>
      <c r="AA301" s="198">
        <f>SUM(AA292:AA300)</f>
        <v>0.99999999999999989</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2226</v>
      </c>
      <c r="Y337" s="198"/>
      <c r="Z337" s="211">
        <f>+Z335+Z313+Z301</f>
        <v>401942</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3</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401945</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401945</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0.60552576627320209</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JANUARY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6CEEEA59-A586-4AA7-9115-05F6EC04CE8A}"/>
    <hyperlink ref="P349" r:id="rId2" xr:uid="{84DB6056-1840-464B-AA75-DDB391C88FA7}"/>
    <hyperlink ref="P277" r:id="rId3" xr:uid="{73817EE9-C610-4239-96EB-C2AF3F3AA704}"/>
    <hyperlink ref="B357" r:id="rId4" display="https://investorreporting.paragonbankinggroup.co.uk/bondinvestor_viewer/resources/bondinvestor/pdf/investornews/2021/libor-mortgages-transition-july-19" xr:uid="{75748C09-F91D-4549-9A46-BDDEF4C6452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2BB1-4FED-461D-8A86-6C9E7F6FBE1D}">
  <sheetPr>
    <tabColor rgb="FF89CB31"/>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0.23882158188039387</v>
      </c>
      <c r="Z17" s="29" t="s">
        <v>258</v>
      </c>
      <c r="AA17" s="29">
        <v>0.76117841811960607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44701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166902.08257999999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5872.5360799999999</v>
      </c>
      <c r="Q30" s="54"/>
      <c r="R30" s="54">
        <v>0</v>
      </c>
      <c r="S30" s="54"/>
      <c r="T30" s="54" t="s">
        <v>83</v>
      </c>
      <c r="U30" s="54"/>
      <c r="V30" s="54" t="s">
        <v>83</v>
      </c>
      <c r="W30" s="54"/>
      <c r="X30" s="54" t="s">
        <v>83</v>
      </c>
      <c r="Y30" s="54" t="s">
        <v>83</v>
      </c>
      <c r="Z30" s="54"/>
      <c r="AA30" s="49"/>
      <c r="AB30" s="50">
        <f>SUM(D30:N30)</f>
        <v>401945.08257999999</v>
      </c>
      <c r="AC30" s="51"/>
      <c r="AD30" s="22"/>
    </row>
    <row r="31" spans="1:33" s="23" customFormat="1" x14ac:dyDescent="0.3">
      <c r="A31" s="47"/>
      <c r="B31" s="44" t="s">
        <v>92</v>
      </c>
      <c r="C31" s="49"/>
      <c r="D31" s="57">
        <f>D29*D32</f>
        <v>156467.34688999999</v>
      </c>
      <c r="E31" s="57"/>
      <c r="F31" s="57">
        <f>F29</f>
        <v>151540</v>
      </c>
      <c r="G31" s="57"/>
      <c r="H31" s="57">
        <f>H29</f>
        <v>24741</v>
      </c>
      <c r="I31" s="57"/>
      <c r="J31" s="57">
        <f>J29</f>
        <v>18555</v>
      </c>
      <c r="K31" s="57"/>
      <c r="L31" s="57">
        <f>L29</f>
        <v>20102</v>
      </c>
      <c r="M31" s="57"/>
      <c r="N31" s="57">
        <f>N29</f>
        <v>20105</v>
      </c>
      <c r="O31" s="57"/>
      <c r="P31" s="57">
        <f>P29*P32</f>
        <v>5727.6156000000001</v>
      </c>
      <c r="Q31" s="57"/>
      <c r="R31" s="57">
        <v>0</v>
      </c>
      <c r="S31" s="57"/>
      <c r="T31" s="57" t="s">
        <v>83</v>
      </c>
      <c r="U31" s="57"/>
      <c r="V31" s="57" t="s">
        <v>83</v>
      </c>
      <c r="W31" s="57"/>
      <c r="X31" s="57" t="s">
        <v>83</v>
      </c>
      <c r="Y31" s="57" t="s">
        <v>83</v>
      </c>
      <c r="Z31" s="57"/>
      <c r="AA31" s="49"/>
      <c r="AB31" s="56">
        <f>SUM(D31:N31)</f>
        <v>391510.34688999999</v>
      </c>
      <c r="AC31" s="51"/>
      <c r="AD31" s="22"/>
      <c r="AE31" s="235"/>
    </row>
    <row r="32" spans="1:33" s="65" customFormat="1" x14ac:dyDescent="0.3">
      <c r="A32" s="58"/>
      <c r="B32" s="166" t="s">
        <v>88</v>
      </c>
      <c r="C32" s="61"/>
      <c r="D32" s="60">
        <v>0.40800999999999998</v>
      </c>
      <c r="E32" s="60"/>
      <c r="F32" s="60">
        <v>1</v>
      </c>
      <c r="G32" s="60"/>
      <c r="H32" s="60">
        <v>1</v>
      </c>
      <c r="I32" s="60"/>
      <c r="J32" s="60">
        <v>1</v>
      </c>
      <c r="K32" s="60"/>
      <c r="L32" s="60">
        <v>1</v>
      </c>
      <c r="M32" s="60"/>
      <c r="N32" s="60">
        <v>1</v>
      </c>
      <c r="O32" s="60"/>
      <c r="P32" s="60">
        <v>0.56279999999999997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0.43522</v>
      </c>
      <c r="E33" s="60"/>
      <c r="F33" s="60">
        <v>1</v>
      </c>
      <c r="G33" s="60"/>
      <c r="H33" s="60">
        <v>1</v>
      </c>
      <c r="I33" s="60"/>
      <c r="J33" s="60">
        <v>1</v>
      </c>
      <c r="K33" s="60"/>
      <c r="L33" s="60">
        <v>1</v>
      </c>
      <c r="M33" s="60"/>
      <c r="N33" s="60">
        <v>1</v>
      </c>
      <c r="O33" s="60"/>
      <c r="P33" s="60">
        <v>0.57704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1.6511499999999998E-2</v>
      </c>
      <c r="E35" s="241"/>
      <c r="F35" s="241">
        <v>1.80115E-2</v>
      </c>
      <c r="G35" s="241"/>
      <c r="H35" s="241">
        <v>2.5011499999999999E-2</v>
      </c>
      <c r="I35" s="241"/>
      <c r="J35" s="241">
        <v>2.8511499999999999E-2</v>
      </c>
      <c r="K35" s="241"/>
      <c r="L35" s="241">
        <v>3.2011499999999998E-2</v>
      </c>
      <c r="M35" s="241"/>
      <c r="N35" s="241">
        <v>4.20115E-2</v>
      </c>
      <c r="O35" s="241"/>
      <c r="P35" s="241">
        <v>4.6011499999999997E-2</v>
      </c>
      <c r="Q35" s="241"/>
      <c r="R35" s="241">
        <v>4.6011499999999997E-2</v>
      </c>
      <c r="S35" s="68"/>
      <c r="T35" s="68" t="s">
        <v>83</v>
      </c>
      <c r="U35" s="68"/>
      <c r="V35" s="68" t="s">
        <v>83</v>
      </c>
      <c r="W35" s="68"/>
      <c r="X35" s="68" t="s">
        <v>83</v>
      </c>
      <c r="Y35" s="68" t="s">
        <v>83</v>
      </c>
      <c r="Z35" s="68"/>
      <c r="AA35" s="40"/>
      <c r="AB35" s="67">
        <f>SUMPRODUCT(D35:N35,D30:N30)/AB30</f>
        <v>2.0204857785275386E-2</v>
      </c>
      <c r="AC35" s="43"/>
      <c r="AD35" s="22"/>
    </row>
    <row r="36" spans="1:30" s="23" customFormat="1" x14ac:dyDescent="0.3">
      <c r="A36" s="47"/>
      <c r="B36" s="40" t="s">
        <v>10</v>
      </c>
      <c r="C36" s="69"/>
      <c r="D36" s="241">
        <v>1.19656E-2</v>
      </c>
      <c r="E36" s="241"/>
      <c r="F36" s="241">
        <v>1.3465599999999999E-2</v>
      </c>
      <c r="G36" s="241"/>
      <c r="H36" s="241">
        <v>2.04656E-2</v>
      </c>
      <c r="I36" s="241"/>
      <c r="J36" s="241">
        <v>2.39656E-2</v>
      </c>
      <c r="K36" s="241"/>
      <c r="L36" s="241">
        <v>2.74656E-2</v>
      </c>
      <c r="M36" s="241"/>
      <c r="N36" s="241">
        <v>3.7465600000000002E-2</v>
      </c>
      <c r="O36" s="241"/>
      <c r="P36" s="241">
        <v>4.1465599999999998E-2</v>
      </c>
      <c r="Q36" s="241"/>
      <c r="R36" s="241">
        <v>4.1465599999999998E-2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0.27110716949820612</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44697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44515</v>
      </c>
      <c r="AA48" s="77"/>
      <c r="AB48" s="76">
        <v>44606</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90</v>
      </c>
      <c r="Y49" s="40"/>
      <c r="Z49" s="76">
        <v>44607</v>
      </c>
      <c r="AA49" s="77"/>
      <c r="AB49" s="76">
        <v>44696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44696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367</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401942</v>
      </c>
      <c r="S58" s="238"/>
      <c r="T58" s="237">
        <f>151+182</f>
        <v>333</v>
      </c>
      <c r="U58" s="237"/>
      <c r="V58" s="237">
        <v>10101</v>
      </c>
      <c r="W58" s="238"/>
      <c r="X58" s="238">
        <v>0</v>
      </c>
      <c r="Y58" s="238"/>
      <c r="Z58" s="238">
        <v>0</v>
      </c>
      <c r="AA58" s="238"/>
      <c r="AB58" s="237">
        <f>R58-T58-V58+X58-Z58</f>
        <v>391508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401942</v>
      </c>
      <c r="S61" s="238"/>
      <c r="T61" s="238">
        <f>T58+T59</f>
        <v>333</v>
      </c>
      <c r="U61" s="238"/>
      <c r="V61" s="238">
        <f>SUM(V58:V60)</f>
        <v>10101</v>
      </c>
      <c r="W61" s="238"/>
      <c r="X61" s="238">
        <f>SUM(X58:X60)</f>
        <v>0</v>
      </c>
      <c r="Y61" s="238"/>
      <c r="Z61" s="238">
        <f>SUM(Z58:Z60)</f>
        <v>0</v>
      </c>
      <c r="AA61" s="238"/>
      <c r="AB61" s="238">
        <f>SUM(AB58:AB60)</f>
        <v>391508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-1</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401945</v>
      </c>
      <c r="S67" s="238"/>
      <c r="T67" s="238"/>
      <c r="U67" s="238"/>
      <c r="V67" s="238"/>
      <c r="W67" s="238"/>
      <c r="X67" s="238"/>
      <c r="Y67" s="238"/>
      <c r="Z67" s="238"/>
      <c r="AA67" s="238"/>
      <c r="AB67" s="238">
        <f>SUM(AB61:AB66)</f>
        <v>391510</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44680</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+T58+V58+Z58-2</f>
        <v>10432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3162+1476-349-445</f>
        <v>3844</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50+80</f>
        <v>130</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16</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145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1278</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10435</v>
      </c>
      <c r="AA84" s="40"/>
      <c r="AB84" s="97">
        <f>SUM(AB71:AB83)</f>
        <v>5413</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10435</v>
      </c>
      <c r="AA87" s="40"/>
      <c r="AB87" s="97">
        <f>AB84+AB85+AB86</f>
        <v>5413</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-197-13-7</f>
        <v>-217</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-65</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-679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-674</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-153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-130</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-159</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v>
      </c>
      <c r="AA101" s="112"/>
      <c r="AB101" s="98">
        <v>-2</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-2500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-208</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-145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-10-89</f>
        <v>-99</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-289</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-10435</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-10435</v>
      </c>
      <c r="AA130" s="97"/>
      <c r="AB130" s="97">
        <f>SUM(AB88:AB128)</f>
        <v>-5413</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22'!AB146</f>
        <v>5293.5499999999993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-145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5148.5499999999993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22'!AB198</f>
        <v>1159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2278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1278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2159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22'!AB206</f>
        <v>2497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2278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2500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2719</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22'!Y213</f>
        <v>0</v>
      </c>
      <c r="Z211" s="98">
        <f>+'January 22'!Z213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341665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349569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-7904</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6.8999999999999999E-3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3.7908351810790837</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3.54</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24.679738562091504</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26.7</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27.869230769230768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29.53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21.968553459119498</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23.11</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16.028846153846153</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16.38</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44680</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3.8624740391855671E-2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2.0204857785275386E-2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1.8419882606580285E-2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1.3467016631628706E-2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15.948900060959035</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2.5958775454353208E-2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0.1472</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2</v>
      </c>
      <c r="Z261" s="162">
        <f>+Z313</f>
        <v>173</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22'!Z267+Z266</f>
        <v>16</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2142</v>
      </c>
      <c r="Y280" s="192">
        <f>X280/$X$289</f>
        <v>0.99535315985130113</v>
      </c>
      <c r="Z280" s="107">
        <f t="shared" ref="Z280:Z287" si="2">+Z292+Z304+Z326</f>
        <v>389269</v>
      </c>
      <c r="AA280" s="192">
        <f t="shared" ref="AA280:AA287" si="3">Z280/$Z$289</f>
        <v>0.99428108748735655</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1.3940520446096654E-3</v>
      </c>
      <c r="Z281" s="197">
        <f t="shared" si="2"/>
        <v>522</v>
      </c>
      <c r="AA281" s="198">
        <f t="shared" si="3"/>
        <v>1.3333060882536245E-3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2</v>
      </c>
      <c r="Y283" s="200">
        <f t="shared" si="4"/>
        <v>9.2936802973977691E-4</v>
      </c>
      <c r="Z283" s="131">
        <f t="shared" si="2"/>
        <v>365</v>
      </c>
      <c r="AA283" s="198">
        <f t="shared" si="3"/>
        <v>9.3229257128845386E-4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3</v>
      </c>
      <c r="Y286" s="202">
        <f t="shared" si="4"/>
        <v>1.3940520446096654E-3</v>
      </c>
      <c r="Z286" s="203">
        <f t="shared" si="2"/>
        <v>664</v>
      </c>
      <c r="AA286" s="198">
        <f t="shared" si="3"/>
        <v>1.6960062118781735E-3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2</v>
      </c>
      <c r="Y287" s="198">
        <f t="shared" si="4"/>
        <v>9.2936802973977691E-4</v>
      </c>
      <c r="Z287" s="107">
        <f t="shared" si="2"/>
        <v>688</v>
      </c>
      <c r="AA287" s="198">
        <f t="shared" si="3"/>
        <v>1.7573076412231679E-3</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2152</v>
      </c>
      <c r="Y289" s="198">
        <f>SUM(Y280:Y288)</f>
        <v>0.99999999999999989</v>
      </c>
      <c r="Z289" s="98">
        <f>SUM(Z280:Z288)</f>
        <v>391508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2142</v>
      </c>
      <c r="Y292" s="192">
        <f>X292/$X$301</f>
        <v>0.99627906976744185</v>
      </c>
      <c r="Z292" s="107">
        <v>389269</v>
      </c>
      <c r="AA292" s="192">
        <f>Z292/$Z$301</f>
        <v>0.99472063577242009</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1.3953488372093023E-3</v>
      </c>
      <c r="Z293" s="98">
        <v>522</v>
      </c>
      <c r="AA293" s="198">
        <f t="shared" ref="AA293:AA299" si="6">Z293/$Z$301</f>
        <v>1.3338955115182645E-3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4.6511627906976747E-4</v>
      </c>
      <c r="Z295" s="98">
        <v>275</v>
      </c>
      <c r="AA295" s="198">
        <f t="shared" si="6"/>
        <v>7.0272273116383664E-4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9.3023255813953494E-4</v>
      </c>
      <c r="Z298" s="98">
        <v>581</v>
      </c>
      <c r="AA298" s="198">
        <f t="shared" si="6"/>
        <v>1.484661479295233E-3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2</v>
      </c>
      <c r="Y299" s="198">
        <f t="shared" si="5"/>
        <v>9.3023255813953494E-4</v>
      </c>
      <c r="Z299" s="98">
        <v>688</v>
      </c>
      <c r="AA299" s="198">
        <f t="shared" si="6"/>
        <v>1.7580845056026167E-3</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2150</v>
      </c>
      <c r="Y301" s="198">
        <f>SUM(Y292:Y300)</f>
        <v>0.99999999999999989</v>
      </c>
      <c r="Z301" s="98">
        <f>SUM(Z292:Z300)</f>
        <v>391335</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1</v>
      </c>
      <c r="Y307" s="198">
        <f>X307/X313</f>
        <v>0.5</v>
      </c>
      <c r="Z307" s="98">
        <v>90</v>
      </c>
      <c r="AA307" s="198">
        <f>Z307/Z313</f>
        <v>0.52023121387283233</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X310/X313</f>
        <v>0.5</v>
      </c>
      <c r="Z310" s="98">
        <v>83</v>
      </c>
      <c r="AA310" s="198">
        <f>Z310/Z313</f>
        <v>0.47976878612716761</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2</v>
      </c>
      <c r="Y313" s="198">
        <f>SUM(Y304:Y312)</f>
        <v>1</v>
      </c>
      <c r="Z313" s="98">
        <f>SUM(Z304:Z312)</f>
        <v>173</v>
      </c>
      <c r="AA313" s="198">
        <f>SUM(AA304:AA312)</f>
        <v>1</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302">
        <v>2</v>
      </c>
      <c r="Y316" s="303">
        <f>X316/X323</f>
        <v>1</v>
      </c>
      <c r="Z316" s="304">
        <v>173</v>
      </c>
      <c r="AA316" s="303">
        <f>Z316/Z323</f>
        <v>1</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v>0</v>
      </c>
      <c r="Z317" s="304">
        <v>0</v>
      </c>
      <c r="AA317" s="303">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v>0</v>
      </c>
      <c r="Z320" s="304">
        <v>0</v>
      </c>
      <c r="AA320" s="303">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2</v>
      </c>
      <c r="Y323" s="277">
        <f>SUM(Y316:Y321)</f>
        <v>1</v>
      </c>
      <c r="Z323" s="278">
        <f>SUM(Z316:Z321)</f>
        <v>173</v>
      </c>
      <c r="AA323" s="277">
        <f>SUM(AA316:AA322)</f>
        <v>1</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2152</v>
      </c>
      <c r="Y337" s="198"/>
      <c r="Z337" s="211">
        <f>+Z335+Z313+Z301</f>
        <v>391508</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2</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391510</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391510</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0.62033192551290739</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APRIL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84BA829C-C68D-44E0-B6CE-626F5C7F49EA}"/>
    <hyperlink ref="P349" r:id="rId2" xr:uid="{ED7DB386-AF93-4D99-AA2E-926AC033C125}"/>
    <hyperlink ref="P277" r:id="rId3" xr:uid="{D281576E-7160-4808-9770-4517EF71C820}"/>
    <hyperlink ref="B357" r:id="rId4" display="https://investorreporting.paragonbankinggroup.co.uk/bondinvestor_viewer/resources/bondinvestor/pdf/investornews/2021/libor-mortgages-transition-july-19" xr:uid="{60D0FAEF-C17E-48C4-B0C8-D10DF352AC6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E5452-B6CD-45ED-9F4F-5EC6EE13ED2D}">
  <sheetPr>
    <tabColor rgb="FF2D2926"/>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0.26022498908875075</v>
      </c>
      <c r="Z17" s="29" t="s">
        <v>258</v>
      </c>
      <c r="AA17" s="29">
        <v>0.7397750109112492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44792</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156467.34688999999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5727.6156000000001</v>
      </c>
      <c r="Q30" s="54"/>
      <c r="R30" s="54">
        <v>0</v>
      </c>
      <c r="S30" s="54"/>
      <c r="T30" s="54" t="s">
        <v>83</v>
      </c>
      <c r="U30" s="54"/>
      <c r="V30" s="54" t="s">
        <v>83</v>
      </c>
      <c r="W30" s="54"/>
      <c r="X30" s="54" t="s">
        <v>83</v>
      </c>
      <c r="Y30" s="54" t="s">
        <v>83</v>
      </c>
      <c r="Z30" s="54"/>
      <c r="AA30" s="49"/>
      <c r="AB30" s="50">
        <f>SUM(D30:N30)</f>
        <v>391510.34688999999</v>
      </c>
      <c r="AC30" s="51"/>
      <c r="AD30" s="22"/>
    </row>
    <row r="31" spans="1:33" s="23" customFormat="1" x14ac:dyDescent="0.3">
      <c r="A31" s="47"/>
      <c r="B31" s="44" t="s">
        <v>92</v>
      </c>
      <c r="C31" s="49"/>
      <c r="D31" s="57">
        <f>D29*D32</f>
        <v>113585.60691</v>
      </c>
      <c r="E31" s="57"/>
      <c r="F31" s="57">
        <f>F29</f>
        <v>151540</v>
      </c>
      <c r="G31" s="57"/>
      <c r="H31" s="57">
        <f>H29</f>
        <v>24741</v>
      </c>
      <c r="I31" s="57"/>
      <c r="J31" s="57">
        <f>J29</f>
        <v>18555</v>
      </c>
      <c r="K31" s="57"/>
      <c r="L31" s="57">
        <f>L29</f>
        <v>20102</v>
      </c>
      <c r="M31" s="57"/>
      <c r="N31" s="57">
        <f>N29</f>
        <v>20105</v>
      </c>
      <c r="O31" s="57"/>
      <c r="P31" s="57">
        <f>P29*P32</f>
        <v>5571.0933400000004</v>
      </c>
      <c r="Q31" s="57"/>
      <c r="R31" s="57">
        <v>0</v>
      </c>
      <c r="S31" s="57"/>
      <c r="T31" s="57" t="s">
        <v>83</v>
      </c>
      <c r="U31" s="57"/>
      <c r="V31" s="57" t="s">
        <v>83</v>
      </c>
      <c r="W31" s="57"/>
      <c r="X31" s="57" t="s">
        <v>83</v>
      </c>
      <c r="Y31" s="57" t="s">
        <v>83</v>
      </c>
      <c r="Z31" s="57"/>
      <c r="AA31" s="49"/>
      <c r="AB31" s="56">
        <f>SUM(D31:N31)-1</f>
        <v>348627.60690999997</v>
      </c>
      <c r="AC31" s="51"/>
      <c r="AD31" s="22"/>
      <c r="AE31" s="235"/>
    </row>
    <row r="32" spans="1:33" s="65" customFormat="1" x14ac:dyDescent="0.3">
      <c r="A32" s="58"/>
      <c r="B32" s="166" t="s">
        <v>88</v>
      </c>
      <c r="C32" s="61"/>
      <c r="D32" s="60">
        <v>0.29619000000000001</v>
      </c>
      <c r="E32" s="60"/>
      <c r="F32" s="60">
        <v>1</v>
      </c>
      <c r="G32" s="60"/>
      <c r="H32" s="60">
        <v>1</v>
      </c>
      <c r="I32" s="60"/>
      <c r="J32" s="60">
        <v>1</v>
      </c>
      <c r="K32" s="60"/>
      <c r="L32" s="60">
        <v>1</v>
      </c>
      <c r="M32" s="60"/>
      <c r="N32" s="60">
        <v>1</v>
      </c>
      <c r="O32" s="60"/>
      <c r="P32" s="60">
        <v>0.54742000000000002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0.40800999999999998</v>
      </c>
      <c r="E33" s="60"/>
      <c r="F33" s="60">
        <v>1</v>
      </c>
      <c r="G33" s="60"/>
      <c r="H33" s="60">
        <v>1</v>
      </c>
      <c r="I33" s="60"/>
      <c r="J33" s="60">
        <v>1</v>
      </c>
      <c r="K33" s="60"/>
      <c r="L33" s="60">
        <v>1</v>
      </c>
      <c r="M33" s="60"/>
      <c r="N33" s="60">
        <v>1</v>
      </c>
      <c r="O33" s="60"/>
      <c r="P33" s="60">
        <v>0.56279999999999997</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2.1589299999999999E-2</v>
      </c>
      <c r="E35" s="241"/>
      <c r="F35" s="241">
        <v>2.30893E-2</v>
      </c>
      <c r="G35" s="241"/>
      <c r="H35" s="241">
        <v>3.0089299999999999E-2</v>
      </c>
      <c r="I35" s="241"/>
      <c r="J35" s="241">
        <v>3.3589300000000002E-2</v>
      </c>
      <c r="K35" s="241"/>
      <c r="L35" s="241">
        <v>3.7089299999999999E-2</v>
      </c>
      <c r="M35" s="241"/>
      <c r="N35" s="241">
        <v>4.7089300000000001E-2</v>
      </c>
      <c r="O35" s="241"/>
      <c r="P35" s="241">
        <v>5.1089299999999997E-2</v>
      </c>
      <c r="Q35" s="241"/>
      <c r="R35" s="241">
        <v>5.1089299999999997E-2</v>
      </c>
      <c r="S35" s="68"/>
      <c r="T35" s="68" t="s">
        <v>83</v>
      </c>
      <c r="U35" s="68"/>
      <c r="V35" s="68" t="s">
        <v>83</v>
      </c>
      <c r="W35" s="68"/>
      <c r="X35" s="68" t="s">
        <v>83</v>
      </c>
      <c r="Y35" s="68" t="s">
        <v>83</v>
      </c>
      <c r="Z35" s="68"/>
      <c r="AA35" s="40"/>
      <c r="AB35" s="67">
        <f>SUMPRODUCT(D35:N35,D30:N30)/AB30</f>
        <v>2.5381095061848259E-2</v>
      </c>
      <c r="AC35" s="43"/>
      <c r="AD35" s="22"/>
    </row>
    <row r="36" spans="1:30" s="23" customFormat="1" x14ac:dyDescent="0.3">
      <c r="A36" s="47"/>
      <c r="B36" s="40" t="s">
        <v>10</v>
      </c>
      <c r="C36" s="69"/>
      <c r="D36" s="241">
        <v>1.6511499999999998E-2</v>
      </c>
      <c r="E36" s="241"/>
      <c r="F36" s="241">
        <v>1.80115E-2</v>
      </c>
      <c r="G36" s="241"/>
      <c r="H36" s="241">
        <v>2.5011499999999999E-2</v>
      </c>
      <c r="I36" s="241"/>
      <c r="J36" s="241">
        <v>2.8511499999999999E-2</v>
      </c>
      <c r="K36" s="241"/>
      <c r="L36" s="241">
        <v>3.2011499999999998E-2</v>
      </c>
      <c r="M36" s="241"/>
      <c r="N36" s="241">
        <v>4.20115E-2</v>
      </c>
      <c r="O36" s="241"/>
      <c r="P36" s="241">
        <v>4.6011499999999997E-2</v>
      </c>
      <c r="Q36" s="241"/>
      <c r="R36" s="241">
        <v>4.6011499999999997E-2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0.3149563747282475</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44788</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90</v>
      </c>
      <c r="Y48" s="40"/>
      <c r="Z48" s="76">
        <v>44607</v>
      </c>
      <c r="AA48" s="77"/>
      <c r="AB48" s="76">
        <v>44696</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44697</v>
      </c>
      <c r="AA49" s="77"/>
      <c r="AB49" s="76">
        <v>44787</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44787</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391508</v>
      </c>
      <c r="S58" s="238"/>
      <c r="T58" s="237">
        <f>151+175</f>
        <v>326</v>
      </c>
      <c r="U58" s="237"/>
      <c r="V58" s="237">
        <v>42556</v>
      </c>
      <c r="W58" s="238"/>
      <c r="X58" s="238">
        <v>0</v>
      </c>
      <c r="Y58" s="238"/>
      <c r="Z58" s="238">
        <v>0</v>
      </c>
      <c r="AA58" s="238"/>
      <c r="AB58" s="237">
        <f>R58-T58-V58+X58-Z58</f>
        <v>348626</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391508</v>
      </c>
      <c r="S61" s="238"/>
      <c r="T61" s="238">
        <f>T58+T59</f>
        <v>326</v>
      </c>
      <c r="U61" s="238"/>
      <c r="V61" s="238">
        <f>SUM(V58:V60)</f>
        <v>42556</v>
      </c>
      <c r="W61" s="238"/>
      <c r="X61" s="238">
        <f>SUM(X58:X60)</f>
        <v>0</v>
      </c>
      <c r="Y61" s="238"/>
      <c r="Z61" s="238">
        <f>SUM(Z58:Z60)</f>
        <v>0</v>
      </c>
      <c r="AA61" s="238"/>
      <c r="AB61" s="238">
        <f>SUM(AB58:AB60)</f>
        <v>348626</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0</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391510</v>
      </c>
      <c r="S67" s="238"/>
      <c r="T67" s="238"/>
      <c r="U67" s="238"/>
      <c r="V67" s="238"/>
      <c r="W67" s="238"/>
      <c r="X67" s="238"/>
      <c r="Y67" s="238"/>
      <c r="Z67" s="238"/>
      <c r="AA67" s="238"/>
      <c r="AB67" s="238">
        <f>SUM(AB61:AB66)</f>
        <v>348628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44771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+T58+V58+Z58-20</f>
        <v>42862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4366+1464-1453-440</f>
        <v>3937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257+44</f>
        <v>301</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67</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1667</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42864</v>
      </c>
      <c r="AA84" s="40"/>
      <c r="AB84" s="97">
        <f>SUM(AB71:AB83)</f>
        <v>6129</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42864</v>
      </c>
      <c r="AA87" s="40"/>
      <c r="AB87" s="97">
        <f>AB84+AB85+AB86</f>
        <v>6129</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-198-9-7</f>
        <v>-214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211</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-842</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-873</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-186</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-155</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-186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20</v>
      </c>
      <c r="AA101" s="112"/>
      <c r="AB101" s="98">
        <v>-20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-2900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-236</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-372</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-42882</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-42882</v>
      </c>
      <c r="AA130" s="97"/>
      <c r="AB130" s="97">
        <f>SUM(AB88:AB128)</f>
        <v>-6129</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22'!AB146</f>
        <v>5148.5499999999993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-157</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4991.5499999999993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22'!AB198</f>
        <v>2159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2663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1667</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3155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22'!AB206</f>
        <v>2719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2663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2900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2956</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22'!Y213</f>
        <v>0</v>
      </c>
      <c r="Z211" s="98">
        <f>+'April 22'!Z213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373</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228299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234748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-6449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7.2599800386792196E-3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3.5708454810495627</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3.54</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23.704301075268816</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26.38</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27.245161290322581</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29.29</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21.870967741935484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22.98</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16.449152542372882</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16.39</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44771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4.1099927277327232E-2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2.5381095061848259E-2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1.5718832215478973E-2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(+AB87+AB89+AB92)/R67</f>
        <v>1.6193711527164058E-2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15.602482762033716</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0.10952976935455033</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0.1678</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1</v>
      </c>
      <c r="Z260" s="157">
        <v>279</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2</v>
      </c>
      <c r="Z261" s="162">
        <f>+Z313</f>
        <v>220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22'!Z267+Z266</f>
        <v>36</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1</v>
      </c>
      <c r="Z273" s="162">
        <v>204</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1.95</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1939</v>
      </c>
      <c r="Y280" s="192">
        <f>X280/$X$289</f>
        <v>0.99640287769784175</v>
      </c>
      <c r="Z280" s="107">
        <f t="shared" ref="Z280:Z287" si="2">+Z292+Z304+Z326</f>
        <v>346909</v>
      </c>
      <c r="AA280" s="192">
        <f t="shared" ref="AA280:AA287" si="3">Z280/$Z$289</f>
        <v>0.99507495138056257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0</v>
      </c>
      <c r="Y281" s="196">
        <f t="shared" ref="Y281:Y287" si="4">X281/$X$289</f>
        <v>0</v>
      </c>
      <c r="Z281" s="197">
        <f t="shared" si="2"/>
        <v>0</v>
      </c>
      <c r="AA281" s="198">
        <f t="shared" si="3"/>
        <v>0</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5.1387461459403907E-4</v>
      </c>
      <c r="Z283" s="131">
        <f t="shared" si="2"/>
        <v>275</v>
      </c>
      <c r="AA283" s="198">
        <f t="shared" si="3"/>
        <v>7.8881093205899729E-4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5.1387461459403907E-4</v>
      </c>
      <c r="Z285" s="131">
        <f t="shared" si="2"/>
        <v>443</v>
      </c>
      <c r="AA285" s="198">
        <f t="shared" si="3"/>
        <v>1.2707027014623121E-3</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4</v>
      </c>
      <c r="Y286" s="202">
        <f t="shared" si="4"/>
        <v>2.0554984583761563E-3</v>
      </c>
      <c r="Z286" s="203">
        <f t="shared" si="2"/>
        <v>720</v>
      </c>
      <c r="AA286" s="198">
        <f t="shared" si="3"/>
        <v>2.0652504402999205E-3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5.1387461459403907E-4</v>
      </c>
      <c r="Z287" s="107">
        <f t="shared" si="2"/>
        <v>279</v>
      </c>
      <c r="AA287" s="198">
        <f t="shared" si="3"/>
        <v>8.0028454561621915E-4</v>
      </c>
      <c r="AB287" s="163"/>
      <c r="AC287" s="306"/>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1946</v>
      </c>
      <c r="Y289" s="198">
        <f>SUM(Y280:Y288)</f>
        <v>1</v>
      </c>
      <c r="Z289" s="98">
        <f>SUM(Z280:Z288)</f>
        <v>348626</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1939</v>
      </c>
      <c r="Y292" s="192">
        <f>X292/$X$301</f>
        <v>0.99742798353909468</v>
      </c>
      <c r="Z292" s="107">
        <v>346909</v>
      </c>
      <c r="AA292" s="192">
        <f>Z292/$Z$301</f>
        <v>0.99570328869192837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ref="Y293:Y299" si="5">X293/$X$301</f>
        <v>0</v>
      </c>
      <c r="Z293" s="98">
        <v>0</v>
      </c>
      <c r="AA293" s="198">
        <f t="shared" ref="AA293:AA299" si="6">Z293/$Z$301</f>
        <v>0</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5.1440329218107E-4</v>
      </c>
      <c r="Z295" s="98">
        <v>275</v>
      </c>
      <c r="AA295" s="198">
        <f t="shared" si="6"/>
        <v>7.8930902452885429E-4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5.1440329218107E-4</v>
      </c>
      <c r="Z297" s="98">
        <v>443</v>
      </c>
      <c r="AA297" s="198">
        <f t="shared" si="6"/>
        <v>1.2715050831501179E-3</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1.02880658436214E-3</v>
      </c>
      <c r="Z298" s="98">
        <v>500</v>
      </c>
      <c r="AA298" s="198">
        <f t="shared" si="6"/>
        <v>1.4351073173251895E-3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5.1440329218107E-4</v>
      </c>
      <c r="Z299" s="98">
        <v>279</v>
      </c>
      <c r="AA299" s="198">
        <f t="shared" si="6"/>
        <v>8.0078988306745574E-4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1944</v>
      </c>
      <c r="Y301" s="198">
        <f>SUM(Y292:Y300)</f>
        <v>1</v>
      </c>
      <c r="Z301" s="98">
        <f>SUM(Z292:Z300)</f>
        <v>348406</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f>X307/X313</f>
        <v>0</v>
      </c>
      <c r="Z307" s="98">
        <v>0</v>
      </c>
      <c r="AA307" s="198">
        <f>Z307/Z313</f>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2</v>
      </c>
      <c r="Y310" s="198">
        <f>X310/X313</f>
        <v>1</v>
      </c>
      <c r="Z310" s="98">
        <v>220</v>
      </c>
      <c r="AA310" s="198">
        <f>Z310/Z313</f>
        <v>1</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2</v>
      </c>
      <c r="Y313" s="198">
        <f>SUM(Y304:Y312)</f>
        <v>1</v>
      </c>
      <c r="Z313" s="98">
        <f>SUM(Z304:Z312)</f>
        <v>220</v>
      </c>
      <c r="AA313" s="198">
        <f>SUM(AA304:AA312)</f>
        <v>1</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302">
        <v>2</v>
      </c>
      <c r="Y316" s="303">
        <f>X316/X323</f>
        <v>1</v>
      </c>
      <c r="Z316" s="304">
        <v>220</v>
      </c>
      <c r="AA316" s="303">
        <f>Z316/Z323</f>
        <v>1</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v>0</v>
      </c>
      <c r="Z317" s="304">
        <v>0</v>
      </c>
      <c r="AA317" s="303">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v>0</v>
      </c>
      <c r="Z320" s="304">
        <v>0</v>
      </c>
      <c r="AA320" s="303">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2</v>
      </c>
      <c r="Y323" s="277">
        <f>SUM(Y316:Y321)</f>
        <v>1</v>
      </c>
      <c r="Z323" s="278">
        <f>SUM(Z316:Z321)</f>
        <v>220</v>
      </c>
      <c r="AA323" s="277">
        <f>SUM(AA316:AA322)</f>
        <v>1</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1946</v>
      </c>
      <c r="Y337" s="198"/>
      <c r="Z337" s="211">
        <f>+Z335+Z313+Z301</f>
        <v>348626</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2</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348628</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348628</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0.69048542219332543</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JULY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374</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3FB5A212-9CF7-4B91-B7FD-95741C75FD48}"/>
    <hyperlink ref="P349" r:id="rId2" xr:uid="{AE0BD0CE-7F34-4930-85F3-DFC552205557}"/>
    <hyperlink ref="P277" r:id="rId3" xr:uid="{ECFA8DB0-A7DD-4FCA-A174-E78EED57908E}"/>
    <hyperlink ref="B357" r:id="rId4" display="https://investorreporting.paragonbankinggroup.co.uk/bondinvestor_viewer/resources/bondinvestor/pdf/investornews/2021/libor-mortgages-transition-july-19" xr:uid="{E1F93CF6-DA65-4625-983C-B4528AC38B1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3696-842E-4B3A-8655-EB5BDDBC5453}">
  <sheetPr>
    <tabColor rgb="FF89CB31"/>
  </sheetPr>
  <dimension ref="A1:JB358"/>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0.29798628762665264</v>
      </c>
      <c r="Z17" s="29" t="s">
        <v>258</v>
      </c>
      <c r="AA17" s="29">
        <v>0.70201371237334742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44887</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113585.60691</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5571.0933400000004</v>
      </c>
      <c r="Q30" s="54"/>
      <c r="R30" s="54">
        <v>0</v>
      </c>
      <c r="S30" s="54"/>
      <c r="T30" s="54" t="s">
        <v>83</v>
      </c>
      <c r="U30" s="54"/>
      <c r="V30" s="54" t="s">
        <v>83</v>
      </c>
      <c r="W30" s="54"/>
      <c r="X30" s="54" t="s">
        <v>83</v>
      </c>
      <c r="Y30" s="54" t="s">
        <v>83</v>
      </c>
      <c r="Z30" s="54"/>
      <c r="AA30" s="49"/>
      <c r="AB30" s="50">
        <f>SUM(D30:N30)-1</f>
        <v>348627.60690999997</v>
      </c>
      <c r="AC30" s="51"/>
      <c r="AD30" s="22"/>
    </row>
    <row r="31" spans="1:33" s="23" customFormat="1" x14ac:dyDescent="0.3">
      <c r="A31" s="47"/>
      <c r="B31" s="44" t="s">
        <v>92</v>
      </c>
      <c r="C31" s="49"/>
      <c r="D31" s="57">
        <f>D29*D32</f>
        <v>55920.365980000002</v>
      </c>
      <c r="E31" s="57"/>
      <c r="F31" s="57">
        <f>F29</f>
        <v>151540</v>
      </c>
      <c r="G31" s="57"/>
      <c r="H31" s="57">
        <f>H29</f>
        <v>24741</v>
      </c>
      <c r="I31" s="57"/>
      <c r="J31" s="57">
        <f>J29</f>
        <v>18555</v>
      </c>
      <c r="K31" s="57"/>
      <c r="L31" s="57">
        <f>L29</f>
        <v>20102</v>
      </c>
      <c r="M31" s="57"/>
      <c r="N31" s="57">
        <f>N29</f>
        <v>20105</v>
      </c>
      <c r="O31" s="57"/>
      <c r="P31" s="57">
        <f>P29*P32</f>
        <v>4927.9069399999998</v>
      </c>
      <c r="Q31" s="57"/>
      <c r="R31" s="57">
        <v>0</v>
      </c>
      <c r="S31" s="57"/>
      <c r="T31" s="57" t="s">
        <v>83</v>
      </c>
      <c r="U31" s="57"/>
      <c r="V31" s="57" t="s">
        <v>83</v>
      </c>
      <c r="W31" s="57"/>
      <c r="X31" s="57" t="s">
        <v>83</v>
      </c>
      <c r="Y31" s="57" t="s">
        <v>83</v>
      </c>
      <c r="Z31" s="57"/>
      <c r="AA31" s="49"/>
      <c r="AB31" s="56">
        <f>SUM(D31:N31)</f>
        <v>290963.36598</v>
      </c>
      <c r="AC31" s="51"/>
      <c r="AD31" s="22"/>
      <c r="AE31" s="235"/>
    </row>
    <row r="32" spans="1:33" s="65" customFormat="1" x14ac:dyDescent="0.3">
      <c r="A32" s="58"/>
      <c r="B32" s="166" t="s">
        <v>88</v>
      </c>
      <c r="C32" s="61"/>
      <c r="D32" s="60">
        <v>0.14582000000000001</v>
      </c>
      <c r="E32" s="60"/>
      <c r="F32" s="60">
        <v>1</v>
      </c>
      <c r="G32" s="60"/>
      <c r="H32" s="60">
        <v>1</v>
      </c>
      <c r="I32" s="60"/>
      <c r="J32" s="60">
        <v>1</v>
      </c>
      <c r="K32" s="60"/>
      <c r="L32" s="60">
        <v>1</v>
      </c>
      <c r="M32" s="60"/>
      <c r="N32" s="60">
        <v>1</v>
      </c>
      <c r="O32" s="60"/>
      <c r="P32" s="60">
        <v>0.48421999999999998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0.29619000000000001</v>
      </c>
      <c r="E33" s="60"/>
      <c r="F33" s="60">
        <v>1</v>
      </c>
      <c r="G33" s="60"/>
      <c r="H33" s="60">
        <v>1</v>
      </c>
      <c r="I33" s="60"/>
      <c r="J33" s="60">
        <v>1</v>
      </c>
      <c r="K33" s="60"/>
      <c r="L33" s="60">
        <v>1</v>
      </c>
      <c r="M33" s="60"/>
      <c r="N33" s="60">
        <v>1</v>
      </c>
      <c r="O33" s="60"/>
      <c r="P33" s="60">
        <v>0.54742000000000002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3.03906E-2</v>
      </c>
      <c r="E35" s="241"/>
      <c r="F35" s="241">
        <v>3.1890599999999998E-2</v>
      </c>
      <c r="G35" s="241"/>
      <c r="H35" s="241">
        <v>3.8890599999999997E-2</v>
      </c>
      <c r="I35" s="241"/>
      <c r="J35" s="241">
        <v>4.2390600000000001E-2</v>
      </c>
      <c r="K35" s="241"/>
      <c r="L35" s="241">
        <v>4.5890599999999997E-2</v>
      </c>
      <c r="M35" s="241"/>
      <c r="N35" s="241">
        <v>5.5890599999999999E-2</v>
      </c>
      <c r="O35" s="241"/>
      <c r="P35" s="241">
        <v>5.9890600000000002E-2</v>
      </c>
      <c r="Q35" s="241"/>
      <c r="R35" s="241">
        <v>5.9890600000000002E-2</v>
      </c>
      <c r="S35" s="68"/>
      <c r="T35" s="68" t="s">
        <v>83</v>
      </c>
      <c r="U35" s="68"/>
      <c r="V35" s="68" t="s">
        <v>83</v>
      </c>
      <c r="W35" s="68"/>
      <c r="X35" s="68" t="s">
        <v>83</v>
      </c>
      <c r="Y35" s="68" t="s">
        <v>83</v>
      </c>
      <c r="Z35" s="68"/>
      <c r="AA35" s="40"/>
      <c r="AB35" s="67">
        <f>SUMPRODUCT(D35:N35,D30:N30)/AB30</f>
        <v>3.4648889823224602E-2</v>
      </c>
      <c r="AC35" s="43"/>
      <c r="AD35" s="22"/>
    </row>
    <row r="36" spans="1:30" s="23" customFormat="1" x14ac:dyDescent="0.3">
      <c r="A36" s="47"/>
      <c r="B36" s="40" t="s">
        <v>10</v>
      </c>
      <c r="C36" s="69"/>
      <c r="D36" s="241">
        <v>2.1589299999999999E-2</v>
      </c>
      <c r="E36" s="241"/>
      <c r="F36" s="241">
        <v>2.30893E-2</v>
      </c>
      <c r="G36" s="241"/>
      <c r="H36" s="241">
        <v>3.0089299999999999E-2</v>
      </c>
      <c r="I36" s="241"/>
      <c r="J36" s="241">
        <v>3.3589300000000002E-2</v>
      </c>
      <c r="K36" s="241"/>
      <c r="L36" s="241">
        <v>3.7089299999999999E-2</v>
      </c>
      <c r="M36" s="241"/>
      <c r="N36" s="241">
        <v>4.7089300000000001E-2</v>
      </c>
      <c r="O36" s="241"/>
      <c r="P36" s="241">
        <v>5.1089299999999997E-2</v>
      </c>
      <c r="Q36" s="241"/>
      <c r="R36" s="241">
        <v>5.1089299999999997E-2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0.40250097702059401</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44880</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44697</v>
      </c>
      <c r="AA48" s="77"/>
      <c r="AB48" s="76">
        <v>44787</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44788</v>
      </c>
      <c r="AA49" s="77"/>
      <c r="AB49" s="76">
        <v>44879</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44879</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375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348626</v>
      </c>
      <c r="S58" s="238"/>
      <c r="T58" s="237">
        <f>145+149</f>
        <v>294</v>
      </c>
      <c r="U58" s="237"/>
      <c r="V58" s="237">
        <v>57369</v>
      </c>
      <c r="W58" s="238"/>
      <c r="X58" s="238">
        <v>0</v>
      </c>
      <c r="Y58" s="238"/>
      <c r="Z58" s="238">
        <v>0</v>
      </c>
      <c r="AA58" s="238"/>
      <c r="AB58" s="237">
        <f>R58-T58-V58+X58-Z58</f>
        <v>290963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348626</v>
      </c>
      <c r="S61" s="238"/>
      <c r="T61" s="238">
        <f>T58+T59</f>
        <v>294</v>
      </c>
      <c r="U61" s="238"/>
      <c r="V61" s="238">
        <f>SUM(V58:V60)</f>
        <v>57369</v>
      </c>
      <c r="W61" s="238"/>
      <c r="X61" s="238">
        <f>SUM(X58:X60)</f>
        <v>0</v>
      </c>
      <c r="Y61" s="238"/>
      <c r="Z61" s="238">
        <f>SUM(Z58:Z60)</f>
        <v>0</v>
      </c>
      <c r="AA61" s="238"/>
      <c r="AB61" s="238">
        <f>SUM(AB58:AB60)</f>
        <v>290963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-2</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348628</v>
      </c>
      <c r="S67" s="238"/>
      <c r="T67" s="238"/>
      <c r="U67" s="238"/>
      <c r="V67" s="238"/>
      <c r="W67" s="238"/>
      <c r="X67" s="238"/>
      <c r="Y67" s="238"/>
      <c r="Z67" s="238"/>
      <c r="AA67" s="238"/>
      <c r="AB67" s="238">
        <f>SUM(AB61:AB66)</f>
        <v>290963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44865</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+T58+V58+Z58+19</f>
        <v>57682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2974+1324-34-314</f>
        <v>3950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327+62</f>
        <v>389</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157</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643</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918</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1664</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57684</v>
      </c>
      <c r="AA84" s="40"/>
      <c r="AB84" s="97">
        <f>SUM(AB71:AB83)</f>
        <v>7721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57684</v>
      </c>
      <c r="AA87" s="40"/>
      <c r="AB87" s="97">
        <f>AB84+AB85+AB86</f>
        <v>7721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-176-38-5</f>
        <v>-219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160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-871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-1217</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-243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-198</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-19</v>
      </c>
      <c r="AA101" s="112"/>
      <c r="AB101" s="98">
        <v>19</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-3100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-84</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-643</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-683</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-57665</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-57665</v>
      </c>
      <c r="AA130" s="97"/>
      <c r="AB130" s="97">
        <f>SUM(AB88:AB128)</f>
        <v>-7721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22'!AB146</f>
        <v>4991.5499999999993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-643</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4348.5499999999993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-19</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-19</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19</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59" t="s">
        <v>376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f>AB197</f>
        <v>918</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918</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22'!AB198</f>
        <v>3155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2938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918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1664</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3511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+'July 22'!AB206</f>
        <v>2956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2938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3100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3118</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+'July 22'!Y213</f>
        <v>0</v>
      </c>
      <c r="Z212" s="98">
        <f>+'July 22'!Z213</f>
        <v>5</v>
      </c>
      <c r="AA212" s="40"/>
      <c r="AB212" s="98">
        <f>Y212+Z212</f>
        <v>5</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5</v>
      </c>
      <c r="AA214" s="40"/>
      <c r="AB214" s="98">
        <f>Y214+Z214</f>
        <v>5</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98960.12</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233799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238049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-4250</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1.7389141722983701E-2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3.6685823754789273</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3.55</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22.930041152263374</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25.95</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26.914141414141415</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29.02</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22.021459227467812</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22.88</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17.307420494699645</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16.48</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OCTOBER 2022</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44865</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4.2995419807044834E-2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3.4648889823224602E-2</v>
      </c>
      <c r="AA245" s="40"/>
      <c r="AB245" s="40"/>
      <c r="AC245" s="43"/>
      <c r="AD245" s="22"/>
    </row>
    <row r="246" spans="1:30" s="23" customFormat="1" x14ac:dyDescent="0.3">
      <c r="A246" s="47"/>
      <c r="B246" s="40" t="s">
        <v>46</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Z244-Z245</f>
        <v>8.346529983820232E-3</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2.2605757426253772E-2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15.21730450332222</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0.16539979577085032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0.20039999999999999</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1</v>
      </c>
      <c r="Z261" s="157">
        <v>279</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2</v>
      </c>
      <c r="Z262" s="162">
        <f>+Z314</f>
        <v>220</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-19</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'July 22'!Z267+Z267</f>
        <v>17</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0"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0"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0"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0"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0"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0"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0"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0"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1674</v>
      </c>
      <c r="Y281" s="192">
        <f>X281/$X$290</f>
        <v>0.99524375743162896</v>
      </c>
      <c r="Z281" s="107">
        <f t="shared" ref="Z281:Z288" si="2">+Z293+Z305+Z327</f>
        <v>288698</v>
      </c>
      <c r="AA281" s="192">
        <f t="shared" ref="AA281:AA288" si="3">Z281/$Z$290</f>
        <v>0.99221550506421774</v>
      </c>
      <c r="AB281" s="158"/>
      <c r="AC281" s="193"/>
      <c r="AD281" s="22"/>
    </row>
    <row r="282" spans="1:30"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1.1890606420927466E-3</v>
      </c>
      <c r="Z282" s="197">
        <f t="shared" si="2"/>
        <v>580</v>
      </c>
      <c r="AA282" s="198">
        <f t="shared" si="3"/>
        <v>1.9933806016572556E-3</v>
      </c>
      <c r="AB282" s="163"/>
      <c r="AC282" s="175"/>
      <c r="AD282" s="22"/>
    </row>
    <row r="283" spans="1:30"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5.9453032104637331E-4</v>
      </c>
      <c r="Z283" s="131">
        <f t="shared" si="2"/>
        <v>443</v>
      </c>
      <c r="AA283" s="198">
        <f t="shared" si="3"/>
        <v>1.5225303560933864E-3</v>
      </c>
      <c r="AB283" s="163"/>
      <c r="AC283" s="175"/>
      <c r="AD283" s="22"/>
    </row>
    <row r="284" spans="1:30"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5.9453032104637331E-4</v>
      </c>
      <c r="Z284" s="131">
        <f t="shared" si="2"/>
        <v>333</v>
      </c>
      <c r="AA284" s="198">
        <f t="shared" si="3"/>
        <v>1.1444754143997691E-3</v>
      </c>
      <c r="AB284" s="163"/>
      <c r="AC284" s="175"/>
      <c r="AD284" s="22"/>
    </row>
    <row r="285" spans="1:30"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0</v>
      </c>
      <c r="Y286" s="200">
        <f t="shared" si="4"/>
        <v>0</v>
      </c>
      <c r="Z286" s="131">
        <f t="shared" si="2"/>
        <v>0</v>
      </c>
      <c r="AA286" s="198">
        <f t="shared" si="3"/>
        <v>0</v>
      </c>
      <c r="AB286" s="163"/>
      <c r="AC286" s="175"/>
      <c r="AD286" s="22"/>
    </row>
    <row r="287" spans="1:30"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3</v>
      </c>
      <c r="Y287" s="202">
        <f t="shared" si="4"/>
        <v>1.7835909631391202E-3</v>
      </c>
      <c r="Z287" s="203">
        <f t="shared" si="2"/>
        <v>630</v>
      </c>
      <c r="AA287" s="198">
        <f t="shared" si="3"/>
        <v>2.1652237569725358E-3</v>
      </c>
      <c r="AB287" s="163"/>
      <c r="AC287" s="175"/>
      <c r="AD287" s="22"/>
    </row>
    <row r="288" spans="1:30"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5.9453032104637331E-4</v>
      </c>
      <c r="Z288" s="107">
        <f t="shared" si="2"/>
        <v>279</v>
      </c>
      <c r="AA288" s="198">
        <f t="shared" si="3"/>
        <v>9.5888480665926598E-4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1682</v>
      </c>
      <c r="Y290" s="198">
        <f>SUM(Y281:Y289)</f>
        <v>1</v>
      </c>
      <c r="Z290" s="98">
        <f>SUM(Z281:Z289)</f>
        <v>290963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1674</v>
      </c>
      <c r="Y293" s="192">
        <f>X293/$X$302</f>
        <v>0.99642857142857144</v>
      </c>
      <c r="Z293" s="107">
        <v>288698</v>
      </c>
      <c r="AA293" s="192">
        <f>Z293/$Z$302</f>
        <v>0.99296629669501935</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1.1904761904761906E-3</v>
      </c>
      <c r="Z294" s="98">
        <v>580</v>
      </c>
      <c r="AA294" s="198">
        <f t="shared" ref="AA294:AA300" si="6">Z294/$Z$302</f>
        <v>1.9948889569138379E-3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5.9523809523809529E-4</v>
      </c>
      <c r="Z295" s="98">
        <v>443</v>
      </c>
      <c r="AA295" s="198">
        <f t="shared" si="6"/>
        <v>1.5236824274359143E-3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5.9523809523809529E-4</v>
      </c>
      <c r="Z296" s="98">
        <v>333</v>
      </c>
      <c r="AA296" s="198">
        <f t="shared" si="6"/>
        <v>1.1453414183660484E-3</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5.9523809523809529E-4</v>
      </c>
      <c r="Z299" s="98">
        <v>410</v>
      </c>
      <c r="AA299" s="198">
        <f t="shared" si="6"/>
        <v>1.4101801247149545E-3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1</v>
      </c>
      <c r="Y300" s="198">
        <f t="shared" si="5"/>
        <v>5.9523809523809529E-4</v>
      </c>
      <c r="Z300" s="98">
        <v>279</v>
      </c>
      <c r="AA300" s="198">
        <f t="shared" si="6"/>
        <v>9.5961037754993246E-4</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1680</v>
      </c>
      <c r="Y302" s="198">
        <f>SUM(Y293:Y301)</f>
        <v>1</v>
      </c>
      <c r="Z302" s="98">
        <f>SUM(Z293:Z301)</f>
        <v>290743</v>
      </c>
      <c r="AA302" s="198">
        <f>SUM(AA293:AA301)</f>
        <v>1</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2</v>
      </c>
      <c r="Y311" s="198">
        <f>X311/X314</f>
        <v>1</v>
      </c>
      <c r="Z311" s="98">
        <v>220</v>
      </c>
      <c r="AA311" s="198">
        <f>Z311/Z314</f>
        <v>1</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2</v>
      </c>
      <c r="Y314" s="198">
        <f>SUM(Y305:Y313)</f>
        <v>1</v>
      </c>
      <c r="Z314" s="98">
        <f>SUM(Z305:Z313)</f>
        <v>220</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1</v>
      </c>
      <c r="Y320" s="303">
        <f>X320/X324</f>
        <v>0.5</v>
      </c>
      <c r="Z320" s="304">
        <v>83</v>
      </c>
      <c r="AA320" s="303">
        <f>Z320/Z324</f>
        <v>0.37727272727272726</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1</v>
      </c>
      <c r="Y322" s="303">
        <f>X322/X324</f>
        <v>0.5</v>
      </c>
      <c r="Z322" s="304">
        <v>137</v>
      </c>
      <c r="AA322" s="303">
        <f>Z322/Z324</f>
        <v>0.62272727272727268</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2</v>
      </c>
      <c r="Y324" s="277">
        <f>SUM(Y317:Y322)</f>
        <v>1</v>
      </c>
      <c r="Z324" s="278">
        <f>SUM(Z317:Z322)</f>
        <v>220</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1682</v>
      </c>
      <c r="Y338" s="198"/>
      <c r="Z338" s="211">
        <f>+Z336+Z314+Z302</f>
        <v>290963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0</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290963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290963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0.81741911906307951</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OCTOBER 2022</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sheetData>
  <hyperlinks>
    <hyperlink ref="K9" r:id="rId1" display="http://www.paragon-group.co.uk" xr:uid="{1D919F72-9CDE-4DFA-AC7C-1F7F44E23EA8}"/>
    <hyperlink ref="P350" r:id="rId2" xr:uid="{265DD814-40CA-4F62-AF0A-06273B03B272}"/>
    <hyperlink ref="P278" r:id="rId3" xr:uid="{B530071F-9A8E-4614-B2DF-88973EC961EA}"/>
    <hyperlink ref="B358" r:id="rId4" display="https://investorreporting.paragonbankinggroup.co.uk/bondinvestor_viewer/resources/bondinvestor/pdf/investornews/2021/libor-mortgages-transition-july-19" xr:uid="{252CB688-6EF6-4B2D-A435-F2FE09AB0E4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C3D68-13CF-4F5C-97D6-3A434C564E97}">
  <sheetPr>
    <tabColor rgb="FF2D2926"/>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0.29905831564698382</v>
      </c>
      <c r="Z17" s="29" t="s">
        <v>258</v>
      </c>
      <c r="AA17" s="29">
        <v>0.70094168435301618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44979</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55920.365980000002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4927.9069399999998</v>
      </c>
      <c r="Q30" s="54"/>
      <c r="R30" s="54">
        <v>0</v>
      </c>
      <c r="S30" s="54"/>
      <c r="T30" s="54" t="s">
        <v>83</v>
      </c>
      <c r="U30" s="54"/>
      <c r="V30" s="54" t="s">
        <v>83</v>
      </c>
      <c r="W30" s="54"/>
      <c r="X30" s="54" t="s">
        <v>83</v>
      </c>
      <c r="Y30" s="54" t="s">
        <v>83</v>
      </c>
      <c r="Z30" s="54"/>
      <c r="AA30" s="49"/>
      <c r="AB30" s="50">
        <f>SUM(D30:N30)</f>
        <v>290963.36598</v>
      </c>
      <c r="AC30" s="51"/>
      <c r="AD30" s="22"/>
    </row>
    <row r="31" spans="1:33" s="23" customFormat="1" x14ac:dyDescent="0.3">
      <c r="A31" s="47"/>
      <c r="B31" s="44" t="s">
        <v>92</v>
      </c>
      <c r="C31" s="49"/>
      <c r="D31" s="57">
        <f>D29*D32</f>
        <v>42310.341370000002</v>
      </c>
      <c r="E31" s="57"/>
      <c r="F31" s="57">
        <f>F29</f>
        <v>151540</v>
      </c>
      <c r="G31" s="57"/>
      <c r="H31" s="57">
        <f>H29</f>
        <v>24741</v>
      </c>
      <c r="I31" s="57"/>
      <c r="J31" s="57">
        <f>J29</f>
        <v>18555</v>
      </c>
      <c r="K31" s="57"/>
      <c r="L31" s="57">
        <f>L29</f>
        <v>20102</v>
      </c>
      <c r="M31" s="57"/>
      <c r="N31" s="57">
        <f>N29</f>
        <v>20105</v>
      </c>
      <c r="O31" s="57"/>
      <c r="P31" s="57">
        <f>P29*P32</f>
        <v>4062.9637099999995</v>
      </c>
      <c r="Q31" s="57"/>
      <c r="R31" s="57">
        <v>0</v>
      </c>
      <c r="S31" s="57"/>
      <c r="T31" s="57" t="s">
        <v>83</v>
      </c>
      <c r="U31" s="57"/>
      <c r="V31" s="57" t="s">
        <v>83</v>
      </c>
      <c r="W31" s="57"/>
      <c r="X31" s="57" t="s">
        <v>83</v>
      </c>
      <c r="Y31" s="57" t="s">
        <v>83</v>
      </c>
      <c r="Z31" s="57"/>
      <c r="AA31" s="49"/>
      <c r="AB31" s="56">
        <f>SUM(D31:N31)</f>
        <v>277353.34137000004</v>
      </c>
      <c r="AC31" s="51"/>
      <c r="AD31" s="22"/>
      <c r="AE31" s="235"/>
    </row>
    <row r="32" spans="1:33" s="65" customFormat="1" x14ac:dyDescent="0.3">
      <c r="A32" s="58"/>
      <c r="B32" s="166" t="s">
        <v>88</v>
      </c>
      <c r="C32" s="61"/>
      <c r="D32" s="60">
        <v>0.11033</v>
      </c>
      <c r="E32" s="60"/>
      <c r="F32" s="60">
        <v>1</v>
      </c>
      <c r="G32" s="60"/>
      <c r="H32" s="60">
        <v>1</v>
      </c>
      <c r="I32" s="60"/>
      <c r="J32" s="60">
        <v>1</v>
      </c>
      <c r="K32" s="60"/>
      <c r="L32" s="60">
        <v>1</v>
      </c>
      <c r="M32" s="60"/>
      <c r="N32" s="60">
        <v>1</v>
      </c>
      <c r="O32" s="60"/>
      <c r="P32" s="60">
        <v>0.39922999999999997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0.14582000000000001</v>
      </c>
      <c r="E33" s="60"/>
      <c r="F33" s="60">
        <v>1</v>
      </c>
      <c r="G33" s="60"/>
      <c r="H33" s="60">
        <v>1</v>
      </c>
      <c r="I33" s="60"/>
      <c r="J33" s="60">
        <v>1</v>
      </c>
      <c r="K33" s="60"/>
      <c r="L33" s="60">
        <v>1</v>
      </c>
      <c r="M33" s="60"/>
      <c r="N33" s="60">
        <v>1</v>
      </c>
      <c r="O33" s="60"/>
      <c r="P33" s="60">
        <v>0.48421999999999998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4.3221700000000002E-2</v>
      </c>
      <c r="E35" s="241"/>
      <c r="F35" s="241">
        <v>4.4721700000000003E-2</v>
      </c>
      <c r="G35" s="241"/>
      <c r="H35" s="241">
        <v>5.1721700000000002E-2</v>
      </c>
      <c r="I35" s="241"/>
      <c r="J35" s="241">
        <v>5.5221699999999999E-2</v>
      </c>
      <c r="K35" s="241"/>
      <c r="L35" s="241">
        <v>5.8721700000000002E-2</v>
      </c>
      <c r="M35" s="241"/>
      <c r="N35" s="241">
        <v>6.8721699999999997E-2</v>
      </c>
      <c r="O35" s="241"/>
      <c r="P35" s="241">
        <v>7.27217E-2</v>
      </c>
      <c r="Q35" s="241"/>
      <c r="R35" s="241">
        <v>7.27217E-2</v>
      </c>
      <c r="S35" s="68"/>
      <c r="T35" s="68" t="s">
        <v>83</v>
      </c>
      <c r="U35" s="68"/>
      <c r="V35" s="68" t="s">
        <v>83</v>
      </c>
      <c r="W35" s="68"/>
      <c r="X35" s="68" t="s">
        <v>83</v>
      </c>
      <c r="Y35" s="68" t="s">
        <v>83</v>
      </c>
      <c r="Z35" s="68"/>
      <c r="AA35" s="40"/>
      <c r="AB35" s="67">
        <f>SUMPRODUCT(D35:N35,D30:N30)/AB30</f>
        <v>4.8323809659062862E-2</v>
      </c>
      <c r="AC35" s="43"/>
      <c r="AD35" s="22"/>
    </row>
    <row r="36" spans="1:30" s="23" customFormat="1" x14ac:dyDescent="0.3">
      <c r="A36" s="47"/>
      <c r="B36" s="40" t="s">
        <v>10</v>
      </c>
      <c r="C36" s="69"/>
      <c r="D36" s="241">
        <v>3.03906E-2</v>
      </c>
      <c r="E36" s="241"/>
      <c r="F36" s="241">
        <v>3.1890599999999998E-2</v>
      </c>
      <c r="G36" s="241"/>
      <c r="H36" s="241">
        <v>3.8890599999999997E-2</v>
      </c>
      <c r="I36" s="241"/>
      <c r="J36" s="241">
        <v>4.2390600000000001E-2</v>
      </c>
      <c r="K36" s="241"/>
      <c r="L36" s="241">
        <v>4.5890599999999997E-2</v>
      </c>
      <c r="M36" s="241"/>
      <c r="N36" s="241">
        <v>5.5890599999999999E-2</v>
      </c>
      <c r="O36" s="241"/>
      <c r="P36" s="241">
        <v>5.9890600000000002E-2</v>
      </c>
      <c r="Q36" s="241"/>
      <c r="R36" s="241">
        <v>5.9890600000000002E-2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0.43076013903229987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44972</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44788</v>
      </c>
      <c r="AA48" s="77"/>
      <c r="AB48" s="76">
        <v>44879</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44880</v>
      </c>
      <c r="AA49" s="77"/>
      <c r="AB49" s="76">
        <v>44971</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44971</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380</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290963</v>
      </c>
      <c r="S58" s="238"/>
      <c r="T58" s="237">
        <f>139+139</f>
        <v>278</v>
      </c>
      <c r="U58" s="237"/>
      <c r="V58" s="237">
        <v>13334</v>
      </c>
      <c r="W58" s="238"/>
      <c r="X58" s="238">
        <v>0</v>
      </c>
      <c r="Y58" s="238"/>
      <c r="Z58" s="238">
        <v>0</v>
      </c>
      <c r="AA58" s="238"/>
      <c r="AB58" s="237">
        <f>R58-T58-V58+X58-Z58</f>
        <v>277351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290963</v>
      </c>
      <c r="S61" s="238"/>
      <c r="T61" s="238">
        <f>T58+T59</f>
        <v>278</v>
      </c>
      <c r="U61" s="238"/>
      <c r="V61" s="238">
        <f>SUM(V58:V60)</f>
        <v>13334</v>
      </c>
      <c r="W61" s="238"/>
      <c r="X61" s="238">
        <f>SUM(X58:X60)</f>
        <v>0</v>
      </c>
      <c r="Y61" s="238"/>
      <c r="Z61" s="238">
        <f>SUM(Z58:Z60)</f>
        <v>0</v>
      </c>
      <c r="AA61" s="238"/>
      <c r="AB61" s="238">
        <f>SUM(AB58:AB60)</f>
        <v>277351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2</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290963</v>
      </c>
      <c r="S67" s="238"/>
      <c r="T67" s="238"/>
      <c r="U67" s="238"/>
      <c r="V67" s="238"/>
      <c r="W67" s="238"/>
      <c r="X67" s="238"/>
      <c r="Y67" s="238"/>
      <c r="Z67" s="238"/>
      <c r="AA67" s="238"/>
      <c r="AB67" s="238">
        <f>SUM(AB61:AB66)</f>
        <v>277353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44957</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13613</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2310+1508-234-367</f>
        <v>3217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116+20</f>
        <v>136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243</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865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431</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4013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13613</v>
      </c>
      <c r="AA84" s="40"/>
      <c r="AB84" s="97">
        <f>SUM(AB71:AB83)</f>
        <v>8905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13613</v>
      </c>
      <c r="AA87" s="40"/>
      <c r="AB87" s="97">
        <f>AB84+AB85+AB86</f>
        <v>8905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-147-16-5</f>
        <v>-168</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859</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-609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-1708</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-322</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-258</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-297</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-1039</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-348</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-90</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-865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-12-89</f>
        <v>-101</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-934</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-13610</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-13610</v>
      </c>
      <c r="AA130" s="97"/>
      <c r="AB130" s="97">
        <f>SUM(AB88:AB128)</f>
        <v>-8905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22'!AB146</f>
        <v>4348.5499999999993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-865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3483.5499999999993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22'!AB159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f>AB197+AB189</f>
        <v>1470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431</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1039</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f>-AB102</f>
        <v>1039</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+AB187-AB102</f>
        <v>1339</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22'!AB199</f>
        <v>3511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3067</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131</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4013</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2434</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+'October 22'!AB207</f>
        <v>3118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3067</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3000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3051</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+'October 22'!Y213</f>
        <v>0</v>
      </c>
      <c r="Z212" s="98">
        <f>+'October 22'!Z213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231763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231700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1.80859794428283E-2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4.1406991799741046</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3.62</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22.599378881987576</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25.48</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26.95736434108527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28.74</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22.54882154882155</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22.84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18.390804597701148</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16.7</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JANUARY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44957</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4.3328860297760903E-2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4.8323809659062862E-2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3.3557531369968002E-2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14.93502302744835</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4.6782580603032003E-2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0.19869999999999999</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553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'October 22'!Z268+Z267</f>
        <v>16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1610</v>
      </c>
      <c r="Y281" s="192">
        <f>X281/$X$290</f>
        <v>0.99567099567099571</v>
      </c>
      <c r="Z281" s="107">
        <f t="shared" ref="Z281:Z288" si="2">+Z293+Z305+Z327</f>
        <v>275590</v>
      </c>
      <c r="AA281" s="192">
        <f t="shared" ref="AA281:AA288" si="3">Z281/$Z$290</f>
        <v>0.99365064485074872</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1.2368583797155227E-3</v>
      </c>
      <c r="Z282" s="197">
        <f t="shared" si="2"/>
        <v>372</v>
      </c>
      <c r="AA282" s="198">
        <f t="shared" si="3"/>
        <v>1.3412607129593909E-3</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6.1842918985776133E-4</v>
      </c>
      <c r="Z283" s="131">
        <f t="shared" si="2"/>
        <v>426</v>
      </c>
      <c r="AA283" s="198">
        <f t="shared" si="3"/>
        <v>1.5359598487115604E-3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2</v>
      </c>
      <c r="Y286" s="200">
        <f t="shared" si="4"/>
        <v>1.2368583797155227E-3</v>
      </c>
      <c r="Z286" s="131">
        <f t="shared" si="2"/>
        <v>416</v>
      </c>
      <c r="AA286" s="198">
        <f t="shared" si="3"/>
        <v>1.4999044532018994E-3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6.1842918985776133E-4</v>
      </c>
      <c r="Z287" s="203">
        <f t="shared" si="2"/>
        <v>410</v>
      </c>
      <c r="AA287" s="198">
        <f t="shared" si="3"/>
        <v>1.4782712158961028E-3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6.1842918985776133E-4</v>
      </c>
      <c r="Z288" s="107">
        <f t="shared" si="2"/>
        <v>137</v>
      </c>
      <c r="AA288" s="198">
        <f t="shared" si="3"/>
        <v>4.9395891848235632E-4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1617</v>
      </c>
      <c r="Y290" s="198">
        <f>SUM(Y281:Y289)</f>
        <v>1</v>
      </c>
      <c r="Z290" s="98">
        <f>SUM(Z281:Z289)</f>
        <v>277351</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1610</v>
      </c>
      <c r="Y293" s="192">
        <f>X293/$X$302</f>
        <v>0.99752168525402729</v>
      </c>
      <c r="Z293" s="107">
        <v>275590</v>
      </c>
      <c r="AA293" s="192">
        <f>Z293/$Z$302</f>
        <v>0.99563580661709983</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1.2391573729863693E-3</v>
      </c>
      <c r="Z294" s="98">
        <v>372</v>
      </c>
      <c r="AA294" s="198">
        <f t="shared" ref="AA294:AA300" si="6">Z294/$Z$302</f>
        <v>1.3439403463897861E-3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6.1957868649318464E-4</v>
      </c>
      <c r="Z295" s="98">
        <v>426</v>
      </c>
      <c r="AA295" s="198">
        <f t="shared" si="6"/>
        <v>1.5390284611883035E-3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6.1957868649318464E-4</v>
      </c>
      <c r="Z299" s="98">
        <v>410</v>
      </c>
      <c r="AA299" s="198">
        <f t="shared" si="6"/>
        <v>1.481224575322076E-3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1614</v>
      </c>
      <c r="Y302" s="198">
        <f>SUM(Y293:Y301)</f>
        <v>1</v>
      </c>
      <c r="Z302" s="98">
        <f>SUM(Z293:Z301)</f>
        <v>276798</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2</v>
      </c>
      <c r="Y310" s="198">
        <f>X310/X314</f>
        <v>0.66666666666666663</v>
      </c>
      <c r="Z310" s="98">
        <v>416</v>
      </c>
      <c r="AA310" s="198">
        <f>Z310/Z314</f>
        <v>0.75226039783001808</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f>X311/X314</f>
        <v>0</v>
      </c>
      <c r="Z311" s="98">
        <v>0</v>
      </c>
      <c r="AA311" s="198">
        <f>Z311/Z314</f>
        <v>0</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0.33333333333333331</v>
      </c>
      <c r="Z312" s="98">
        <v>137</v>
      </c>
      <c r="AA312" s="198">
        <f>Z312/Z314</f>
        <v>0.24773960216998192</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553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1</v>
      </c>
      <c r="Y317" s="303">
        <f>X317/X324</f>
        <v>0.33333333333333331</v>
      </c>
      <c r="Z317" s="304">
        <v>137</v>
      </c>
      <c r="AA317" s="303">
        <f>Z317/Z324</f>
        <v>0.24773960216998192</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1</v>
      </c>
      <c r="Y319" s="303">
        <f>X319/X324</f>
        <v>0.33333333333333331</v>
      </c>
      <c r="Z319" s="304">
        <v>333</v>
      </c>
      <c r="AA319" s="303">
        <f>Z319/Z324</f>
        <v>0.60216998191681737</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1</v>
      </c>
      <c r="Y320" s="303">
        <f>X320/X324</f>
        <v>0.33333333333333331</v>
      </c>
      <c r="Z320" s="304">
        <v>83</v>
      </c>
      <c r="AA320" s="303">
        <f>Z320/Z324</f>
        <v>0.15009041591320071</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553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1617</v>
      </c>
      <c r="Y338" s="198"/>
      <c r="Z338" s="211">
        <f>+Z336+Z314+Z302</f>
        <v>277351</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2</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277353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277353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0.85507719466094834</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JANUARY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DBDEC4B7-44E6-44B7-A6EF-211D4FE2CDA5}"/>
    <hyperlink ref="P350" r:id="rId2" xr:uid="{FCB7E145-1095-462F-B741-7091628AE4DB}"/>
    <hyperlink ref="P278" r:id="rId3" xr:uid="{27D4F964-92ED-4165-86E3-4EF60DA9C414}"/>
    <hyperlink ref="B358" r:id="rId4" display="https://investorreporting.paragonbankinggroup.co.uk/bondinvestor_viewer/resources/bondinvestor/pdf/investornews/2021/libor-mortgages-transition-july-19" xr:uid="{7C4CD846-5264-496E-A3B6-F0127242A67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0534-7648-4C32-9D77-9634AF0FA1D4}">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0.29233392420751642</v>
      </c>
      <c r="Z17" s="29" t="s">
        <v>258</v>
      </c>
      <c r="AA17" s="29">
        <v>0.70766607579248375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45065</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42310.341370000002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4062.9637099999995</v>
      </c>
      <c r="Q30" s="54"/>
      <c r="R30" s="54">
        <v>0</v>
      </c>
      <c r="S30" s="54"/>
      <c r="T30" s="54" t="s">
        <v>83</v>
      </c>
      <c r="U30" s="54"/>
      <c r="V30" s="54" t="s">
        <v>83</v>
      </c>
      <c r="W30" s="54"/>
      <c r="X30" s="54" t="s">
        <v>83</v>
      </c>
      <c r="Y30" s="54" t="s">
        <v>83</v>
      </c>
      <c r="Z30" s="54"/>
      <c r="AA30" s="49"/>
      <c r="AB30" s="50">
        <f>SUM(D30:N30)</f>
        <v>277353.34137000004</v>
      </c>
      <c r="AC30" s="51"/>
      <c r="AD30" s="22"/>
    </row>
    <row r="31" spans="1:33" s="23" customFormat="1" x14ac:dyDescent="0.3">
      <c r="A31" s="47"/>
      <c r="B31" s="44" t="s">
        <v>92</v>
      </c>
      <c r="C31" s="49"/>
      <c r="D31" s="57">
        <f>D29*D32</f>
        <v>34402.798190000001</v>
      </c>
      <c r="E31" s="57"/>
      <c r="F31" s="57">
        <f>F29</f>
        <v>151540</v>
      </c>
      <c r="G31" s="57"/>
      <c r="H31" s="57">
        <f>H29</f>
        <v>24741</v>
      </c>
      <c r="I31" s="57"/>
      <c r="J31" s="57">
        <f>J29</f>
        <v>18555</v>
      </c>
      <c r="K31" s="57"/>
      <c r="L31" s="57">
        <f>L29</f>
        <v>20102</v>
      </c>
      <c r="M31" s="57"/>
      <c r="N31" s="57">
        <f>N29</f>
        <v>20105</v>
      </c>
      <c r="O31" s="57"/>
      <c r="P31" s="57">
        <f>P29*P32</f>
        <v>3858.7113199999999</v>
      </c>
      <c r="Q31" s="57"/>
      <c r="R31" s="57">
        <v>0</v>
      </c>
      <c r="S31" s="57"/>
      <c r="T31" s="57" t="s">
        <v>83</v>
      </c>
      <c r="U31" s="57"/>
      <c r="V31" s="57" t="s">
        <v>83</v>
      </c>
      <c r="W31" s="57"/>
      <c r="X31" s="57" t="s">
        <v>83</v>
      </c>
      <c r="Y31" s="57" t="s">
        <v>83</v>
      </c>
      <c r="Z31" s="57"/>
      <c r="AA31" s="49"/>
      <c r="AB31" s="56">
        <f>SUM(D31:N31)</f>
        <v>269445.79819</v>
      </c>
      <c r="AC31" s="51"/>
      <c r="AD31" s="22"/>
      <c r="AE31" s="235"/>
    </row>
    <row r="32" spans="1:33" s="65" customFormat="1" x14ac:dyDescent="0.3">
      <c r="A32" s="58"/>
      <c r="B32" s="166" t="s">
        <v>88</v>
      </c>
      <c r="C32" s="61"/>
      <c r="D32" s="60">
        <v>8.9709999999999998E-2</v>
      </c>
      <c r="E32" s="60"/>
      <c r="F32" s="60">
        <v>1</v>
      </c>
      <c r="G32" s="60"/>
      <c r="H32" s="60">
        <v>1</v>
      </c>
      <c r="I32" s="60"/>
      <c r="J32" s="60">
        <v>1</v>
      </c>
      <c r="K32" s="60"/>
      <c r="L32" s="60">
        <v>1</v>
      </c>
      <c r="M32" s="60"/>
      <c r="N32" s="60">
        <v>1</v>
      </c>
      <c r="O32" s="60"/>
      <c r="P32" s="60">
        <v>0.37916</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0.11033</v>
      </c>
      <c r="E33" s="60"/>
      <c r="F33" s="60">
        <v>1</v>
      </c>
      <c r="G33" s="60"/>
      <c r="H33" s="60">
        <v>1</v>
      </c>
      <c r="I33" s="60"/>
      <c r="J33" s="60">
        <v>1</v>
      </c>
      <c r="K33" s="60"/>
      <c r="L33" s="60">
        <v>1</v>
      </c>
      <c r="M33" s="60"/>
      <c r="N33" s="60">
        <v>1</v>
      </c>
      <c r="O33" s="60"/>
      <c r="P33" s="60">
        <v>0.39922999999999997</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5.1260699999999999E-2</v>
      </c>
      <c r="E35" s="241"/>
      <c r="F35" s="241">
        <v>5.2760700000000001E-2</v>
      </c>
      <c r="G35" s="241"/>
      <c r="H35" s="241">
        <v>5.97607E-2</v>
      </c>
      <c r="I35" s="241"/>
      <c r="J35" s="241">
        <v>6.3260700000000003E-2</v>
      </c>
      <c r="K35" s="241"/>
      <c r="L35" s="241">
        <v>6.6760700000000006E-2</v>
      </c>
      <c r="M35" s="241"/>
      <c r="N35" s="241">
        <v>7.6760700000000001E-2</v>
      </c>
      <c r="O35" s="241"/>
      <c r="P35" s="241">
        <v>8.0760700000000005E-2</v>
      </c>
      <c r="Q35" s="241"/>
      <c r="R35" s="241">
        <v>8.0760700000000005E-2</v>
      </c>
      <c r="S35" s="68"/>
      <c r="T35" s="68" t="s">
        <v>83</v>
      </c>
      <c r="U35" s="68"/>
      <c r="V35" s="68" t="s">
        <v>83</v>
      </c>
      <c r="W35" s="68"/>
      <c r="X35" s="68" t="s">
        <v>83</v>
      </c>
      <c r="Y35" s="68" t="s">
        <v>83</v>
      </c>
      <c r="Z35" s="68"/>
      <c r="AA35" s="40"/>
      <c r="AB35" s="67">
        <f>SUMPRODUCT(D35:N35,D30:N30)/AB30</f>
        <v>5.66131756279016E-2</v>
      </c>
      <c r="AC35" s="43"/>
      <c r="AD35" s="22"/>
    </row>
    <row r="36" spans="1:30" s="23" customFormat="1" x14ac:dyDescent="0.3">
      <c r="A36" s="47"/>
      <c r="B36" s="40" t="s">
        <v>10</v>
      </c>
      <c r="C36" s="69"/>
      <c r="D36" s="241">
        <v>4.3221700000000002E-2</v>
      </c>
      <c r="E36" s="241"/>
      <c r="F36" s="241">
        <v>4.4721700000000003E-2</v>
      </c>
      <c r="G36" s="241"/>
      <c r="H36" s="241">
        <v>5.1721700000000002E-2</v>
      </c>
      <c r="I36" s="241"/>
      <c r="J36" s="241">
        <v>5.5221699999999999E-2</v>
      </c>
      <c r="K36" s="241"/>
      <c r="L36" s="241">
        <v>5.8721700000000002E-2</v>
      </c>
      <c r="M36" s="241"/>
      <c r="N36" s="241">
        <v>6.8721699999999997E-2</v>
      </c>
      <c r="O36" s="241"/>
      <c r="P36" s="241">
        <v>7.27217E-2</v>
      </c>
      <c r="Q36" s="241"/>
      <c r="R36" s="241">
        <v>7.27217E-2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0.44907896843993383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45061</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44880</v>
      </c>
      <c r="AA48" s="77"/>
      <c r="AB48" s="76">
        <v>44971</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89</v>
      </c>
      <c r="Y49" s="40"/>
      <c r="Z49" s="76">
        <v>44972</v>
      </c>
      <c r="AA49" s="77"/>
      <c r="AB49" s="76">
        <v>45060</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45060</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277351</v>
      </c>
      <c r="S58" s="238"/>
      <c r="T58" s="237">
        <f>132+129</f>
        <v>261</v>
      </c>
      <c r="U58" s="237"/>
      <c r="V58" s="237">
        <v>7647</v>
      </c>
      <c r="W58" s="238"/>
      <c r="X58" s="238">
        <v>0</v>
      </c>
      <c r="Y58" s="238"/>
      <c r="Z58" s="238">
        <v>0</v>
      </c>
      <c r="AA58" s="238"/>
      <c r="AB58" s="237">
        <f>R58-T58-V58+X58-Z58</f>
        <v>269443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277351</v>
      </c>
      <c r="S61" s="238"/>
      <c r="T61" s="238">
        <f>T58+T59</f>
        <v>261</v>
      </c>
      <c r="U61" s="238"/>
      <c r="V61" s="238">
        <f>SUM(V58:V60)</f>
        <v>7647</v>
      </c>
      <c r="W61" s="238"/>
      <c r="X61" s="238">
        <f>SUM(X58:X60)</f>
        <v>0</v>
      </c>
      <c r="Y61" s="238"/>
      <c r="Z61" s="238">
        <f>SUM(Z58:Z60)</f>
        <v>0</v>
      </c>
      <c r="AA61" s="238"/>
      <c r="AB61" s="238">
        <f>SUM(AB58:AB60)</f>
        <v>269443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1</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277353</v>
      </c>
      <c r="S67" s="238"/>
      <c r="T67" s="238"/>
      <c r="U67" s="238"/>
      <c r="V67" s="238"/>
      <c r="W67" s="238"/>
      <c r="X67" s="238"/>
      <c r="Y67" s="238"/>
      <c r="Z67" s="238"/>
      <c r="AA67" s="238"/>
      <c r="AB67" s="238">
        <f>SUM(AB61:AB66)</f>
        <v>269446</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45044</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7908</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2314+1603-299-310</f>
        <v>3308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53+36</f>
        <v>89</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260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204</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563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3399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7910</v>
      </c>
      <c r="AA84" s="40"/>
      <c r="AB84" s="97">
        <f>SUM(AB71:AB83)</f>
        <v>7823</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7910</v>
      </c>
      <c r="AA87" s="40"/>
      <c r="AB87" s="97">
        <f>AB84+AB85+AB86</f>
        <v>7823</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-136-8-5</f>
        <v>-149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1090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-529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-1949</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-360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-286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-327</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-1186</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-2500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-376</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-80</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-204</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-841</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-7907</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-7907</v>
      </c>
      <c r="AA130" s="97"/>
      <c r="AB130" s="97">
        <f>SUM(AB88:AB128)</f>
        <v>-7823</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23'!AB146</f>
        <v>3483.5499999999993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-204</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3279.5499999999993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23'!AB182</f>
        <v>1039</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1186</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563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1662</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23'!AB199</f>
        <v>2434</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2990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3399</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2025</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+'January 23'!AB207</f>
        <v>3051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2990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2500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2561</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+'January 23'!Y213</f>
        <v>0</v>
      </c>
      <c r="Z212" s="98">
        <f>+'January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214395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220765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-6370</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1.97831725168203E-2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3.53591606133979</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3.61</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17.455555555555556</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24.39</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20.713286713286713</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27.72</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17.24159021406728</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22.16</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14.125</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16.420000000000002</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APRIL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45044</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4.4202092447722947E-2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5.66131756279016E-2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3.2135942282939069E-2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14.684324940306171</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2.8512401163859773E-2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0.19320000000000001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2</v>
      </c>
      <c r="Z262" s="162">
        <f>+Z314</f>
        <v>564</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0</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'January 23'!Z268+Z267</f>
        <v>16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1</v>
      </c>
      <c r="Z274" s="162">
        <v>83</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5.87</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1554</v>
      </c>
      <c r="Y281" s="192">
        <f>X281/$X$290</f>
        <v>0.99424184261036463</v>
      </c>
      <c r="Z281" s="107">
        <f t="shared" ref="Z281:Z288" si="2">+Z293+Z305+Z327</f>
        <v>267372</v>
      </c>
      <c r="AA281" s="192">
        <f t="shared" ref="AA281:AA288" si="3">Z281/$Z$290</f>
        <v>0.99231377322847503</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1.2795905310300703E-3</v>
      </c>
      <c r="Z282" s="197">
        <f t="shared" si="2"/>
        <v>306</v>
      </c>
      <c r="AA282" s="198">
        <f t="shared" si="3"/>
        <v>1.1356761912538088E-3</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1.9193857965451055E-3</v>
      </c>
      <c r="Z283" s="131">
        <f t="shared" si="2"/>
        <v>499</v>
      </c>
      <c r="AA283" s="198">
        <f t="shared" si="3"/>
        <v>1.8519686909661784E-3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2</v>
      </c>
      <c r="Y286" s="200">
        <f t="shared" si="4"/>
        <v>1.2795905310300703E-3</v>
      </c>
      <c r="Z286" s="131">
        <f t="shared" si="2"/>
        <v>718</v>
      </c>
      <c r="AA286" s="198">
        <f t="shared" si="3"/>
        <v>2.6647565533341002E-3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6.3979526551503517E-4</v>
      </c>
      <c r="Z287" s="203">
        <f t="shared" si="2"/>
        <v>410</v>
      </c>
      <c r="AA287" s="198">
        <f t="shared" si="3"/>
        <v>1.5216576418760183E-3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6.3979526551503517E-4</v>
      </c>
      <c r="Z288" s="107">
        <f t="shared" si="2"/>
        <v>138</v>
      </c>
      <c r="AA288" s="198">
        <f t="shared" si="3"/>
        <v>5.1216769409485495E-4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1563</v>
      </c>
      <c r="Y290" s="198">
        <f>SUM(Y281:Y289)</f>
        <v>1</v>
      </c>
      <c r="Z290" s="98">
        <f>SUM(Z281:Z289)</f>
        <v>269443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1554</v>
      </c>
      <c r="Y293" s="192">
        <f>X293/$X$302</f>
        <v>0.99551569506726456</v>
      </c>
      <c r="Z293" s="107">
        <v>267372</v>
      </c>
      <c r="AA293" s="192">
        <f>Z293/$Z$302</f>
        <v>0.99439524842029314</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1.2812299807815502E-3</v>
      </c>
      <c r="Z294" s="98">
        <v>306</v>
      </c>
      <c r="AA294" s="198">
        <f t="shared" ref="AA294:AA300" si="6">Z294/$Z$302</f>
        <v>1.1380583831388841E-3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1.9218449711723255E-3</v>
      </c>
      <c r="Z295" s="98">
        <v>499</v>
      </c>
      <c r="AA295" s="198">
        <f t="shared" si="6"/>
        <v>1.8558533764258273E-3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 t="shared" si="5"/>
        <v>6.406149903907751E-4</v>
      </c>
      <c r="Z298" s="98">
        <v>292</v>
      </c>
      <c r="AA298" s="198">
        <f t="shared" si="6"/>
        <v>1.0859903525377585E-3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6.406149903907751E-4</v>
      </c>
      <c r="Z299" s="98">
        <v>410</v>
      </c>
      <c r="AA299" s="198">
        <f t="shared" si="6"/>
        <v>1.5248494676043871E-3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1561</v>
      </c>
      <c r="Y302" s="198">
        <f>SUM(Y293:Y301)</f>
        <v>1</v>
      </c>
      <c r="Z302" s="98">
        <f>SUM(Z293:Z301)</f>
        <v>268879</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0.5</v>
      </c>
      <c r="Z310" s="98">
        <v>426</v>
      </c>
      <c r="AA310" s="198">
        <f>Z310/Z314</f>
        <v>0.75531914893617025</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f>X311/X314</f>
        <v>0</v>
      </c>
      <c r="Z311" s="98">
        <v>0</v>
      </c>
      <c r="AA311" s="198">
        <f>Z311/Z314</f>
        <v>0</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0.5</v>
      </c>
      <c r="Z312" s="98">
        <v>138</v>
      </c>
      <c r="AA312" s="198">
        <f>Z312/Z314</f>
        <v>0.24468085106382978</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2</v>
      </c>
      <c r="Y314" s="198">
        <f>SUM(Y305:Y313)</f>
        <v>1</v>
      </c>
      <c r="Z314" s="98">
        <f>SUM(Z305:Z313)</f>
        <v>564</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2</v>
      </c>
      <c r="Y321" s="303">
        <f>X321/X324</f>
        <v>1</v>
      </c>
      <c r="Z321" s="304">
        <v>564</v>
      </c>
      <c r="AA321" s="303">
        <f>Z321/Z324</f>
        <v>1</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2</v>
      </c>
      <c r="Y324" s="277">
        <f>SUM(Y317:Y322)</f>
        <v>1</v>
      </c>
      <c r="Z324" s="278">
        <f>SUM(Z317:Z322)</f>
        <v>564</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1563</v>
      </c>
      <c r="Y338" s="198"/>
      <c r="Z338" s="211">
        <f>+Z336+Z314+Z302</f>
        <v>269443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3</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269446</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269446</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0.87870414569443833</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APRIL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E38FB1D7-F406-4A1F-AC0B-EE4FFA2C7525}"/>
    <hyperlink ref="P350" r:id="rId2" xr:uid="{E2E5D5BF-C10B-42FA-A15A-FE3BEFAEEB4A}"/>
    <hyperlink ref="P278" r:id="rId3" xr:uid="{3C1EF5AB-E92F-411D-B7CA-B8867BA20A7E}"/>
    <hyperlink ref="B358" r:id="rId4" display="https://investorreporting.paragonbankinggroup.co.uk/bondinvestor_viewer/resources/bondinvestor/pdf/investornews/2021/libor-mortgages-transition-july-19" xr:uid="{2D409B25-89DB-4031-B712-270B78662275}"/>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9EDE-51DC-4C05-80EE-F9C1F450ACCE}">
  <sheetPr>
    <tabColor theme="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0.29251825115963626</v>
      </c>
      <c r="Z17" s="29" t="s">
        <v>258</v>
      </c>
      <c r="AA17" s="29">
        <v>0.70748174884036374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45160</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34402.798190000001</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3858.7113199999999</v>
      </c>
      <c r="Q30" s="54"/>
      <c r="R30" s="54">
        <v>0</v>
      </c>
      <c r="S30" s="54"/>
      <c r="T30" s="54" t="s">
        <v>83</v>
      </c>
      <c r="U30" s="54"/>
      <c r="V30" s="54" t="s">
        <v>83</v>
      </c>
      <c r="W30" s="54"/>
      <c r="X30" s="54" t="s">
        <v>83</v>
      </c>
      <c r="Y30" s="54" t="s">
        <v>83</v>
      </c>
      <c r="Z30" s="54"/>
      <c r="AA30" s="49"/>
      <c r="AB30" s="50">
        <f>SUM(D30:N30)</f>
        <v>269445.79819</v>
      </c>
      <c r="AC30" s="51"/>
      <c r="AD30" s="22"/>
    </row>
    <row r="31" spans="1:33" s="23" customFormat="1" x14ac:dyDescent="0.3">
      <c r="A31" s="47"/>
      <c r="B31" s="44" t="s">
        <v>92</v>
      </c>
      <c r="C31" s="49"/>
      <c r="D31" s="57">
        <f>D29*D32</f>
        <v>29862.288429999997</v>
      </c>
      <c r="E31" s="57"/>
      <c r="F31" s="57">
        <f>F29</f>
        <v>151540</v>
      </c>
      <c r="G31" s="57"/>
      <c r="H31" s="57">
        <f>H29</f>
        <v>24741</v>
      </c>
      <c r="I31" s="57"/>
      <c r="J31" s="57">
        <f>J29</f>
        <v>18555</v>
      </c>
      <c r="K31" s="57"/>
      <c r="L31" s="57">
        <f>L29</f>
        <v>20102</v>
      </c>
      <c r="M31" s="57"/>
      <c r="N31" s="57">
        <f>N29</f>
        <v>20105</v>
      </c>
      <c r="O31" s="57"/>
      <c r="P31" s="57">
        <f>P29*P32</f>
        <v>3740.1492699999999</v>
      </c>
      <c r="Q31" s="57"/>
      <c r="R31" s="57">
        <v>0</v>
      </c>
      <c r="S31" s="57"/>
      <c r="T31" s="57" t="s">
        <v>83</v>
      </c>
      <c r="U31" s="57"/>
      <c r="V31" s="57" t="s">
        <v>83</v>
      </c>
      <c r="W31" s="57"/>
      <c r="X31" s="57" t="s">
        <v>83</v>
      </c>
      <c r="Y31" s="57" t="s">
        <v>83</v>
      </c>
      <c r="Z31" s="57"/>
      <c r="AA31" s="49"/>
      <c r="AB31" s="56">
        <f>SUM(D31:N31)</f>
        <v>264905.28842999996</v>
      </c>
      <c r="AC31" s="51"/>
      <c r="AD31" s="22"/>
      <c r="AE31" s="235"/>
    </row>
    <row r="32" spans="1:33" s="65" customFormat="1" x14ac:dyDescent="0.3">
      <c r="A32" s="58"/>
      <c r="B32" s="166" t="s">
        <v>88</v>
      </c>
      <c r="C32" s="61"/>
      <c r="D32" s="60">
        <v>7.7869999999999995E-2</v>
      </c>
      <c r="E32" s="60"/>
      <c r="F32" s="60">
        <v>1</v>
      </c>
      <c r="G32" s="60"/>
      <c r="H32" s="60">
        <v>1</v>
      </c>
      <c r="I32" s="60"/>
      <c r="J32" s="60">
        <v>1</v>
      </c>
      <c r="K32" s="60"/>
      <c r="L32" s="60">
        <v>1</v>
      </c>
      <c r="M32" s="60"/>
      <c r="N32" s="60">
        <v>1</v>
      </c>
      <c r="O32" s="60"/>
      <c r="P32" s="60">
        <v>0.36751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8.9709999999999998E-2</v>
      </c>
      <c r="E33" s="60"/>
      <c r="F33" s="60">
        <v>1</v>
      </c>
      <c r="G33" s="60"/>
      <c r="H33" s="60">
        <v>1</v>
      </c>
      <c r="I33" s="60"/>
      <c r="J33" s="60">
        <v>1</v>
      </c>
      <c r="K33" s="60"/>
      <c r="L33" s="60">
        <v>1</v>
      </c>
      <c r="M33" s="60"/>
      <c r="N33" s="60">
        <v>1</v>
      </c>
      <c r="O33" s="60"/>
      <c r="P33" s="60">
        <v>0.37916</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5.7670800000000001E-2</v>
      </c>
      <c r="E35" s="241"/>
      <c r="F35" s="241">
        <v>5.9170800000000003E-2</v>
      </c>
      <c r="G35" s="241"/>
      <c r="H35" s="241">
        <v>6.6170800000000002E-2</v>
      </c>
      <c r="I35" s="241"/>
      <c r="J35" s="241">
        <v>6.9670800000000005E-2</v>
      </c>
      <c r="K35" s="241"/>
      <c r="L35" s="241">
        <v>7.3170799999999994E-2</v>
      </c>
      <c r="M35" s="241"/>
      <c r="N35" s="241">
        <v>8.3170800000000003E-2</v>
      </c>
      <c r="O35" s="241"/>
      <c r="P35" s="241">
        <v>8.7170800000000007E-2</v>
      </c>
      <c r="Q35" s="241"/>
      <c r="R35" s="241">
        <v>8.7170800000000007E-2</v>
      </c>
      <c r="S35" s="68"/>
      <c r="T35" s="68" t="s">
        <v>83</v>
      </c>
      <c r="U35" s="68"/>
      <c r="V35" s="68" t="s">
        <v>83</v>
      </c>
      <c r="W35" s="68"/>
      <c r="X35" s="68" t="s">
        <v>83</v>
      </c>
      <c r="Y35" s="68" t="s">
        <v>83</v>
      </c>
      <c r="Z35" s="68"/>
      <c r="AA35" s="40"/>
      <c r="AB35" s="67">
        <f>SUMPRODUCT(D35:N35,D30:N30)/AB30</f>
        <v>6.318035706109465E-2</v>
      </c>
      <c r="AC35" s="43"/>
      <c r="AD35" s="22"/>
    </row>
    <row r="36" spans="1:30" s="23" customFormat="1" x14ac:dyDescent="0.3">
      <c r="A36" s="47"/>
      <c r="B36" s="40" t="s">
        <v>10</v>
      </c>
      <c r="C36" s="69"/>
      <c r="D36" s="241">
        <v>5.1260699999999999E-2</v>
      </c>
      <c r="E36" s="241"/>
      <c r="F36" s="241">
        <v>5.2760700000000001E-2</v>
      </c>
      <c r="G36" s="241"/>
      <c r="H36" s="241">
        <v>5.97607E-2</v>
      </c>
      <c r="I36" s="241"/>
      <c r="J36" s="241">
        <v>6.3260700000000003E-2</v>
      </c>
      <c r="K36" s="241"/>
      <c r="L36" s="241">
        <v>6.6760700000000006E-2</v>
      </c>
      <c r="M36" s="241"/>
      <c r="N36" s="241">
        <v>7.6760700000000001E-2</v>
      </c>
      <c r="O36" s="241"/>
      <c r="P36" s="241">
        <v>8.0760700000000005E-2</v>
      </c>
      <c r="Q36" s="241"/>
      <c r="R36" s="241">
        <v>8.0760700000000005E-2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0.46031944096572058</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45153</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89</v>
      </c>
      <c r="Y48" s="40"/>
      <c r="Z48" s="76">
        <v>44972</v>
      </c>
      <c r="AA48" s="77"/>
      <c r="AB48" s="76">
        <v>45060</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45061</v>
      </c>
      <c r="AA49" s="77"/>
      <c r="AB49" s="76">
        <v>45152</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45152</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387</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269443</v>
      </c>
      <c r="S58" s="238"/>
      <c r="T58" s="237">
        <f>124+129</f>
        <v>253</v>
      </c>
      <c r="U58" s="237"/>
      <c r="V58" s="237">
        <v>4287</v>
      </c>
      <c r="W58" s="238"/>
      <c r="X58" s="238">
        <v>0</v>
      </c>
      <c r="Y58" s="238"/>
      <c r="Z58" s="238">
        <v>0</v>
      </c>
      <c r="AA58" s="238"/>
      <c r="AB58" s="237">
        <f>R58-T58-V58+X58-Z58</f>
        <v>264903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269443</v>
      </c>
      <c r="S61" s="238"/>
      <c r="T61" s="238">
        <f>T58+T59</f>
        <v>253</v>
      </c>
      <c r="U61" s="238"/>
      <c r="V61" s="238">
        <f>SUM(V58:V60)</f>
        <v>4287</v>
      </c>
      <c r="W61" s="238"/>
      <c r="X61" s="238">
        <f>SUM(X58:X60)</f>
        <v>0</v>
      </c>
      <c r="Y61" s="238"/>
      <c r="Z61" s="238">
        <f>SUM(Z58:Z60)</f>
        <v>0</v>
      </c>
      <c r="AA61" s="238"/>
      <c r="AB61" s="238">
        <f>SUM(AB58:AB60)</f>
        <v>264903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-1</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269446</v>
      </c>
      <c r="S67" s="238"/>
      <c r="T67" s="238"/>
      <c r="U67" s="238"/>
      <c r="V67" s="238"/>
      <c r="W67" s="238"/>
      <c r="X67" s="238"/>
      <c r="Y67" s="238"/>
      <c r="Z67" s="238"/>
      <c r="AA67" s="238"/>
      <c r="AB67" s="238">
        <f>SUM(AB61:AB66)</f>
        <v>264905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45138</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+T58+V58+Z58-19</f>
        <v>4521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1984+1774-211-443</f>
        <v>3104</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97+83</f>
        <v>180</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108</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119</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730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3181</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4524</v>
      </c>
      <c r="AA84" s="40"/>
      <c r="AB84" s="97">
        <f>SUM(AB71:AB83)</f>
        <v>7422</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4524</v>
      </c>
      <c r="AA87" s="40"/>
      <c r="AB87" s="97">
        <f>AB84+AB85+AB86</f>
        <v>7422</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-136-10-5</f>
        <v>-151</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1311</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-499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-2261</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-413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-326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-371</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19</v>
      </c>
      <c r="AA101" s="112"/>
      <c r="AB101" s="98">
        <v>-19</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-2171</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-421</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-119</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-11-92</f>
        <v>-103</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-768</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-4541</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-4541</v>
      </c>
      <c r="AA130" s="97"/>
      <c r="AB130" s="97">
        <f>SUM(AB88:AB128)</f>
        <v>-7422</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23'!AB146</f>
        <v>3279.5499999999993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-119</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3160.5499999999993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19</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19</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-19</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23'!AB182</f>
        <v>1662</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2171</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730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3103</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23'!AB199</f>
        <v>2025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2548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3181</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1392</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+'April 23'!AB207</f>
        <v>2561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2548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1000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1013</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+'April 23'!Y213</f>
        <v>0</v>
      </c>
      <c r="Z212" s="98">
        <f>+'April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211023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216676</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-5653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2.34977362413516E-2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3.1086956521739131</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3.56</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14.092009685230025</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23.01</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16.585889570552148</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26.31</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13.695417789757412</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21.14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11.187648456057007</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15.86</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JULY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45138</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4.5499228984964259E-2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6.318035706109465E-2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3.2410946905873532E-2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14.455258828958547</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1.684938726126942E-2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0.18590000000000001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843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19</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'April 23'!Z268+Z267</f>
        <v>35</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1</v>
      </c>
      <c r="Z274" s="162">
        <v>137</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14.08</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1524</v>
      </c>
      <c r="Y281" s="192">
        <f>X281/$X$290</f>
        <v>0.9941291585127201</v>
      </c>
      <c r="Z281" s="107">
        <f t="shared" ref="Z281:Z288" si="2">+Z293+Z305+Z327</f>
        <v>262980</v>
      </c>
      <c r="AA281" s="192">
        <f t="shared" ref="AA281:AA288" si="3">Z281/$Z$290</f>
        <v>0.99274073906297777</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1</v>
      </c>
      <c r="Y282" s="196">
        <f t="shared" ref="Y282:Y288" si="4">X282/$X$290</f>
        <v>6.5231572080887146E-4</v>
      </c>
      <c r="Z282" s="197">
        <f t="shared" si="2"/>
        <v>148</v>
      </c>
      <c r="AA282" s="198">
        <f t="shared" si="3"/>
        <v>5.5869506951601155E-4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6.5231572080887146E-4</v>
      </c>
      <c r="Z283" s="131">
        <f t="shared" si="2"/>
        <v>210</v>
      </c>
      <c r="AA283" s="198">
        <f t="shared" si="3"/>
        <v>7.927430040429893E-4</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6.5231572080887146E-4</v>
      </c>
      <c r="Z284" s="131">
        <f t="shared" si="2"/>
        <v>96</v>
      </c>
      <c r="AA284" s="198">
        <f t="shared" si="3"/>
        <v>3.6239680184822369E-4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2</v>
      </c>
      <c r="Y285" s="200">
        <f t="shared" si="4"/>
        <v>1.3046314416177429E-3</v>
      </c>
      <c r="Z285" s="131">
        <f t="shared" si="2"/>
        <v>490</v>
      </c>
      <c r="AA285" s="198">
        <f t="shared" si="3"/>
        <v>1.8497336761003084E-3</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3</v>
      </c>
      <c r="Y286" s="200">
        <f t="shared" si="4"/>
        <v>1.9569471624266144E-3</v>
      </c>
      <c r="Z286" s="131">
        <f t="shared" si="2"/>
        <v>553</v>
      </c>
      <c r="AA286" s="198">
        <f t="shared" si="3"/>
        <v>2.087556577313205E-3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6.5231572080887146E-4</v>
      </c>
      <c r="Z287" s="203">
        <f t="shared" si="2"/>
        <v>426</v>
      </c>
      <c r="AA287" s="198">
        <f t="shared" si="3"/>
        <v>1.6081358082014926E-3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0</v>
      </c>
      <c r="Y288" s="198">
        <f t="shared" si="4"/>
        <v>0</v>
      </c>
      <c r="Z288" s="107">
        <f t="shared" si="2"/>
        <v>0</v>
      </c>
      <c r="AA288" s="198">
        <f t="shared" si="3"/>
        <v>0</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1533</v>
      </c>
      <c r="Y290" s="198">
        <f>SUM(Y281:Y289)</f>
        <v>1.0000000000000002</v>
      </c>
      <c r="Z290" s="98">
        <f>SUM(Z281:Z289)</f>
        <v>264903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1523</v>
      </c>
      <c r="Y293" s="192">
        <f>X293/$X$302</f>
        <v>0.99542483660130721</v>
      </c>
      <c r="Z293" s="107">
        <v>262785</v>
      </c>
      <c r="AA293" s="192">
        <f>Z293/$Z$302</f>
        <v>0.99517155192001816</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6.5359477124183002E-4</v>
      </c>
      <c r="Z294" s="98">
        <v>148</v>
      </c>
      <c r="AA294" s="198">
        <f t="shared" ref="AA294:AA300" si="6">Z294/$Z$302</f>
        <v>5.60478679088086E-4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6.5359477124183002E-4</v>
      </c>
      <c r="Z295" s="98">
        <v>210</v>
      </c>
      <c r="AA295" s="198">
        <f t="shared" si="6"/>
        <v>7.9527380140877071E-4</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6.5359477124183002E-4</v>
      </c>
      <c r="Z296" s="98">
        <v>96</v>
      </c>
      <c r="AA296" s="198">
        <f t="shared" si="6"/>
        <v>3.6355373778686661E-4</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2</v>
      </c>
      <c r="Y297" s="198">
        <f t="shared" si="5"/>
        <v>1.30718954248366E-3</v>
      </c>
      <c r="Z297" s="98">
        <v>490</v>
      </c>
      <c r="AA297" s="198">
        <f t="shared" si="6"/>
        <v>1.8556388699537984E-3</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 t="shared" si="5"/>
        <v>1.30718954248366E-3</v>
      </c>
      <c r="Z298" s="98">
        <v>331</v>
      </c>
      <c r="AA298" s="198">
        <f t="shared" si="6"/>
        <v>1.2535029917443005E-3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X299/$X$302</f>
        <v>0</v>
      </c>
      <c r="Z299" s="98">
        <v>0</v>
      </c>
      <c r="AA299" s="198">
        <f t="shared" si="6"/>
        <v>0</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1530</v>
      </c>
      <c r="Y302" s="198">
        <f>SUM(Y293:Y301)</f>
        <v>1</v>
      </c>
      <c r="Z302" s="98">
        <f>SUM(Z293:Z301)</f>
        <v>264060</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1</v>
      </c>
      <c r="Y305" s="192">
        <f>X305/X314</f>
        <v>0.33333333333333331</v>
      </c>
      <c r="Z305" s="107">
        <v>195</v>
      </c>
      <c r="AA305" s="192">
        <f>Z305/Z314</f>
        <v>0.23131672597864769</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0.33333333333333331</v>
      </c>
      <c r="Z310" s="98">
        <v>222</v>
      </c>
      <c r="AA310" s="198">
        <f>Z310/Z314</f>
        <v>0.26334519572953735</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1</v>
      </c>
      <c r="Y311" s="198">
        <f>X311/X314</f>
        <v>0.33333333333333331</v>
      </c>
      <c r="Z311" s="98">
        <v>426</v>
      </c>
      <c r="AA311" s="198">
        <f>Z311/Z314</f>
        <v>0.50533807829181498</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f>X312/X314</f>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843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3</v>
      </c>
      <c r="Y321" s="303">
        <f>X321/X324</f>
        <v>1</v>
      </c>
      <c r="Z321" s="304">
        <v>843</v>
      </c>
      <c r="AA321" s="303">
        <f>Z321/Z324</f>
        <v>1</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843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1533</v>
      </c>
      <c r="Y338" s="198"/>
      <c r="Z338" s="211">
        <f>+Z336+Z314+Z302</f>
        <v>264903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2</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264905</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264905</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0.89290823834950972</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JULY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BF75364A-FE7B-4F5F-BCA9-40BD860040ED}"/>
    <hyperlink ref="P350" r:id="rId2" xr:uid="{939C79A7-EFB1-4EAA-9908-D0722DBF6FA7}"/>
    <hyperlink ref="P278" r:id="rId3" xr:uid="{AA83FD33-0ED9-4592-9541-529606C19D5A}"/>
    <hyperlink ref="B358" r:id="rId4" display="https://investorreporting.paragonbankinggroup.co.uk/bondinvestor_viewer/resources/bondinvestor/pdf/investornews/2021/libor-mortgages-transition-july-19" xr:uid="{18DF98A1-0B26-4B36-966A-4345AEFF4C7A}"/>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9B73E-BD53-4BEF-A994-1820AC90205E}">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0.28957409844438925</v>
      </c>
      <c r="Z17" s="29" t="s">
        <v>258</v>
      </c>
      <c r="AA17" s="29">
        <v>0.71042590155561069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45252</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29862.288429999997</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3740.1492699999999</v>
      </c>
      <c r="Q30" s="54"/>
      <c r="R30" s="54">
        <v>0</v>
      </c>
      <c r="S30" s="54"/>
      <c r="T30" s="54" t="s">
        <v>83</v>
      </c>
      <c r="U30" s="54"/>
      <c r="V30" s="54" t="s">
        <v>83</v>
      </c>
      <c r="W30" s="54"/>
      <c r="X30" s="54" t="s">
        <v>83</v>
      </c>
      <c r="Y30" s="54" t="s">
        <v>83</v>
      </c>
      <c r="Z30" s="54"/>
      <c r="AA30" s="49"/>
      <c r="AB30" s="50">
        <f>SUM(D30:N30)</f>
        <v>264905.28842999996</v>
      </c>
      <c r="AC30" s="51"/>
      <c r="AD30" s="22"/>
    </row>
    <row r="31" spans="1:33" s="23" customFormat="1" x14ac:dyDescent="0.3">
      <c r="A31" s="47"/>
      <c r="B31" s="44" t="s">
        <v>92</v>
      </c>
      <c r="C31" s="49"/>
      <c r="D31" s="57">
        <f>D29*D32</f>
        <v>22472.455399999999</v>
      </c>
      <c r="E31" s="57"/>
      <c r="F31" s="57">
        <f>F29</f>
        <v>151540</v>
      </c>
      <c r="G31" s="57"/>
      <c r="H31" s="57">
        <f>H29</f>
        <v>24741</v>
      </c>
      <c r="I31" s="57"/>
      <c r="J31" s="57">
        <f>J29</f>
        <v>18555</v>
      </c>
      <c r="K31" s="57"/>
      <c r="L31" s="57">
        <f>L29</f>
        <v>20102</v>
      </c>
      <c r="M31" s="57"/>
      <c r="N31" s="57">
        <f>N29</f>
        <v>20105</v>
      </c>
      <c r="O31" s="57"/>
      <c r="P31" s="57">
        <f>P29*P32</f>
        <v>3672.0651399999997</v>
      </c>
      <c r="Q31" s="57"/>
      <c r="R31" s="57">
        <v>0</v>
      </c>
      <c r="S31" s="57"/>
      <c r="T31" s="57" t="s">
        <v>83</v>
      </c>
      <c r="U31" s="57"/>
      <c r="V31" s="57" t="s">
        <v>83</v>
      </c>
      <c r="W31" s="57"/>
      <c r="X31" s="57" t="s">
        <v>83</v>
      </c>
      <c r="Y31" s="57" t="s">
        <v>83</v>
      </c>
      <c r="Z31" s="57"/>
      <c r="AA31" s="49"/>
      <c r="AB31" s="56">
        <f>SUM(D31:N31)+1</f>
        <v>257516.45540000001</v>
      </c>
      <c r="AC31" s="51"/>
      <c r="AD31" s="22"/>
      <c r="AE31" s="235"/>
    </row>
    <row r="32" spans="1:33" s="65" customFormat="1" x14ac:dyDescent="0.3">
      <c r="A32" s="58"/>
      <c r="B32" s="166" t="s">
        <v>88</v>
      </c>
      <c r="C32" s="61"/>
      <c r="D32" s="60">
        <v>5.8599999999999999E-2</v>
      </c>
      <c r="E32" s="60"/>
      <c r="F32" s="60">
        <v>1</v>
      </c>
      <c r="G32" s="60"/>
      <c r="H32" s="60">
        <v>1</v>
      </c>
      <c r="I32" s="60"/>
      <c r="J32" s="60">
        <v>1</v>
      </c>
      <c r="K32" s="60"/>
      <c r="L32" s="60">
        <v>1</v>
      </c>
      <c r="M32" s="60"/>
      <c r="N32" s="60">
        <v>1</v>
      </c>
      <c r="O32" s="60"/>
      <c r="P32" s="60">
        <v>0.36081999999999997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7.7869999999999995E-2</v>
      </c>
      <c r="E33" s="60"/>
      <c r="F33" s="60">
        <v>1</v>
      </c>
      <c r="G33" s="60"/>
      <c r="H33" s="60">
        <v>1</v>
      </c>
      <c r="I33" s="60"/>
      <c r="J33" s="60">
        <v>1</v>
      </c>
      <c r="K33" s="60"/>
      <c r="L33" s="60">
        <v>1</v>
      </c>
      <c r="M33" s="60"/>
      <c r="N33" s="60">
        <v>1</v>
      </c>
      <c r="O33" s="60"/>
      <c r="P33" s="60">
        <v>0.36751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6.26911E-2</v>
      </c>
      <c r="E35" s="241"/>
      <c r="F35" s="241">
        <v>6.4191100000000001E-2</v>
      </c>
      <c r="G35" s="241"/>
      <c r="H35" s="241">
        <v>7.1191099999999993E-2</v>
      </c>
      <c r="I35" s="241"/>
      <c r="J35" s="241">
        <v>7.4691099999999996E-2</v>
      </c>
      <c r="K35" s="241"/>
      <c r="L35" s="241">
        <v>7.8191099999999999E-2</v>
      </c>
      <c r="M35" s="241"/>
      <c r="N35" s="241">
        <v>8.8191099999999994E-2</v>
      </c>
      <c r="O35" s="241"/>
      <c r="P35" s="241">
        <v>9.2191099999999998E-2</v>
      </c>
      <c r="Q35" s="241"/>
      <c r="R35" s="241">
        <v>9.2191099999999998E-2</v>
      </c>
      <c r="S35" s="68"/>
      <c r="T35" s="68" t="s">
        <v>83</v>
      </c>
      <c r="U35" s="68"/>
      <c r="V35" s="68" t="s">
        <v>83</v>
      </c>
      <c r="W35" s="68"/>
      <c r="X35" s="68" t="s">
        <v>83</v>
      </c>
      <c r="Y35" s="68" t="s">
        <v>83</v>
      </c>
      <c r="Z35" s="68"/>
      <c r="AA35" s="40"/>
      <c r="AB35" s="67">
        <f>SUMPRODUCT(D35:N35,D30:N30)/AB30</f>
        <v>6.8295091557881951E-2</v>
      </c>
      <c r="AC35" s="43"/>
      <c r="AD35" s="22"/>
    </row>
    <row r="36" spans="1:30" s="23" customFormat="1" x14ac:dyDescent="0.3">
      <c r="A36" s="47"/>
      <c r="B36" s="40" t="s">
        <v>10</v>
      </c>
      <c r="C36" s="69"/>
      <c r="D36" s="241">
        <v>5.7670800000000001E-2</v>
      </c>
      <c r="E36" s="241"/>
      <c r="F36" s="241">
        <v>5.9170800000000003E-2</v>
      </c>
      <c r="G36" s="241"/>
      <c r="H36" s="241">
        <v>6.6170800000000002E-2</v>
      </c>
      <c r="I36" s="241"/>
      <c r="J36" s="241">
        <v>6.9670800000000005E-2</v>
      </c>
      <c r="K36" s="241"/>
      <c r="L36" s="241">
        <v>7.3170799999999994E-2</v>
      </c>
      <c r="M36" s="241"/>
      <c r="N36" s="241">
        <v>8.3170800000000003E-2</v>
      </c>
      <c r="O36" s="241"/>
      <c r="P36" s="241">
        <v>8.7170800000000007E-2</v>
      </c>
      <c r="Q36" s="241"/>
      <c r="R36" s="241">
        <v>8.7170800000000007E-2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0.47986794857904175</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45245</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45061</v>
      </c>
      <c r="AA48" s="77"/>
      <c r="AB48" s="76">
        <v>45152</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45153</v>
      </c>
      <c r="AA49" s="77"/>
      <c r="AB49" s="76">
        <v>45244</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45244</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264903</v>
      </c>
      <c r="S58" s="238"/>
      <c r="T58" s="237">
        <f>121+125</f>
        <v>246</v>
      </c>
      <c r="U58" s="237"/>
      <c r="V58" s="237">
        <v>7145</v>
      </c>
      <c r="W58" s="238"/>
      <c r="X58" s="238">
        <v>0</v>
      </c>
      <c r="Y58" s="238"/>
      <c r="Z58" s="238">
        <v>0</v>
      </c>
      <c r="AA58" s="238"/>
      <c r="AB58" s="237">
        <f>R58-T58-V58+X58-Z58</f>
        <v>257512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264903</v>
      </c>
      <c r="S61" s="238"/>
      <c r="T61" s="238">
        <f>T58+T59</f>
        <v>246</v>
      </c>
      <c r="U61" s="238"/>
      <c r="V61" s="238">
        <f>SUM(V58:V60)</f>
        <v>7145</v>
      </c>
      <c r="W61" s="238"/>
      <c r="X61" s="238">
        <f>SUM(X58:X60)</f>
        <v>0</v>
      </c>
      <c r="Y61" s="238"/>
      <c r="Z61" s="238">
        <f>SUM(Z58:Z60)</f>
        <v>0</v>
      </c>
      <c r="AA61" s="238"/>
      <c r="AB61" s="238">
        <f>SUM(AB58:AB60)</f>
        <v>257512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2</v>
      </c>
      <c r="W64" s="238"/>
      <c r="X64" s="238"/>
      <c r="Y64" s="238"/>
      <c r="Z64" s="238"/>
      <c r="AA64" s="238"/>
      <c r="AB64" s="238">
        <f>R64+V64</f>
        <v>4</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264905</v>
      </c>
      <c r="S67" s="238"/>
      <c r="T67" s="238"/>
      <c r="U67" s="238"/>
      <c r="V67" s="238"/>
      <c r="W67" s="238"/>
      <c r="X67" s="238"/>
      <c r="Y67" s="238"/>
      <c r="Z67" s="238"/>
      <c r="AA67" s="238"/>
      <c r="AB67" s="238">
        <f>SUM(AB61:AB66)</f>
        <v>257516</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45230</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7390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2156+1326-89-231</f>
        <v>3162</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64+54</f>
        <v>118</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192</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68</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783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2024</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7392</v>
      </c>
      <c r="AA84" s="40"/>
      <c r="AB84" s="97">
        <f>SUM(AB71:AB83)</f>
        <v>6347</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7392</v>
      </c>
      <c r="AA87" s="40"/>
      <c r="AB87" s="97">
        <f>AB84+AB85+AB86</f>
        <v>6347</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-134-18-5</f>
        <v>-157</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1483</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-472</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-2452</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-444</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-349</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-396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-1107</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-447</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-68</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-9-94</f>
        <v>-103</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-721</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-7389</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-7389</v>
      </c>
      <c r="AA130" s="97"/>
      <c r="AB130" s="97">
        <f>SUM(AB88:AB128)</f>
        <v>-6347</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4</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23'!AB146</f>
        <v>3160.5499999999993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-68</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3092.5499999999993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23'!AB182</f>
        <v>3103</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1107</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783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3427</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23'!AB199</f>
        <v>1392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986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2024</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354</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+'July 23'!AB207</f>
        <v>1013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986</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1000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1027</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+'July 23'!Y213</f>
        <v>0</v>
      </c>
      <c r="Z212" s="98">
        <f>+'July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205873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211888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-6015</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2.3670550581826402E-2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2.6234610123119015</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3.47</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10.691441441441441</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21.46</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12.329512893982807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24.64</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9.9848484848484844</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19.87</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7.9597315436241614</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15.05</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OCTOBER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45230</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4.5971299570493E-2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6.8295091557881951E-2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2.9557765991581889E-2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14.219181606791444</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2.7900568128196902E-2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0.18160000000000001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744</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1</v>
      </c>
      <c r="Z263" s="162">
        <f>+Z336</f>
        <v>195</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'July 23'!Z268+Z267</f>
        <v>36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1472</v>
      </c>
      <c r="Y281" s="192">
        <f>X281/$X$290</f>
        <v>0.99325236167341435</v>
      </c>
      <c r="Z281" s="107">
        <f t="shared" ref="Z281:Z288" si="2">+Z293+Z305+Z327</f>
        <v>255171</v>
      </c>
      <c r="AA281" s="192">
        <f t="shared" ref="AA281:AA288" si="3">Z281/$Z$290</f>
        <v>0.99090916151480324</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1</v>
      </c>
      <c r="Y282" s="196">
        <f t="shared" ref="Y282:Y288" si="4">X282/$X$290</f>
        <v>6.7476383265856947E-4</v>
      </c>
      <c r="Z282" s="197">
        <f t="shared" si="2"/>
        <v>154</v>
      </c>
      <c r="AA282" s="198">
        <f t="shared" si="3"/>
        <v>5.9803038305011034E-4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2.0242914979757085E-3</v>
      </c>
      <c r="Z283" s="131">
        <f t="shared" si="2"/>
        <v>917</v>
      </c>
      <c r="AA283" s="198">
        <f t="shared" si="3"/>
        <v>3.5609990990711111E-3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6.7476383265856947E-4</v>
      </c>
      <c r="Z284" s="131">
        <f t="shared" si="2"/>
        <v>195</v>
      </c>
      <c r="AA284" s="198">
        <f t="shared" si="3"/>
        <v>7.5724626425176299E-4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6.7476383265856947E-4</v>
      </c>
      <c r="Z285" s="131">
        <f t="shared" si="2"/>
        <v>39</v>
      </c>
      <c r="AA285" s="198">
        <f t="shared" si="3"/>
        <v>1.5144925285035261E-4</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0</v>
      </c>
      <c r="Y286" s="200">
        <f t="shared" si="4"/>
        <v>0</v>
      </c>
      <c r="Z286" s="131">
        <f t="shared" si="2"/>
        <v>0</v>
      </c>
      <c r="AA286" s="198">
        <f t="shared" si="3"/>
        <v>0</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4</v>
      </c>
      <c r="Y287" s="202">
        <f t="shared" si="4"/>
        <v>2.6990553306342779E-3</v>
      </c>
      <c r="Z287" s="203">
        <f t="shared" si="2"/>
        <v>1036</v>
      </c>
      <c r="AA287" s="198">
        <f t="shared" si="3"/>
        <v>4.023113485973469E-3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0</v>
      </c>
      <c r="Y288" s="198">
        <f t="shared" si="4"/>
        <v>0</v>
      </c>
      <c r="Z288" s="107">
        <f t="shared" si="2"/>
        <v>0</v>
      </c>
      <c r="AA288" s="198">
        <f t="shared" si="3"/>
        <v>0</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1482</v>
      </c>
      <c r="Y290" s="198">
        <f>SUM(Y281:Y289)</f>
        <v>0.99999999999999989</v>
      </c>
      <c r="Z290" s="98">
        <f>SUM(Z281:Z289)</f>
        <v>257512</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1472</v>
      </c>
      <c r="Y293" s="192">
        <f>X293/$X$302</f>
        <v>0.99594046008119075</v>
      </c>
      <c r="Z293" s="107">
        <v>255171</v>
      </c>
      <c r="AA293" s="192">
        <f>Z293/$Z$302</f>
        <v>0.99453566821138628</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6.7658998646820032E-4</v>
      </c>
      <c r="Z294" s="98">
        <v>154</v>
      </c>
      <c r="AA294" s="198">
        <f t="shared" ref="AA294:AA300" si="6">Z294/$Z$302</f>
        <v>6.002190409746934E-4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2.0297699594046007E-3</v>
      </c>
      <c r="Z295" s="98">
        <v>917</v>
      </c>
      <c r="AA295" s="198">
        <f t="shared" si="6"/>
        <v>3.5740315621674923E-3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6.7658998646820032E-4</v>
      </c>
      <c r="Z297" s="98">
        <v>39</v>
      </c>
      <c r="AA297" s="198">
        <f t="shared" si="6"/>
        <v>1.5200352336372104E-4</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6.7658998646820032E-4</v>
      </c>
      <c r="Z299" s="98">
        <v>292</v>
      </c>
      <c r="AA299" s="198">
        <f t="shared" si="6"/>
        <v>1.1380776621078602E-3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1478</v>
      </c>
      <c r="Y302" s="198">
        <f>SUM(Y293:Y301)</f>
        <v>1</v>
      </c>
      <c r="Z302" s="98">
        <f>SUM(Z293:Z301)</f>
        <v>256573</v>
      </c>
      <c r="AA302" s="198">
        <f>SUM(AA293:AA301)</f>
        <v>1.0000000000000002</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f>X305/X314</f>
        <v>0</v>
      </c>
      <c r="Z305" s="107">
        <v>0</v>
      </c>
      <c r="AA305" s="192">
        <f>Z305/Z314</f>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f>X310/X314</f>
        <v>0</v>
      </c>
      <c r="Z310" s="98">
        <v>0</v>
      </c>
      <c r="AA310" s="198">
        <f>Z310/Z314</f>
        <v>0</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3</v>
      </c>
      <c r="Y311" s="198">
        <f>X311/X314</f>
        <v>1</v>
      </c>
      <c r="Z311" s="98">
        <v>744</v>
      </c>
      <c r="AA311" s="198">
        <f>Z311/Z314</f>
        <v>1</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f>X312/X314</f>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744</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f>X321/X324</f>
        <v>0</v>
      </c>
      <c r="Z321" s="304">
        <v>0</v>
      </c>
      <c r="AA321" s="303">
        <f>Z321/Z324</f>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3</v>
      </c>
      <c r="Y322" s="303">
        <f>X322/X324</f>
        <v>1</v>
      </c>
      <c r="Z322" s="304">
        <v>744</v>
      </c>
      <c r="AA322" s="303">
        <f>Z322/Z324</f>
        <v>1</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744</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1</v>
      </c>
      <c r="Y330" s="198">
        <v>1</v>
      </c>
      <c r="Z330" s="98">
        <v>195</v>
      </c>
      <c r="AA330" s="198">
        <v>1</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1</v>
      </c>
      <c r="Y336" s="198">
        <f>SUM(Y327:Y334)</f>
        <v>1</v>
      </c>
      <c r="Z336" s="98">
        <f>SUM(Z327:Z334)</f>
        <v>195</v>
      </c>
      <c r="AA336" s="198">
        <f>SUM(AA327:AA334)</f>
        <v>1</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1482</v>
      </c>
      <c r="Y338" s="198"/>
      <c r="Z338" s="211">
        <f>+Z336+Z314+Z302</f>
        <v>257512</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4</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257516</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257516</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0.917093326728044</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OCTOBER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8AA77E1B-2074-4E8A-BDA4-4FC114DDD416}"/>
    <hyperlink ref="P350" r:id="rId2" xr:uid="{57C6972C-C8AF-4145-8BCD-67098C069A84}"/>
    <hyperlink ref="P278" r:id="rId3" xr:uid="{2BECE365-40CF-456D-A609-C13BB137355A}"/>
    <hyperlink ref="B358" r:id="rId4" display="https://investorreporting.paragonbankinggroup.co.uk/bondinvestor_viewer/resources/bondinvestor/pdf/investornews/2021/libor-mortgages-transition-july-19" xr:uid="{C6DF2518-87C5-4439-A6C9-775877EF399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14A10-3928-46FE-8C36-A5751AE957CA}">
  <sheetPr>
    <tabColor rgb="FF2D2926"/>
  </sheetPr>
  <dimension ref="A1:JB362"/>
  <sheetViews>
    <sheetView showGridLines="0" tabSelected="1"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0.28785374354490217</v>
      </c>
      <c r="Z17" s="29" t="s">
        <v>258</v>
      </c>
      <c r="AA17" s="29">
        <v>0.71214625645509777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45345</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22472.455399999999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3672.0651399999997</v>
      </c>
      <c r="Q30" s="54"/>
      <c r="R30" s="54">
        <v>0</v>
      </c>
      <c r="S30" s="54"/>
      <c r="T30" s="54" t="s">
        <v>83</v>
      </c>
      <c r="U30" s="54"/>
      <c r="V30" s="54" t="s">
        <v>83</v>
      </c>
      <c r="W30" s="54"/>
      <c r="X30" s="54" t="s">
        <v>83</v>
      </c>
      <c r="Y30" s="54" t="s">
        <v>83</v>
      </c>
      <c r="Z30" s="54"/>
      <c r="AA30" s="49"/>
      <c r="AB30" s="50">
        <f>SUM(D30:N30)+1</f>
        <v>257516.45540000001</v>
      </c>
      <c r="AC30" s="51"/>
      <c r="AD30" s="22"/>
    </row>
    <row r="31" spans="1:33" s="23" customFormat="1" x14ac:dyDescent="0.3">
      <c r="A31" s="47"/>
      <c r="B31" s="44" t="s">
        <v>92</v>
      </c>
      <c r="C31" s="49"/>
      <c r="D31" s="57">
        <f>D29*D32</f>
        <v>18169.70882</v>
      </c>
      <c r="E31" s="57"/>
      <c r="F31" s="57">
        <f>F29</f>
        <v>151540</v>
      </c>
      <c r="G31" s="57"/>
      <c r="H31" s="57">
        <f>H29</f>
        <v>24741</v>
      </c>
      <c r="I31" s="57"/>
      <c r="J31" s="57">
        <f>J29</f>
        <v>18555</v>
      </c>
      <c r="K31" s="57"/>
      <c r="L31" s="57">
        <f>L29</f>
        <v>20102</v>
      </c>
      <c r="M31" s="57"/>
      <c r="N31" s="57">
        <f>N29</f>
        <v>20105</v>
      </c>
      <c r="O31" s="57"/>
      <c r="P31" s="57">
        <f>P29*P32</f>
        <v>3561.1358399999999</v>
      </c>
      <c r="Q31" s="57"/>
      <c r="R31" s="57">
        <v>0</v>
      </c>
      <c r="S31" s="57"/>
      <c r="T31" s="57" t="s">
        <v>83</v>
      </c>
      <c r="U31" s="57"/>
      <c r="V31" s="57" t="s">
        <v>83</v>
      </c>
      <c r="W31" s="57"/>
      <c r="X31" s="57" t="s">
        <v>83</v>
      </c>
      <c r="Y31" s="57" t="s">
        <v>83</v>
      </c>
      <c r="Z31" s="57"/>
      <c r="AA31" s="49"/>
      <c r="AB31" s="56">
        <f>SUM(D31:N31)</f>
        <v>253212.70882</v>
      </c>
      <c r="AC31" s="51"/>
      <c r="AD31" s="22"/>
      <c r="AE31" s="235"/>
    </row>
    <row r="32" spans="1:33" s="65" customFormat="1" x14ac:dyDescent="0.3">
      <c r="A32" s="58"/>
      <c r="B32" s="166" t="s">
        <v>88</v>
      </c>
      <c r="C32" s="61"/>
      <c r="D32" s="60">
        <v>4.7379999999999999E-2</v>
      </c>
      <c r="E32" s="60"/>
      <c r="F32" s="60">
        <v>1</v>
      </c>
      <c r="G32" s="60"/>
      <c r="H32" s="60">
        <v>1</v>
      </c>
      <c r="I32" s="60"/>
      <c r="J32" s="60">
        <v>1</v>
      </c>
      <c r="K32" s="60"/>
      <c r="L32" s="60">
        <v>1</v>
      </c>
      <c r="M32" s="60"/>
      <c r="N32" s="60">
        <v>1</v>
      </c>
      <c r="O32" s="60"/>
      <c r="P32" s="60">
        <v>0.34992000000000001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5.8599999999999999E-2</v>
      </c>
      <c r="E33" s="60"/>
      <c r="F33" s="60">
        <v>1</v>
      </c>
      <c r="G33" s="60"/>
      <c r="H33" s="60">
        <v>1</v>
      </c>
      <c r="I33" s="60"/>
      <c r="J33" s="60">
        <v>1</v>
      </c>
      <c r="K33" s="60"/>
      <c r="L33" s="60">
        <v>1</v>
      </c>
      <c r="M33" s="60"/>
      <c r="N33" s="60">
        <v>1</v>
      </c>
      <c r="O33" s="60"/>
      <c r="P33" s="60">
        <v>0.36081999999999997</v>
      </c>
      <c r="Q33" s="60"/>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6.2707499999999999E-2</v>
      </c>
      <c r="E35" s="241"/>
      <c r="F35" s="241">
        <v>6.4207500000000001E-2</v>
      </c>
      <c r="G35" s="241"/>
      <c r="H35" s="241">
        <v>7.1207500000000007E-2</v>
      </c>
      <c r="I35" s="241"/>
      <c r="J35" s="241">
        <v>7.4707499999999996E-2</v>
      </c>
      <c r="K35" s="241"/>
      <c r="L35" s="241">
        <v>7.8207499999999999E-2</v>
      </c>
      <c r="M35" s="241"/>
      <c r="N35" s="241">
        <v>8.8207499999999994E-2</v>
      </c>
      <c r="O35" s="241"/>
      <c r="P35" s="241">
        <v>9.2207499999999998E-2</v>
      </c>
      <c r="Q35" s="241"/>
      <c r="R35" s="241">
        <v>9.2207499999999998E-2</v>
      </c>
      <c r="S35" s="68"/>
      <c r="T35" s="68" t="s">
        <v>83</v>
      </c>
      <c r="U35" s="68"/>
      <c r="V35" s="68" t="s">
        <v>83</v>
      </c>
      <c r="W35" s="68"/>
      <c r="X35" s="68" t="s">
        <v>83</v>
      </c>
      <c r="Y35" s="68" t="s">
        <v>83</v>
      </c>
      <c r="Z35" s="68"/>
      <c r="AA35" s="40"/>
      <c r="AB35" s="67">
        <f>SUMPRODUCT(D35:N35,D30:N30)/AB30</f>
        <v>6.8472041493840397E-2</v>
      </c>
      <c r="AC35" s="43"/>
      <c r="AD35" s="22"/>
    </row>
    <row r="36" spans="1:30" s="23" customFormat="1" x14ac:dyDescent="0.3">
      <c r="A36" s="47"/>
      <c r="B36" s="40" t="s">
        <v>10</v>
      </c>
      <c r="C36" s="69"/>
      <c r="D36" s="241">
        <v>6.26911E-2</v>
      </c>
      <c r="E36" s="241"/>
      <c r="F36" s="241">
        <v>6.4191100000000001E-2</v>
      </c>
      <c r="G36" s="241"/>
      <c r="H36" s="241">
        <v>7.1191099999999993E-2</v>
      </c>
      <c r="I36" s="241"/>
      <c r="J36" s="241">
        <v>7.4691099999999996E-2</v>
      </c>
      <c r="K36" s="241"/>
      <c r="L36" s="241">
        <v>7.8191099999999999E-2</v>
      </c>
      <c r="M36" s="241"/>
      <c r="N36" s="241">
        <v>8.8191099999999994E-2</v>
      </c>
      <c r="O36" s="241"/>
      <c r="P36" s="241">
        <v>9.2191099999999998E-2</v>
      </c>
      <c r="Q36" s="241"/>
      <c r="R36" s="241">
        <v>9.2191099999999998E-2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0.49203431306670958</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45337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45153</v>
      </c>
      <c r="AA48" s="77"/>
      <c r="AB48" s="76">
        <v>45244</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45245</v>
      </c>
      <c r="AA49" s="77"/>
      <c r="AB49" s="76">
        <v>45336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45336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389</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257512</v>
      </c>
      <c r="S58" s="238"/>
      <c r="T58" s="237">
        <f>122+111</f>
        <v>233</v>
      </c>
      <c r="U58" s="237"/>
      <c r="V58" s="237">
        <v>4067</v>
      </c>
      <c r="W58" s="238"/>
      <c r="X58" s="238">
        <v>0</v>
      </c>
      <c r="Y58" s="238"/>
      <c r="Z58" s="238">
        <v>0</v>
      </c>
      <c r="AA58" s="238"/>
      <c r="AB58" s="237">
        <f>R58-T58-V58+X58-Z58</f>
        <v>253212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257512</v>
      </c>
      <c r="S61" s="238"/>
      <c r="T61" s="238">
        <f>T58+T59</f>
        <v>233</v>
      </c>
      <c r="U61" s="238"/>
      <c r="V61" s="238">
        <f>SUM(V58:V60)</f>
        <v>4067</v>
      </c>
      <c r="W61" s="238"/>
      <c r="X61" s="238">
        <f>SUM(X58:X60)</f>
        <v>0</v>
      </c>
      <c r="Y61" s="238"/>
      <c r="Z61" s="238">
        <f>SUM(Z58:Z60)</f>
        <v>0</v>
      </c>
      <c r="AA61" s="238"/>
      <c r="AB61" s="238">
        <f>SUM(AB58:AB60)</f>
        <v>253212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4</v>
      </c>
      <c r="S64" s="238"/>
      <c r="T64" s="238">
        <v>0</v>
      </c>
      <c r="U64" s="238"/>
      <c r="V64" s="238">
        <v>-3</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257516</v>
      </c>
      <c r="S67" s="238"/>
      <c r="T67" s="238"/>
      <c r="U67" s="238"/>
      <c r="V67" s="238"/>
      <c r="W67" s="238"/>
      <c r="X67" s="238"/>
      <c r="Y67" s="238"/>
      <c r="Z67" s="238"/>
      <c r="AA67" s="238"/>
      <c r="AB67" s="238">
        <f>SUM(AB61:AB66)</f>
        <v>253213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45322</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4</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4301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2129+1174-124-110</f>
        <v>3069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43+34</f>
        <v>77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201</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111</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813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1220</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4305</v>
      </c>
      <c r="AA84" s="40"/>
      <c r="AB84" s="97">
        <f>SUM(AB71:AB83)</f>
        <v>5491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4305</v>
      </c>
      <c r="AA87" s="40"/>
      <c r="AB87" s="97">
        <f>AB84+AB85+AB86</f>
        <v>5491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-130-10-5</f>
        <v>-145</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1380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-357</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-2452</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-444</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-349</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-396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-619</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-800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-447</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-111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-7-92</f>
        <v>-99</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-542</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-4303</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-4303</v>
      </c>
      <c r="AA130" s="97"/>
      <c r="AB130" s="97">
        <f>SUM(AB88:AB128)</f>
        <v>-5491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2024</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23'!AB146</f>
        <v>3092.5499999999993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-111</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2981.5499999999993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23'!AB182</f>
        <v>3427</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619</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813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3233</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23'!AB199</f>
        <v>354</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988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1220</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122</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+'October 23'!AB207</f>
        <v>1027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988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800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839</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+'October 23'!Y213</f>
        <v>0</v>
      </c>
      <c r="Z212" s="98">
        <f>+'October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201208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206855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-5647</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2.5202271035748101E-2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2.3937344250622998</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3.38</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8.8175675675675684</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20.04</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9.9455587392550147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23.07</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7.8838383838383841</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18.64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6.0984340044742726</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14.21</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JANUARY 2024</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45322</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4.6676760605374394E-2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6.8472041493840397E-2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314">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2.6681837245064385E-2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13.981624347231026</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1.6697991581105642E-2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0.1757</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4</v>
      </c>
      <c r="Z262" s="162">
        <f>+Z314</f>
        <v>1183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1</v>
      </c>
      <c r="Z263" s="162">
        <f>+Z336</f>
        <v>195</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'October 23'!Z268+Z267</f>
        <v>35</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+X293+X305+X327</f>
        <v>1442</v>
      </c>
      <c r="Y281" s="192">
        <f>X281/$X$290</f>
        <v>0.99311294765840219</v>
      </c>
      <c r="Z281" s="107">
        <f t="shared" ref="Z281:Z288" si="1">+Z293+Z305+Z327</f>
        <v>251272</v>
      </c>
      <c r="AA281" s="192">
        <f t="shared" ref="AA281:AA288" si="2">Z281/$Z$290</f>
        <v>0.99233843577713532</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ref="X282:X288" si="3">+X294+X306+X328</f>
        <v>1</v>
      </c>
      <c r="Y282" s="196">
        <f t="shared" ref="Y282:Y288" si="4">X282/$X$290</f>
        <v>6.8870523415977963E-4</v>
      </c>
      <c r="Z282" s="197">
        <f t="shared" si="1"/>
        <v>83</v>
      </c>
      <c r="AA282" s="198">
        <f t="shared" si="2"/>
        <v>3.2778857242152823E-4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3"/>
        <v>1</v>
      </c>
      <c r="Y283" s="200">
        <f t="shared" si="4"/>
        <v>6.8870523415977963E-4</v>
      </c>
      <c r="Z283" s="131">
        <f t="shared" si="1"/>
        <v>80</v>
      </c>
      <c r="AA283" s="198">
        <f t="shared" si="2"/>
        <v>3.1594079269544885E-4</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+X296+X308+X330</f>
        <v>1</v>
      </c>
      <c r="Y284" s="200">
        <f t="shared" si="4"/>
        <v>6.8870523415977963E-4</v>
      </c>
      <c r="Z284" s="131">
        <f t="shared" si="1"/>
        <v>222</v>
      </c>
      <c r="AA284" s="198">
        <f t="shared" si="2"/>
        <v>8.7673569972987063E-4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3"/>
        <v>2</v>
      </c>
      <c r="Y285" s="200">
        <f t="shared" si="4"/>
        <v>1.3774104683195593E-3</v>
      </c>
      <c r="Z285" s="131">
        <f t="shared" si="1"/>
        <v>107</v>
      </c>
      <c r="AA285" s="198">
        <f t="shared" si="2"/>
        <v>4.2257081023016284E-4</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3"/>
        <v>2</v>
      </c>
      <c r="Y286" s="200">
        <f t="shared" si="4"/>
        <v>1.3774104683195593E-3</v>
      </c>
      <c r="Z286" s="131">
        <f t="shared" si="1"/>
        <v>731</v>
      </c>
      <c r="AA286" s="198">
        <f t="shared" si="2"/>
        <v>2.8869089932546639E-3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3"/>
        <v>2</v>
      </c>
      <c r="Y287" s="202">
        <f t="shared" si="4"/>
        <v>1.3774104683195593E-3</v>
      </c>
      <c r="Z287" s="203">
        <f t="shared" si="1"/>
        <v>291</v>
      </c>
      <c r="AA287" s="198">
        <f t="shared" si="2"/>
        <v>1.1492346334296953E-3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3"/>
        <v>1</v>
      </c>
      <c r="Y288" s="198">
        <f t="shared" si="4"/>
        <v>6.8870523415977963E-4</v>
      </c>
      <c r="Z288" s="107">
        <f t="shared" si="1"/>
        <v>426</v>
      </c>
      <c r="AA288" s="198">
        <f t="shared" si="2"/>
        <v>1.6823847211032653E-3</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1452</v>
      </c>
      <c r="Y290" s="198">
        <f>SUM(Y281:Y289)</f>
        <v>0.99999999999999978</v>
      </c>
      <c r="Z290" s="98">
        <f>SUM(Z281:Z289)</f>
        <v>253212</v>
      </c>
      <c r="AA290" s="198">
        <f>SUM(AA281:AA289)</f>
        <v>0.99999999999999989</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1442</v>
      </c>
      <c r="Y293" s="192">
        <f>X293/$X$302</f>
        <v>0.99654457498272286</v>
      </c>
      <c r="Z293" s="107">
        <v>251272</v>
      </c>
      <c r="AA293" s="192">
        <f>Z293/$Z$302</f>
        <v>0.99776837122866646</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6.9108500345542499E-4</v>
      </c>
      <c r="Z294" s="98">
        <v>83</v>
      </c>
      <c r="AA294" s="198">
        <f t="shared" ref="AA294:AA300" si="6">Z294/$Z$302</f>
        <v>3.2958218509017846E-4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6.9108500345542499E-4</v>
      </c>
      <c r="Z295" s="98">
        <v>80</v>
      </c>
      <c r="AA295" s="198">
        <f t="shared" si="6"/>
        <v>3.1766957599053345E-4</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2</v>
      </c>
      <c r="Y297" s="198">
        <f t="shared" si="5"/>
        <v>1.38217000691085E-3</v>
      </c>
      <c r="Z297" s="98">
        <v>107</v>
      </c>
      <c r="AA297" s="198">
        <f t="shared" si="6"/>
        <v>4.2488305788733851E-4</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 t="shared" si="5"/>
        <v>6.9108500345542499E-4</v>
      </c>
      <c r="Z298" s="98">
        <v>292</v>
      </c>
      <c r="AA298" s="198">
        <f t="shared" si="6"/>
        <v>1.1594939523654471E-3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X299/$X$302</f>
        <v>0</v>
      </c>
      <c r="Z299" s="98">
        <v>0</v>
      </c>
      <c r="AA299" s="198">
        <f t="shared" si="6"/>
        <v>0</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1447</v>
      </c>
      <c r="Y302" s="198">
        <f>SUM(Y293:Y301)</f>
        <v>0.99999999999999989</v>
      </c>
      <c r="Z302" s="98">
        <f>SUM(Z293:Z301)</f>
        <v>251834</v>
      </c>
      <c r="AA302" s="198">
        <f>SUM(AA293:AA301)</f>
        <v>1</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f>X305/X314</f>
        <v>0</v>
      </c>
      <c r="Z305" s="107">
        <v>0</v>
      </c>
      <c r="AA305" s="192">
        <f>Z305/Z314</f>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1</v>
      </c>
      <c r="Y308" s="198">
        <f>X308/X314</f>
        <v>0.25</v>
      </c>
      <c r="Z308" s="98">
        <v>222</v>
      </c>
      <c r="AA308" s="198">
        <f>Z308/Z314</f>
        <v>0.18765849535080303</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0.25</v>
      </c>
      <c r="Z310" s="98">
        <v>439</v>
      </c>
      <c r="AA310" s="198">
        <f>Z310/Z314</f>
        <v>0.37109044801352492</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1</v>
      </c>
      <c r="Y311" s="198">
        <f>X311/X314</f>
        <v>0.25</v>
      </c>
      <c r="Z311" s="98">
        <v>96</v>
      </c>
      <c r="AA311" s="198">
        <f>Z311/Z314</f>
        <v>8.1149619611158075E-2</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0.25</v>
      </c>
      <c r="Z312" s="98">
        <v>426</v>
      </c>
      <c r="AA312" s="198">
        <f>Z312/Z314</f>
        <v>0.36010143702451397</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4</v>
      </c>
      <c r="Y314" s="198">
        <f>SUM(Y305:Y313)</f>
        <v>1</v>
      </c>
      <c r="Z314" s="98">
        <f>SUM(Z305:Z313)</f>
        <v>1183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1</v>
      </c>
      <c r="Y317" s="303">
        <f>X317/X324</f>
        <v>0.25</v>
      </c>
      <c r="Z317" s="304">
        <v>439</v>
      </c>
      <c r="AA317" s="303">
        <f>Z317/Z324</f>
        <v>0.37109044801352492</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1</v>
      </c>
      <c r="Y319" s="303">
        <f>X319/X324</f>
        <v>0.25</v>
      </c>
      <c r="Z319" s="304">
        <v>96</v>
      </c>
      <c r="AA319" s="303">
        <f>Z319/Z324</f>
        <v>8.1149619611158075E-2</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f>X321/X324</f>
        <v>0</v>
      </c>
      <c r="Z321" s="304">
        <v>0</v>
      </c>
      <c r="AA321" s="303">
        <f>Z321/Z324</f>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2</v>
      </c>
      <c r="Y322" s="303">
        <f>X322/X324</f>
        <v>0.5</v>
      </c>
      <c r="Z322" s="304">
        <v>648</v>
      </c>
      <c r="AA322" s="303">
        <f>Z322/Z324</f>
        <v>0.54775993237531695</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4</v>
      </c>
      <c r="Y324" s="277">
        <f>SUM(Y317:Y322)</f>
        <v>1</v>
      </c>
      <c r="Z324" s="278">
        <f>SUM(Z317:Z322)</f>
        <v>1183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1</v>
      </c>
      <c r="Y333" s="198">
        <v>1</v>
      </c>
      <c r="Z333" s="98">
        <v>195</v>
      </c>
      <c r="AA333" s="198">
        <v>1</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1</v>
      </c>
      <c r="Y336" s="198">
        <f>SUM(Y327:Y334)</f>
        <v>1</v>
      </c>
      <c r="Z336" s="98">
        <f>SUM(Z327:Z334)</f>
        <v>195</v>
      </c>
      <c r="AA336" s="198">
        <f>SUM(AA327:AA334)</f>
        <v>1</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1452</v>
      </c>
      <c r="Y338" s="198"/>
      <c r="Z338" s="211">
        <f>+Z336+Z314+Z302</f>
        <v>253212</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1</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253213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253213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0.93183113336040968</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JANUARY 2024</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6" t="s">
        <v>390</v>
      </c>
    </row>
    <row r="356" spans="1:29" x14ac:dyDescent="0.3">
      <c r="B356" s="271"/>
    </row>
    <row r="357" spans="1:29" x14ac:dyDescent="0.3">
      <c r="B357" s="279" t="s">
        <v>354</v>
      </c>
    </row>
    <row r="358" spans="1:29" x14ac:dyDescent="0.3">
      <c r="B358" s="270" t="s">
        <v>352</v>
      </c>
    </row>
    <row r="359" spans="1:29" x14ac:dyDescent="0.3">
      <c r="B359" s="300" t="s">
        <v>353</v>
      </c>
    </row>
    <row r="361" spans="1:29" x14ac:dyDescent="0.3">
      <c r="B361" s="6" t="s">
        <v>385</v>
      </c>
    </row>
    <row r="362" spans="1:29" x14ac:dyDescent="0.3">
      <c r="B362" s="6" t="s">
        <v>384</v>
      </c>
    </row>
  </sheetData>
  <hyperlinks>
    <hyperlink ref="K9" r:id="rId1" display="http://www.paragon-group.co.uk" xr:uid="{68B0BCB1-D34E-4880-81F5-C17A2FA65A04}"/>
    <hyperlink ref="P350" r:id="rId2" xr:uid="{DC597093-34CF-4A8C-A62D-6F4EFBE69C0A}"/>
    <hyperlink ref="P278" r:id="rId3" xr:uid="{57782351-4A32-400F-8F97-214B173495FF}"/>
    <hyperlink ref="B359" r:id="rId4" display="https://investorreporting.paragonbankinggroup.co.uk/bondinvestor_viewer/resources/bondinvestor/pdf/investornews/2021/libor-mortgages-transition-july-19" xr:uid="{E5D49594-64EC-4171-B654-0F7171FCF1C0}"/>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62B6-4651-42F2-9743-FB5D24C7062D}">
  <sheetPr>
    <tabColor rgb="FF2D2926"/>
  </sheetPr>
  <dimension ref="A1:JB342"/>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0.254460152578389</v>
      </c>
      <c r="Z17" s="29" t="s">
        <v>258</v>
      </c>
      <c r="AA17" s="29">
        <v>0.74553984742161095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43879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321689.74764999998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8976.4193099999993</v>
      </c>
      <c r="Q30" s="54"/>
      <c r="R30" s="54">
        <f>'October 19'!R31</f>
        <v>9156</v>
      </c>
      <c r="S30" s="54"/>
      <c r="T30" s="54" t="s">
        <v>83</v>
      </c>
      <c r="U30" s="54"/>
      <c r="V30" s="54" t="s">
        <v>83</v>
      </c>
      <c r="W30" s="54"/>
      <c r="X30" s="54" t="s">
        <v>83</v>
      </c>
      <c r="Y30" s="54" t="s">
        <v>83</v>
      </c>
      <c r="Z30" s="54"/>
      <c r="AA30" s="49"/>
      <c r="AB30" s="50">
        <f>SUM(D30:N30)</f>
        <v>556732.74765000003</v>
      </c>
      <c r="AC30" s="51"/>
      <c r="AD30" s="22"/>
    </row>
    <row r="31" spans="1:33" s="23" customFormat="1" x14ac:dyDescent="0.3">
      <c r="A31" s="47"/>
      <c r="B31" s="44" t="s">
        <v>92</v>
      </c>
      <c r="C31" s="49"/>
      <c r="D31" s="57">
        <f>D29*D32</f>
        <v>288441.25134999998</v>
      </c>
      <c r="E31" s="57"/>
      <c r="F31" s="57">
        <f>F29</f>
        <v>151540</v>
      </c>
      <c r="G31" s="57"/>
      <c r="H31" s="57">
        <f>H29</f>
        <v>24741</v>
      </c>
      <c r="I31" s="57"/>
      <c r="J31" s="57">
        <f>J29</f>
        <v>18555</v>
      </c>
      <c r="K31" s="57"/>
      <c r="L31" s="57">
        <f>L29</f>
        <v>20102</v>
      </c>
      <c r="M31" s="57"/>
      <c r="N31" s="57">
        <f>N29</f>
        <v>20105</v>
      </c>
      <c r="O31" s="57"/>
      <c r="P31" s="57">
        <f>P29*P32</f>
        <v>8049.4981500000004</v>
      </c>
      <c r="Q31" s="57"/>
      <c r="R31" s="57">
        <v>7541</v>
      </c>
      <c r="S31" s="57"/>
      <c r="T31" s="57" t="s">
        <v>83</v>
      </c>
      <c r="U31" s="57"/>
      <c r="V31" s="57" t="s">
        <v>83</v>
      </c>
      <c r="W31" s="57"/>
      <c r="X31" s="57" t="s">
        <v>83</v>
      </c>
      <c r="Y31" s="57" t="s">
        <v>83</v>
      </c>
      <c r="Z31" s="57"/>
      <c r="AA31" s="49"/>
      <c r="AB31" s="56">
        <f>SUM(D31:N31)</f>
        <v>523484.25134999998</v>
      </c>
      <c r="AC31" s="51"/>
      <c r="AD31" s="22"/>
      <c r="AE31" s="235"/>
    </row>
    <row r="32" spans="1:33" s="65" customFormat="1" x14ac:dyDescent="0.3">
      <c r="A32" s="58"/>
      <c r="B32" s="166" t="s">
        <v>88</v>
      </c>
      <c r="C32" s="61"/>
      <c r="D32" s="60">
        <v>0.75214999999999999</v>
      </c>
      <c r="E32" s="60"/>
      <c r="F32" s="60">
        <v>1</v>
      </c>
      <c r="G32" s="60"/>
      <c r="H32" s="60">
        <v>1</v>
      </c>
      <c r="I32" s="60"/>
      <c r="J32" s="60">
        <v>1</v>
      </c>
      <c r="K32" s="60"/>
      <c r="L32" s="60">
        <v>1</v>
      </c>
      <c r="M32" s="60"/>
      <c r="N32" s="60">
        <v>1</v>
      </c>
      <c r="O32" s="60"/>
      <c r="P32" s="60">
        <v>0.79095000000000004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0.83884999999999998</v>
      </c>
      <c r="E33" s="225"/>
      <c r="F33" s="225">
        <v>1</v>
      </c>
      <c r="G33" s="225"/>
      <c r="H33" s="225">
        <v>1</v>
      </c>
      <c r="I33" s="225"/>
      <c r="J33" s="225">
        <v>1</v>
      </c>
      <c r="K33" s="225"/>
      <c r="L33" s="225">
        <v>1</v>
      </c>
      <c r="M33" s="225"/>
      <c r="N33" s="225">
        <v>1</v>
      </c>
      <c r="O33" s="225"/>
      <c r="P33" s="60">
        <v>0.88202999999999998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1.7612599999999999E-2</v>
      </c>
      <c r="E35" s="241"/>
      <c r="F35" s="241">
        <v>1.91126E-2</v>
      </c>
      <c r="G35" s="241"/>
      <c r="H35" s="241">
        <v>2.61126E-2</v>
      </c>
      <c r="I35" s="241"/>
      <c r="J35" s="241">
        <v>2.9612599999999999E-2</v>
      </c>
      <c r="K35" s="241"/>
      <c r="L35" s="241">
        <v>3.3112599999999999E-2</v>
      </c>
      <c r="M35" s="241"/>
      <c r="N35" s="241">
        <v>4.3112600000000001E-2</v>
      </c>
      <c r="O35" s="241"/>
      <c r="P35" s="241">
        <v>4.7112599999999998E-2</v>
      </c>
      <c r="Q35" s="241"/>
      <c r="R35" s="241">
        <v>4.7112599999999998E-2</v>
      </c>
      <c r="S35" s="68"/>
      <c r="T35" s="68" t="s">
        <v>83</v>
      </c>
      <c r="U35" s="68"/>
      <c r="V35" s="68" t="s">
        <v>83</v>
      </c>
      <c r="W35" s="68"/>
      <c r="X35" s="68" t="s">
        <v>83</v>
      </c>
      <c r="Y35" s="68" t="s">
        <v>83</v>
      </c>
      <c r="Z35" s="68"/>
      <c r="AA35" s="40"/>
      <c r="AB35" s="67">
        <f>SUMPRODUCT(D35:N35,D30:N30)/AB30</f>
        <v>2.0279098434421668E-2</v>
      </c>
      <c r="AC35" s="43"/>
      <c r="AD35" s="22"/>
    </row>
    <row r="36" spans="1:30" s="23" customFormat="1" x14ac:dyDescent="0.3">
      <c r="A36" s="47"/>
      <c r="B36" s="40" t="s">
        <v>10</v>
      </c>
      <c r="C36" s="69"/>
      <c r="D36" s="241">
        <v>1.7608200000000001E-2</v>
      </c>
      <c r="E36" s="241"/>
      <c r="F36" s="241">
        <v>1.9108199999999999E-2</v>
      </c>
      <c r="G36" s="241"/>
      <c r="H36" s="241">
        <v>2.6108200000000002E-2</v>
      </c>
      <c r="I36" s="241"/>
      <c r="J36" s="241">
        <v>2.9608200000000001E-2</v>
      </c>
      <c r="K36" s="241"/>
      <c r="L36" s="241">
        <v>3.3108199999999997E-2</v>
      </c>
      <c r="M36" s="241"/>
      <c r="N36" s="241">
        <v>4.3108199999999999E-2</v>
      </c>
      <c r="O36" s="241"/>
      <c r="P36" s="241">
        <v>4.7108200000000003E-2</v>
      </c>
      <c r="Q36" s="241"/>
      <c r="R36" s="241">
        <v>4.7108200000000003E-2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0.18978763241339647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43878</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135</v>
      </c>
      <c r="Y48" s="40"/>
      <c r="Z48" s="76">
        <v>43649</v>
      </c>
      <c r="AA48" s="77"/>
      <c r="AB48" s="76">
        <v>43783</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94</v>
      </c>
      <c r="Y49" s="40"/>
      <c r="Z49" s="76">
        <v>43784</v>
      </c>
      <c r="AA49" s="77"/>
      <c r="AB49" s="76">
        <v>43877</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43877</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308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556346</v>
      </c>
      <c r="S58" s="238"/>
      <c r="T58" s="237">
        <f>167+260</f>
        <v>427</v>
      </c>
      <c r="U58" s="238"/>
      <c r="V58" s="238">
        <v>32818</v>
      </c>
      <c r="W58" s="238"/>
      <c r="X58" s="238">
        <v>0</v>
      </c>
      <c r="Y58" s="238"/>
      <c r="Z58" s="238">
        <v>0</v>
      </c>
      <c r="AA58" s="238"/>
      <c r="AB58" s="237">
        <f>R58-T58-V58+X58-Z58</f>
        <v>523101</v>
      </c>
      <c r="AC58" s="43"/>
      <c r="AD58" s="22"/>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556346</v>
      </c>
      <c r="S61" s="238"/>
      <c r="T61" s="238">
        <f>T58+T59</f>
        <v>427</v>
      </c>
      <c r="U61" s="238"/>
      <c r="V61" s="238">
        <f>SUM(V58:V60)</f>
        <v>32818</v>
      </c>
      <c r="W61" s="238"/>
      <c r="X61" s="238">
        <f>SUM(X58:X60)</f>
        <v>0</v>
      </c>
      <c r="Y61" s="238"/>
      <c r="Z61" s="238">
        <f>SUM(Z58:Z60)</f>
        <v>0</v>
      </c>
      <c r="AA61" s="238"/>
      <c r="AB61" s="238">
        <f>SUM(AB58:AB60)</f>
        <v>523101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4</v>
      </c>
      <c r="S64" s="238"/>
      <c r="T64" s="238">
        <v>0</v>
      </c>
      <c r="U64" s="238"/>
      <c r="V64" s="238">
        <v>-4</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383</v>
      </c>
      <c r="S65" s="238"/>
      <c r="T65" s="238"/>
      <c r="U65" s="238"/>
      <c r="V65" s="238"/>
      <c r="W65" s="238"/>
      <c r="X65" s="238"/>
      <c r="Y65" s="238"/>
      <c r="Z65" s="238"/>
      <c r="AA65" s="238"/>
      <c r="AB65" s="238">
        <f>+R65+X65</f>
        <v>383</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556733</v>
      </c>
      <c r="S67" s="238"/>
      <c r="T67" s="238"/>
      <c r="U67" s="238"/>
      <c r="V67" s="238"/>
      <c r="W67" s="238"/>
      <c r="X67" s="238"/>
      <c r="Y67" s="238"/>
      <c r="Z67" s="238"/>
      <c r="AA67" s="238"/>
      <c r="AB67" s="238">
        <f>SUM(AB61:AB66)</f>
        <v>523484</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43861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-V64</f>
        <v>4</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f>-Z72</f>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33245</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5122+1952-1258-411</f>
        <v>5405</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145+41</f>
        <v>186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101</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927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153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33249</v>
      </c>
      <c r="AA84" s="40"/>
      <c r="AB84" s="97">
        <f>SUM(AB71:AB83)</f>
        <v>6772</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33249</v>
      </c>
      <c r="AA87" s="40"/>
      <c r="AB87" s="97">
        <f>AB84+AB85+AB86</f>
        <v>6772</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-280-30-8</f>
        <v>-318</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-15</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-1458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-747</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-166</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-142</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-171</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-223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-109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-927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-111</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-1615</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-33249</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-33249</v>
      </c>
      <c r="AA130" s="97"/>
      <c r="AB130" s="97">
        <f>SUM(AB88:AB128)</f>
        <v>-6772</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19'!AB146</f>
        <v>8396.5499999999993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-927</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7469.5499999999993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19'!AB159</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19'!AB165</f>
        <v>383</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383</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19'!AB173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19'!AB181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19'!AB190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19'!AB198</f>
        <v>656</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803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153</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1306</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19'!AB206</f>
        <v>950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650+153</f>
        <v>803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897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19'!Y213</f>
        <v>0</v>
      </c>
      <c r="Z211" s="98">
        <f>+'October 19'!Z213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440485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440695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-210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7.1999999999999998E-3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2.9192743764172335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2.37</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25.493975903614459</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19.47</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28.633802816901408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21.68</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22.94736842105263</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17.11</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16.829596412556054</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12.28</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43861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3.9763993990615594E-2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2.0279098434421668E-2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1.9484895556193926E-2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1.2163819999892229E-2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17.8</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5.971444121329255E-2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0.23619999999999999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+X325</f>
        <v>0</v>
      </c>
      <c r="Z262" s="162">
        <f>+Z325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19'!Z267+Z266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182"/>
      <c r="Q277" s="182"/>
      <c r="R277" s="182"/>
      <c r="S277" s="182"/>
      <c r="T277" s="182"/>
      <c r="U277" s="182"/>
      <c r="V277" s="182"/>
      <c r="W277" s="59"/>
      <c r="X277" s="183" t="s">
        <v>167</v>
      </c>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+X292+X304+X316</f>
        <v>2996</v>
      </c>
      <c r="Y280" s="192">
        <f>X280/$X$289</f>
        <v>0.99899966655551853</v>
      </c>
      <c r="Z280" s="107">
        <f>+Z292+Z304+Z316</f>
        <v>522442</v>
      </c>
      <c r="AA280" s="192">
        <f t="shared" ref="AA280:AA287" si="1">Z280/$Z$289</f>
        <v>0.99874020504644423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+X293+X305+X317</f>
        <v>2</v>
      </c>
      <c r="Y281" s="196">
        <f t="shared" ref="Y281:Y287" si="2">X281/$X$289</f>
        <v>6.6688896298766251E-4</v>
      </c>
      <c r="Z281" s="197">
        <f>+Z293+Z305+Z317</f>
        <v>364</v>
      </c>
      <c r="AA281" s="198">
        <f t="shared" si="1"/>
        <v>6.9585032336011595E-4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ref="X282:X286" si="3">+X294+X306+X318</f>
        <v>1</v>
      </c>
      <c r="Y282" s="200">
        <f t="shared" si="2"/>
        <v>3.3344448149383126E-4</v>
      </c>
      <c r="Z282" s="131">
        <f t="shared" ref="Z282:Z286" si="4">+Z294+Z306+Z318</f>
        <v>295</v>
      </c>
      <c r="AA282" s="198">
        <f t="shared" si="1"/>
        <v>5.6394463019569839E-4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3"/>
        <v>0</v>
      </c>
      <c r="Y283" s="200">
        <f t="shared" si="2"/>
        <v>0</v>
      </c>
      <c r="Z283" s="131">
        <f t="shared" si="4"/>
        <v>0</v>
      </c>
      <c r="AA283" s="198">
        <f t="shared" si="1"/>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3"/>
        <v>0</v>
      </c>
      <c r="Y284" s="200">
        <f t="shared" si="2"/>
        <v>0</v>
      </c>
      <c r="Z284" s="131">
        <f t="shared" si="4"/>
        <v>0</v>
      </c>
      <c r="AA284" s="198">
        <f t="shared" si="1"/>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+X297+X309+X321</f>
        <v>0</v>
      </c>
      <c r="Y285" s="200">
        <f t="shared" si="2"/>
        <v>0</v>
      </c>
      <c r="Z285" s="131">
        <f t="shared" si="4"/>
        <v>0</v>
      </c>
      <c r="AA285" s="198">
        <f t="shared" si="1"/>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3"/>
        <v>0</v>
      </c>
      <c r="Y286" s="202">
        <f t="shared" si="2"/>
        <v>0</v>
      </c>
      <c r="Z286" s="203">
        <f t="shared" si="4"/>
        <v>0</v>
      </c>
      <c r="AA286" s="198">
        <f t="shared" si="1"/>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+X299+X311+X323</f>
        <v>0</v>
      </c>
      <c r="Y287" s="198">
        <f t="shared" si="2"/>
        <v>0</v>
      </c>
      <c r="Z287" s="107">
        <f>+Z299+Z311+Z323</f>
        <v>0</v>
      </c>
      <c r="AA287" s="198">
        <f t="shared" si="1"/>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2999</v>
      </c>
      <c r="Y289" s="198">
        <f>SUM(Y280:Y288)</f>
        <v>1</v>
      </c>
      <c r="Z289" s="98">
        <f>SUM(Z280:Z288)</f>
        <v>523101</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2996</v>
      </c>
      <c r="Y292" s="192">
        <f>X292/$X$301</f>
        <v>0.99899966655551853</v>
      </c>
      <c r="Z292" s="107">
        <v>522442</v>
      </c>
      <c r="AA292" s="192">
        <f>Z292/$Z$301</f>
        <v>0.99874020504644423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6.6688896298766251E-4</v>
      </c>
      <c r="Z293" s="98">
        <v>364</v>
      </c>
      <c r="AA293" s="198">
        <f t="shared" ref="AA293:AA299" si="6">Z293/$Z$301</f>
        <v>6.9585032336011595E-4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3.3344448149383126E-4</v>
      </c>
      <c r="Z294" s="98">
        <v>295</v>
      </c>
      <c r="AA294" s="198">
        <f t="shared" si="6"/>
        <v>5.6394463019569839E-4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2999</v>
      </c>
      <c r="Y301" s="198">
        <f>SUM(Y292:Y300)</f>
        <v>1</v>
      </c>
      <c r="Z301" s="98">
        <f>SUM(Z292:Z300)</f>
        <v>523101</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x14ac:dyDescent="0.3">
      <c r="A314" s="7"/>
      <c r="B314" s="99"/>
      <c r="C314" s="99"/>
      <c r="D314" s="205"/>
      <c r="E314" s="205"/>
      <c r="F314" s="205"/>
      <c r="G314" s="205"/>
      <c r="H314" s="205"/>
      <c r="I314" s="205"/>
      <c r="J314" s="205"/>
      <c r="K314" s="205"/>
      <c r="L314" s="205"/>
      <c r="M314" s="205"/>
      <c r="N314" s="205"/>
      <c r="O314" s="205"/>
      <c r="P314" s="205"/>
      <c r="Q314" s="205"/>
      <c r="R314" s="205"/>
      <c r="S314" s="205"/>
      <c r="T314" s="205"/>
      <c r="U314" s="205"/>
      <c r="V314" s="205"/>
      <c r="W314" s="205"/>
      <c r="X314" s="100"/>
      <c r="Y314" s="206"/>
      <c r="Z314" s="207"/>
      <c r="AA314" s="206"/>
      <c r="AB314" s="99"/>
      <c r="AC314" s="10"/>
      <c r="AD314" s="5"/>
    </row>
    <row r="315" spans="1:30" x14ac:dyDescent="0.3">
      <c r="A315" s="33"/>
      <c r="B315" s="102" t="s">
        <v>106</v>
      </c>
      <c r="C315" s="34"/>
      <c r="D315" s="208"/>
      <c r="E315" s="208"/>
      <c r="F315" s="208"/>
      <c r="G315" s="208"/>
      <c r="H315" s="208"/>
      <c r="I315" s="208"/>
      <c r="J315" s="208"/>
      <c r="K315" s="208"/>
      <c r="L315" s="208"/>
      <c r="M315" s="208"/>
      <c r="N315" s="208"/>
      <c r="O315" s="208"/>
      <c r="P315" s="208"/>
      <c r="Q315" s="208"/>
      <c r="R315" s="208"/>
      <c r="S315" s="208"/>
      <c r="T315" s="208"/>
      <c r="U315" s="208"/>
      <c r="V315" s="208"/>
      <c r="W315" s="208"/>
      <c r="X315" s="154" t="s">
        <v>69</v>
      </c>
      <c r="Y315" s="103" t="s">
        <v>70</v>
      </c>
      <c r="Z315" s="154" t="s">
        <v>75</v>
      </c>
      <c r="AA315" s="103" t="s">
        <v>70</v>
      </c>
      <c r="AB315" s="34"/>
      <c r="AC315" s="36"/>
      <c r="AD315" s="5"/>
    </row>
    <row r="316" spans="1:30" s="23" customFormat="1" x14ac:dyDescent="0.3">
      <c r="A316" s="18"/>
      <c r="B316" s="106" t="s">
        <v>59</v>
      </c>
      <c r="C316" s="37"/>
      <c r="D316" s="209"/>
      <c r="E316" s="209"/>
      <c r="F316" s="209"/>
      <c r="G316" s="209"/>
      <c r="H316" s="209"/>
      <c r="I316" s="209"/>
      <c r="J316" s="209"/>
      <c r="K316" s="209"/>
      <c r="L316" s="209"/>
      <c r="M316" s="209"/>
      <c r="N316" s="209"/>
      <c r="O316" s="209"/>
      <c r="P316" s="209"/>
      <c r="Q316" s="209"/>
      <c r="R316" s="209"/>
      <c r="S316" s="209"/>
      <c r="T316" s="209"/>
      <c r="U316" s="209"/>
      <c r="V316" s="209"/>
      <c r="W316" s="209"/>
      <c r="X316" s="106">
        <v>0</v>
      </c>
      <c r="Y316" s="192">
        <v>0</v>
      </c>
      <c r="Z316" s="107">
        <v>0</v>
      </c>
      <c r="AA316" s="192">
        <v>0</v>
      </c>
      <c r="AB316" s="37"/>
      <c r="AC316" s="21"/>
      <c r="AD316" s="22"/>
    </row>
    <row r="317" spans="1:30" s="23" customFormat="1" x14ac:dyDescent="0.3">
      <c r="A317" s="47"/>
      <c r="B317" s="97" t="s">
        <v>60</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97">
        <v>0</v>
      </c>
      <c r="Y317" s="198">
        <v>0</v>
      </c>
      <c r="Z317" s="98">
        <v>0</v>
      </c>
      <c r="AA317" s="198">
        <v>0</v>
      </c>
      <c r="AB317" s="40"/>
      <c r="AC317" s="43"/>
      <c r="AD317" s="22"/>
    </row>
    <row r="318" spans="1:30" s="23" customFormat="1" x14ac:dyDescent="0.3">
      <c r="A318" s="47"/>
      <c r="B318" s="97" t="s">
        <v>61</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97">
        <v>0</v>
      </c>
      <c r="Y318" s="198">
        <v>0</v>
      </c>
      <c r="Z318" s="98">
        <v>0</v>
      </c>
      <c r="AA318" s="198">
        <v>0</v>
      </c>
      <c r="AB318" s="40"/>
      <c r="AC318" s="43"/>
      <c r="AD318" s="22"/>
    </row>
    <row r="319" spans="1:30" s="23" customFormat="1" x14ac:dyDescent="0.3">
      <c r="A319" s="47"/>
      <c r="B319" s="97" t="s">
        <v>100</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97">
        <v>0</v>
      </c>
      <c r="Y319" s="198">
        <v>0</v>
      </c>
      <c r="Z319" s="98">
        <v>0</v>
      </c>
      <c r="AA319" s="198">
        <v>0</v>
      </c>
      <c r="AB319" s="40"/>
      <c r="AC319" s="43"/>
      <c r="AD319" s="22"/>
    </row>
    <row r="320" spans="1:30" s="23" customFormat="1" x14ac:dyDescent="0.3">
      <c r="A320" s="47"/>
      <c r="B320" s="97" t="s">
        <v>101</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97">
        <v>0</v>
      </c>
      <c r="Y320" s="198">
        <v>0</v>
      </c>
      <c r="Z320" s="98">
        <v>0</v>
      </c>
      <c r="AA320" s="198">
        <v>0</v>
      </c>
      <c r="AB320" s="40"/>
      <c r="AC320" s="43"/>
      <c r="AD320" s="22"/>
    </row>
    <row r="321" spans="1:30" s="23" customFormat="1" x14ac:dyDescent="0.3">
      <c r="A321" s="47"/>
      <c r="B321" s="97" t="s">
        <v>102</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97">
        <v>0</v>
      </c>
      <c r="Y321" s="198">
        <v>0</v>
      </c>
      <c r="Z321" s="98">
        <v>0</v>
      </c>
      <c r="AA321" s="198">
        <v>0</v>
      </c>
      <c r="AB321" s="40"/>
      <c r="AC321" s="43"/>
      <c r="AD321" s="22"/>
    </row>
    <row r="322" spans="1:30" s="23" customFormat="1" x14ac:dyDescent="0.3">
      <c r="A322" s="47"/>
      <c r="B322" s="97" t="s">
        <v>103</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97">
        <v>0</v>
      </c>
      <c r="Y322" s="198">
        <v>0</v>
      </c>
      <c r="Z322" s="98">
        <v>0</v>
      </c>
      <c r="AA322" s="198">
        <v>0</v>
      </c>
      <c r="AB322" s="40"/>
      <c r="AC322" s="43"/>
      <c r="AD322" s="22"/>
    </row>
    <row r="323" spans="1:30" s="23" customFormat="1" x14ac:dyDescent="0.3">
      <c r="A323" s="47"/>
      <c r="B323" s="97" t="s">
        <v>104</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97">
        <v>0</v>
      </c>
      <c r="Y323" s="198">
        <v>0</v>
      </c>
      <c r="Z323" s="98">
        <v>0</v>
      </c>
      <c r="AA323" s="198">
        <v>0</v>
      </c>
      <c r="AB323" s="40"/>
      <c r="AC323" s="43"/>
      <c r="AD323" s="22"/>
    </row>
    <row r="324" spans="1:30" s="23" customFormat="1" x14ac:dyDescent="0.3">
      <c r="A324" s="47"/>
      <c r="B324" s="97"/>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c r="Y324" s="198"/>
      <c r="Z324" s="98"/>
      <c r="AA324" s="198"/>
      <c r="AB324" s="40"/>
      <c r="AC324" s="43"/>
      <c r="AD324" s="22"/>
    </row>
    <row r="325" spans="1:30" s="23" customFormat="1" x14ac:dyDescent="0.3">
      <c r="A325" s="47"/>
      <c r="B325" s="40" t="s">
        <v>80</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f>SUM(X316:X323)</f>
        <v>0</v>
      </c>
      <c r="Y325" s="198">
        <f>SUM(Y316:Y323)</f>
        <v>0</v>
      </c>
      <c r="Z325" s="98">
        <f>SUM(Z316:Z323)</f>
        <v>0</v>
      </c>
      <c r="AA325" s="198">
        <f>SUM(AA316:AA323)</f>
        <v>0</v>
      </c>
      <c r="AB325" s="40"/>
      <c r="AC325" s="43"/>
      <c r="AD325" s="22"/>
    </row>
    <row r="326" spans="1:30" s="23" customFormat="1" x14ac:dyDescent="0.3">
      <c r="A326" s="47"/>
      <c r="B326" s="40"/>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c r="Y326" s="198"/>
      <c r="Z326" s="98"/>
      <c r="AA326" s="198"/>
      <c r="AB326" s="40"/>
      <c r="AC326" s="43"/>
      <c r="AD326" s="22"/>
    </row>
    <row r="327" spans="1:30" s="23" customFormat="1" x14ac:dyDescent="0.3">
      <c r="A327" s="47"/>
      <c r="B327" s="44" t="s">
        <v>139</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210">
        <f>X325+X313+X301</f>
        <v>2999</v>
      </c>
      <c r="Y327" s="198"/>
      <c r="Z327" s="211">
        <f>+Z325+Z313+Z301</f>
        <v>523101</v>
      </c>
      <c r="AA327" s="198"/>
      <c r="AB327" s="40"/>
      <c r="AC327" s="43"/>
      <c r="AD327" s="22"/>
    </row>
    <row r="328" spans="1:30" s="23" customFormat="1" x14ac:dyDescent="0.3">
      <c r="A328" s="47"/>
      <c r="B328" s="44" t="s">
        <v>304</v>
      </c>
      <c r="C328" s="44"/>
      <c r="D328" s="212"/>
      <c r="E328" s="212"/>
      <c r="F328" s="212"/>
      <c r="G328" s="212"/>
      <c r="H328" s="212"/>
      <c r="I328" s="212"/>
      <c r="J328" s="212"/>
      <c r="K328" s="212"/>
      <c r="L328" s="212"/>
      <c r="M328" s="212"/>
      <c r="N328" s="212"/>
      <c r="O328" s="212"/>
      <c r="P328" s="212"/>
      <c r="Q328" s="212"/>
      <c r="R328" s="212"/>
      <c r="S328" s="212"/>
      <c r="T328" s="212"/>
      <c r="U328" s="212"/>
      <c r="V328" s="212"/>
      <c r="W328" s="212"/>
      <c r="X328" s="210"/>
      <c r="Y328" s="213"/>
      <c r="Z328" s="211">
        <f>+AB65+AB64</f>
        <v>383</v>
      </c>
      <c r="AA328" s="198"/>
      <c r="AB328" s="40"/>
      <c r="AC328" s="43"/>
      <c r="AD328" s="22"/>
    </row>
    <row r="329" spans="1:30" s="23" customFormat="1" x14ac:dyDescent="0.3">
      <c r="A329" s="47"/>
      <c r="B329" s="44" t="s">
        <v>107</v>
      </c>
      <c r="C329" s="44"/>
      <c r="D329" s="212"/>
      <c r="E329" s="212"/>
      <c r="F329" s="212"/>
      <c r="G329" s="212"/>
      <c r="H329" s="212"/>
      <c r="I329" s="212"/>
      <c r="J329" s="212"/>
      <c r="K329" s="212"/>
      <c r="L329" s="212"/>
      <c r="M329" s="212"/>
      <c r="N329" s="212"/>
      <c r="O329" s="212"/>
      <c r="P329" s="212"/>
      <c r="Q329" s="212"/>
      <c r="R329" s="212"/>
      <c r="S329" s="212"/>
      <c r="T329" s="212"/>
      <c r="U329" s="212"/>
      <c r="V329" s="212"/>
      <c r="W329" s="212"/>
      <c r="X329" s="210"/>
      <c r="Y329" s="213"/>
      <c r="Z329" s="211">
        <f>+Z327+Z328</f>
        <v>523484</v>
      </c>
      <c r="AA329" s="198"/>
      <c r="AB329" s="40"/>
      <c r="AC329" s="43"/>
      <c r="AD329" s="22"/>
    </row>
    <row r="330" spans="1:30" s="23" customFormat="1" x14ac:dyDescent="0.3">
      <c r="A330" s="47"/>
      <c r="B330" s="44" t="s">
        <v>237</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210"/>
      <c r="Y330" s="198"/>
      <c r="Z330" s="211">
        <f>+AB67</f>
        <v>523484</v>
      </c>
      <c r="AA330" s="198"/>
      <c r="AB330" s="40"/>
      <c r="AC330" s="43"/>
      <c r="AD330" s="22"/>
    </row>
    <row r="331" spans="1:30" s="23" customFormat="1" x14ac:dyDescent="0.3">
      <c r="A331" s="47"/>
      <c r="B331" s="44"/>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210"/>
      <c r="Y331" s="198"/>
      <c r="Z331" s="211"/>
      <c r="AA331" s="198"/>
      <c r="AB331" s="40"/>
      <c r="AC331" s="43"/>
      <c r="AD331" s="22"/>
    </row>
    <row r="332" spans="1:30" s="23" customFormat="1" x14ac:dyDescent="0.3">
      <c r="A332" s="47"/>
      <c r="B332" s="44" t="s">
        <v>305</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210"/>
      <c r="Y332" s="198"/>
      <c r="Z332" s="236">
        <f>(D31*0.05+F31+H31+J31+L31+N31)/AB31</f>
        <v>0.47654740696431841</v>
      </c>
      <c r="AA332" s="198"/>
      <c r="AB332" s="40"/>
      <c r="AC332" s="43"/>
      <c r="AD332" s="22"/>
    </row>
    <row r="333" spans="1:30" s="23" customFormat="1" x14ac:dyDescent="0.3">
      <c r="A333" s="18"/>
      <c r="B333" s="20"/>
      <c r="C333" s="20"/>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5"/>
      <c r="AA333" s="214"/>
      <c r="AB333" s="20"/>
      <c r="AC333" s="21"/>
      <c r="AD333" s="22"/>
    </row>
    <row r="334" spans="1:30" s="23" customFormat="1" x14ac:dyDescent="0.3">
      <c r="A334" s="18"/>
      <c r="B334" s="19" t="s">
        <v>62</v>
      </c>
      <c r="C334" s="20"/>
      <c r="D334" s="216" t="s">
        <v>66</v>
      </c>
      <c r="E334" s="19"/>
      <c r="F334" s="19" t="s">
        <v>67</v>
      </c>
      <c r="G334" s="20"/>
      <c r="H334" s="19"/>
      <c r="I334" s="20"/>
      <c r="J334" s="20"/>
      <c r="K334" s="20"/>
      <c r="L334" s="20"/>
      <c r="M334" s="20"/>
      <c r="N334" s="20"/>
      <c r="O334" s="20"/>
      <c r="P334" s="20"/>
      <c r="Q334" s="20"/>
      <c r="R334" s="20"/>
      <c r="S334" s="20"/>
      <c r="T334" s="20"/>
      <c r="U334" s="20"/>
      <c r="V334" s="20"/>
      <c r="W334" s="20"/>
      <c r="X334" s="20"/>
      <c r="Y334" s="20"/>
      <c r="Z334" s="20"/>
      <c r="AA334" s="20"/>
      <c r="AB334" s="20"/>
      <c r="AC334" s="21"/>
      <c r="AD334" s="22"/>
    </row>
    <row r="335" spans="1:30" s="23" customFormat="1" x14ac:dyDescent="0.3">
      <c r="A335" s="18"/>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1"/>
      <c r="AD335" s="22"/>
    </row>
    <row r="336" spans="1:30" s="23" customFormat="1" x14ac:dyDescent="0.3">
      <c r="A336" s="18"/>
      <c r="B336" s="19" t="s">
        <v>152</v>
      </c>
      <c r="C336" s="19"/>
      <c r="D336" s="217" t="s">
        <v>122</v>
      </c>
      <c r="E336" s="19"/>
      <c r="F336" s="19" t="s">
        <v>168</v>
      </c>
      <c r="G336" s="19"/>
      <c r="H336" s="19"/>
      <c r="I336" s="20"/>
      <c r="J336" s="20"/>
      <c r="K336" s="20"/>
      <c r="L336" s="20"/>
      <c r="M336" s="20"/>
      <c r="N336" s="20"/>
      <c r="O336" s="20"/>
      <c r="P336" s="20"/>
      <c r="Q336" s="20"/>
      <c r="R336" s="20"/>
      <c r="S336" s="20"/>
      <c r="T336" s="20"/>
      <c r="U336" s="20"/>
      <c r="V336" s="20"/>
      <c r="W336" s="20"/>
      <c r="X336" s="20"/>
      <c r="Y336" s="20"/>
      <c r="Z336" s="20"/>
      <c r="AA336" s="20"/>
      <c r="AB336" s="20"/>
      <c r="AC336" s="21"/>
      <c r="AD336" s="22"/>
    </row>
    <row r="337" spans="1:30" s="23" customFormat="1" x14ac:dyDescent="0.3">
      <c r="A337" s="18"/>
      <c r="B337" s="19" t="s">
        <v>153</v>
      </c>
      <c r="C337" s="19"/>
      <c r="D337" s="217" t="s">
        <v>98</v>
      </c>
      <c r="E337" s="19"/>
      <c r="F337" s="19" t="s">
        <v>169</v>
      </c>
      <c r="G337" s="19"/>
      <c r="H337" s="19"/>
      <c r="I337" s="20"/>
      <c r="J337" s="20"/>
      <c r="K337" s="20"/>
      <c r="L337" s="20"/>
      <c r="M337" s="20"/>
      <c r="N337" s="20"/>
      <c r="O337" s="20"/>
      <c r="P337" s="20"/>
      <c r="Q337" s="20"/>
      <c r="R337" s="20"/>
      <c r="S337" s="20"/>
      <c r="T337" s="20"/>
      <c r="U337" s="20"/>
      <c r="V337" s="20"/>
      <c r="W337" s="20"/>
      <c r="X337" s="20"/>
      <c r="Y337" s="20"/>
      <c r="Z337" s="20"/>
      <c r="AA337" s="20"/>
      <c r="AB337" s="20"/>
      <c r="AC337" s="21"/>
      <c r="AD337" s="22"/>
    </row>
    <row r="338" spans="1:30" x14ac:dyDescent="0.3">
      <c r="A338" s="218"/>
      <c r="B338" s="219"/>
      <c r="C338" s="219"/>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1"/>
      <c r="AD338" s="5"/>
    </row>
    <row r="339" spans="1:30" x14ac:dyDescent="0.3">
      <c r="A339" s="218"/>
      <c r="B339" s="219"/>
      <c r="C339" s="219"/>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1"/>
      <c r="AD339" s="5"/>
    </row>
    <row r="340" spans="1:30" ht="18.600000000000001" thickBot="1" x14ac:dyDescent="0.4">
      <c r="A340" s="218"/>
      <c r="B340" s="222" t="str">
        <f>B237</f>
        <v>PM26 INVESTOR REPORT QUARTER ENDING JANUARY 2020</v>
      </c>
      <c r="C340" s="219"/>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3"/>
      <c r="AD340" s="5"/>
    </row>
    <row r="341" spans="1:30" x14ac:dyDescent="0.3">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row>
    <row r="342" spans="1:30" x14ac:dyDescent="0.3">
      <c r="B342" s="6" t="s">
        <v>307</v>
      </c>
    </row>
  </sheetData>
  <hyperlinks>
    <hyperlink ref="X277" r:id="rId1" display="http://www.paragon-group.co.uk" xr:uid="{BF15D258-7907-43CB-9E4D-BFAC64D0BC2B}"/>
    <hyperlink ref="K9" r:id="rId2" display="http://www.paragon-group.co.uk" xr:uid="{B93DD272-DE3E-44AF-A6C3-CD4B2D00B6EE}"/>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4" max="18" man="1"/>
    <brk id="134" max="18" man="1"/>
    <brk id="237" max="18" man="1"/>
  </rowBreaks>
  <colBreaks count="1" manualBreakCount="1">
    <brk id="29" max="299"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4E9-ED8F-47AF-8D09-0861D784C18A}">
  <sheetPr>
    <tabColor rgb="FF89CB31"/>
  </sheetPr>
  <dimension ref="A1:JB38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0.25080000000000002</v>
      </c>
      <c r="Z17" s="29" t="s">
        <v>258</v>
      </c>
      <c r="AA17" s="29">
        <v>0.74919999999999998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43977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288441.25134999998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8049.4981500000004</v>
      </c>
      <c r="Q30" s="54"/>
      <c r="R30" s="54">
        <f>+'January 20'!R31</f>
        <v>7541</v>
      </c>
      <c r="S30" s="54"/>
      <c r="T30" s="54" t="s">
        <v>83</v>
      </c>
      <c r="U30" s="54"/>
      <c r="V30" s="54" t="s">
        <v>83</v>
      </c>
      <c r="W30" s="54"/>
      <c r="X30" s="54" t="s">
        <v>83</v>
      </c>
      <c r="Y30" s="54" t="s">
        <v>83</v>
      </c>
      <c r="Z30" s="54"/>
      <c r="AA30" s="49"/>
      <c r="AB30" s="50">
        <f>SUM(D30:N30)</f>
        <v>523484.25134999998</v>
      </c>
      <c r="AC30" s="51"/>
      <c r="AD30" s="22"/>
    </row>
    <row r="31" spans="1:33" s="23" customFormat="1" x14ac:dyDescent="0.3">
      <c r="A31" s="47"/>
      <c r="B31" s="44" t="s">
        <v>92</v>
      </c>
      <c r="C31" s="49"/>
      <c r="D31" s="57">
        <f>D29*D32</f>
        <v>264714.78691999998</v>
      </c>
      <c r="E31" s="57"/>
      <c r="F31" s="57">
        <f>F29</f>
        <v>151540</v>
      </c>
      <c r="G31" s="57"/>
      <c r="H31" s="57">
        <f>H29</f>
        <v>24741</v>
      </c>
      <c r="I31" s="57"/>
      <c r="J31" s="57">
        <f>J29</f>
        <v>18555</v>
      </c>
      <c r="K31" s="57"/>
      <c r="L31" s="57">
        <f>L29</f>
        <v>20102</v>
      </c>
      <c r="M31" s="57"/>
      <c r="N31" s="57">
        <f>N29</f>
        <v>20105</v>
      </c>
      <c r="O31" s="57"/>
      <c r="P31" s="57">
        <f>P29*P32</f>
        <v>7550.8251499999997</v>
      </c>
      <c r="Q31" s="57"/>
      <c r="R31" s="57">
        <v>6094</v>
      </c>
      <c r="S31" s="57"/>
      <c r="T31" s="57" t="s">
        <v>83</v>
      </c>
      <c r="U31" s="57"/>
      <c r="V31" s="57" t="s">
        <v>83</v>
      </c>
      <c r="W31" s="57"/>
      <c r="X31" s="57" t="s">
        <v>83</v>
      </c>
      <c r="Y31" s="57" t="s">
        <v>83</v>
      </c>
      <c r="Z31" s="57"/>
      <c r="AA31" s="49"/>
      <c r="AB31" s="56">
        <f>SUM(D31:N31)</f>
        <v>499757.78691999998</v>
      </c>
      <c r="AC31" s="51"/>
      <c r="AD31" s="22"/>
      <c r="AE31" s="235"/>
    </row>
    <row r="32" spans="1:33" s="65" customFormat="1" x14ac:dyDescent="0.3">
      <c r="A32" s="58"/>
      <c r="B32" s="166" t="s">
        <v>88</v>
      </c>
      <c r="C32" s="61"/>
      <c r="D32" s="60">
        <v>0.69028</v>
      </c>
      <c r="E32" s="60"/>
      <c r="F32" s="60">
        <v>1</v>
      </c>
      <c r="G32" s="60"/>
      <c r="H32" s="60">
        <v>1</v>
      </c>
      <c r="I32" s="60"/>
      <c r="J32" s="60">
        <v>1</v>
      </c>
      <c r="K32" s="60"/>
      <c r="L32" s="60">
        <v>1</v>
      </c>
      <c r="M32" s="60"/>
      <c r="N32" s="60">
        <v>1</v>
      </c>
      <c r="O32" s="60"/>
      <c r="P32" s="60">
        <v>0.74195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0.75214999999999999</v>
      </c>
      <c r="E33" s="225"/>
      <c r="F33" s="225">
        <v>1</v>
      </c>
      <c r="G33" s="225"/>
      <c r="H33" s="225">
        <v>1</v>
      </c>
      <c r="I33" s="225"/>
      <c r="J33" s="225">
        <v>1</v>
      </c>
      <c r="K33" s="225"/>
      <c r="L33" s="225">
        <v>1</v>
      </c>
      <c r="M33" s="225"/>
      <c r="N33" s="225">
        <v>1</v>
      </c>
      <c r="O33" s="225"/>
      <c r="P33" s="60">
        <v>0.79095000000000004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1.3511499999999999E-2</v>
      </c>
      <c r="E35" s="241"/>
      <c r="F35" s="241">
        <v>1.5011500000000001E-2</v>
      </c>
      <c r="G35" s="241"/>
      <c r="H35" s="241">
        <v>2.20115E-2</v>
      </c>
      <c r="I35" s="241"/>
      <c r="J35" s="241">
        <v>2.5511499999999999E-2</v>
      </c>
      <c r="K35" s="241"/>
      <c r="L35" s="241">
        <v>2.9011499999999999E-2</v>
      </c>
      <c r="M35" s="241"/>
      <c r="N35" s="241">
        <v>3.9011499999999998E-2</v>
      </c>
      <c r="O35" s="241"/>
      <c r="P35" s="241">
        <v>4.3011500000000001E-2</v>
      </c>
      <c r="Q35" s="241"/>
      <c r="R35" s="241">
        <v>4.3011500000000001E-2</v>
      </c>
      <c r="S35" s="68"/>
      <c r="T35" s="68" t="s">
        <v>83</v>
      </c>
      <c r="U35" s="68"/>
      <c r="V35" s="68" t="s">
        <v>83</v>
      </c>
      <c r="W35" s="68"/>
      <c r="X35" s="68" t="s">
        <v>83</v>
      </c>
      <c r="Y35" s="68" t="s">
        <v>83</v>
      </c>
      <c r="Z35" s="68"/>
      <c r="AA35" s="40"/>
      <c r="AB35" s="67">
        <f>SUMPRODUCT(D35:N35,D30:N30)/AB30</f>
        <v>1.6347357996055453E-2</v>
      </c>
      <c r="AC35" s="43"/>
      <c r="AD35" s="22"/>
    </row>
    <row r="36" spans="1:30" s="23" customFormat="1" x14ac:dyDescent="0.3">
      <c r="A36" s="47"/>
      <c r="B36" s="40" t="s">
        <v>10</v>
      </c>
      <c r="C36" s="69"/>
      <c r="D36" s="241">
        <v>1.7612599999999999E-2</v>
      </c>
      <c r="E36" s="241"/>
      <c r="F36" s="241">
        <v>1.91126E-2</v>
      </c>
      <c r="G36" s="241"/>
      <c r="H36" s="241">
        <v>2.61126E-2</v>
      </c>
      <c r="I36" s="241"/>
      <c r="J36" s="241">
        <v>2.9612599999999999E-2</v>
      </c>
      <c r="K36" s="241"/>
      <c r="L36" s="241">
        <v>3.3112599999999999E-2</v>
      </c>
      <c r="M36" s="241"/>
      <c r="N36" s="241">
        <v>4.3112600000000001E-2</v>
      </c>
      <c r="O36" s="241"/>
      <c r="P36" s="241">
        <v>4.7112599999999998E-2</v>
      </c>
      <c r="Q36" s="241"/>
      <c r="R36" s="241">
        <v>4.7112599999999998E-2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0.20060550082286127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43966</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94</v>
      </c>
      <c r="Y48" s="40"/>
      <c r="Z48" s="76">
        <v>43784</v>
      </c>
      <c r="AA48" s="77"/>
      <c r="AB48" s="76">
        <v>43877</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88</v>
      </c>
      <c r="Y49" s="40"/>
      <c r="Z49" s="76">
        <v>43878</v>
      </c>
      <c r="AA49" s="77"/>
      <c r="AB49" s="76">
        <v>43965</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43965</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312</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523101</v>
      </c>
      <c r="S58" s="238"/>
      <c r="T58" s="237">
        <f>231+156</f>
        <v>387</v>
      </c>
      <c r="U58" s="238"/>
      <c r="V58" s="238">
        <v>23150</v>
      </c>
      <c r="W58" s="238"/>
      <c r="X58" s="238">
        <v>0</v>
      </c>
      <c r="Y58" s="238"/>
      <c r="Z58" s="238">
        <v>0</v>
      </c>
      <c r="AA58" s="238"/>
      <c r="AB58" s="237">
        <f>R58-T58-V58+X58-Z58</f>
        <v>499564</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523101</v>
      </c>
      <c r="S61" s="238"/>
      <c r="T61" s="238">
        <f>T58+T59</f>
        <v>387</v>
      </c>
      <c r="U61" s="238"/>
      <c r="V61" s="238">
        <f>SUM(V58:V60)</f>
        <v>23150</v>
      </c>
      <c r="W61" s="238"/>
      <c r="X61" s="238">
        <f>SUM(X58:X60)</f>
        <v>0</v>
      </c>
      <c r="Y61" s="238"/>
      <c r="Z61" s="238">
        <f>SUM(Z58:Z60)</f>
        <v>0</v>
      </c>
      <c r="AA61" s="238"/>
      <c r="AB61" s="238">
        <f>SUM(AB58:AB60)</f>
        <v>499564</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2</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383</v>
      </c>
      <c r="S65" s="238"/>
      <c r="T65" s="238"/>
      <c r="U65" s="238"/>
      <c r="V65" s="238"/>
      <c r="W65" s="238"/>
      <c r="X65" s="238">
        <v>-191</v>
      </c>
      <c r="Y65" s="238"/>
      <c r="Z65" s="238"/>
      <c r="AA65" s="238"/>
      <c r="AB65" s="238">
        <f>+R65+X65</f>
        <v>192</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523484</v>
      </c>
      <c r="S67" s="238"/>
      <c r="T67" s="238"/>
      <c r="U67" s="238"/>
      <c r="V67" s="238"/>
      <c r="W67" s="238"/>
      <c r="X67" s="238"/>
      <c r="Y67" s="238"/>
      <c r="Z67" s="238"/>
      <c r="AA67" s="238"/>
      <c r="AB67" s="238">
        <f>SUM(AB61:AB66)</f>
        <v>499758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43951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191</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23537</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3974+2143-497-775-266</f>
        <v>4579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131+45</f>
        <v>176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33</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498</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349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23728</v>
      </c>
      <c r="AA84" s="40"/>
      <c r="AB84" s="97">
        <f>SUM(AB71:AB83)</f>
        <v>5635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23728</v>
      </c>
      <c r="AA87" s="40"/>
      <c r="AB87" s="97">
        <f>AB84+AB85+AB86</f>
        <v>5635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-258-16-7</f>
        <v>-281</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-417</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-939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-549</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-131</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-114</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-140</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-17</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-189</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-498</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-78</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-1447</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-23726</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-23726</v>
      </c>
      <c r="AA130" s="97"/>
      <c r="AB130" s="97">
        <f>SUM(AB88:AB128)</f>
        <v>-5635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20'!AB146</f>
        <v>7469.5499999999993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-498</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6971.5499999999993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20'!AB159</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20'!AB165</f>
        <v>383</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-191</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192</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20'!AB198</f>
        <v>1306</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798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349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1755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20'!AB206</f>
        <v>897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798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849</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20'!Y213</f>
        <v>0</v>
      </c>
      <c r="Z211" s="98">
        <f>+'January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427723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428405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-682</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7.0000000000000001E-3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3.316532258064516</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2.56</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26.31297709923664</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21.14</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29.087719298245613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23.52</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22.87142857142857</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18.559999999999999</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16.201058201058203</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13.3</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43951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3.9530000000000003E-2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1.6347357996055453E-2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2.3182642003944549E-2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1.0764416868519382E-2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17.62</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4.4962214699971727E-2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0.21729999999999999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20'!Z267+Z266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2848</v>
      </c>
      <c r="Y280" s="192">
        <f>X280/$X$289</f>
        <v>0.99929824561403513</v>
      </c>
      <c r="Z280" s="107">
        <f t="shared" ref="Z280:Z287" si="2">+Z292+Z304+Z326</f>
        <v>498990</v>
      </c>
      <c r="AA280" s="192">
        <f t="shared" ref="AA280:AA287" si="3">Z280/$Z$289</f>
        <v>0.9988509980703173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1</v>
      </c>
      <c r="Y281" s="196">
        <f t="shared" ref="Y281:Y287" si="4">X281/$X$289</f>
        <v>3.5087719298245611E-4</v>
      </c>
      <c r="Z281" s="197">
        <f t="shared" si="2"/>
        <v>295</v>
      </c>
      <c r="AA281" s="198">
        <f t="shared" si="3"/>
        <v>5.9051492901810376E-4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3.5087719298245611E-4</v>
      </c>
      <c r="Z285" s="131">
        <f t="shared" si="2"/>
        <v>279</v>
      </c>
      <c r="AA285" s="198">
        <f t="shared" si="3"/>
        <v>5.5848700066457948E-4</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0</v>
      </c>
      <c r="Y286" s="202">
        <f t="shared" si="4"/>
        <v>0</v>
      </c>
      <c r="Z286" s="203">
        <f t="shared" si="2"/>
        <v>0</v>
      </c>
      <c r="AA286" s="198">
        <f t="shared" si="3"/>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2850</v>
      </c>
      <c r="Y289" s="198">
        <f>SUM(Y280:Y288)</f>
        <v>1</v>
      </c>
      <c r="Z289" s="98">
        <f>SUM(Z280:Z288)</f>
        <v>499564</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2848</v>
      </c>
      <c r="Y292" s="192">
        <f>X292/$X$301</f>
        <v>0.99929824561403513</v>
      </c>
      <c r="Z292" s="107">
        <v>498990</v>
      </c>
      <c r="AA292" s="192">
        <f>Z292/$Z$301</f>
        <v>0.9988509980703173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ref="Y293:Y299" si="5">X293/$X$301</f>
        <v>3.5087719298245611E-4</v>
      </c>
      <c r="Z293" s="98">
        <v>295</v>
      </c>
      <c r="AA293" s="198">
        <f t="shared" ref="AA293:AA299" si="6">Z293/$Z$301</f>
        <v>5.9051492901810376E-4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3.5087719298245611E-4</v>
      </c>
      <c r="Z297" s="98">
        <v>279</v>
      </c>
      <c r="AA297" s="198">
        <f t="shared" si="6"/>
        <v>5.5848700066457948E-4</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2850</v>
      </c>
      <c r="Y301" s="198">
        <f>SUM(Y292:Y300)</f>
        <v>1</v>
      </c>
      <c r="Z301" s="98">
        <f>SUM(Z292:Z300)</f>
        <v>499564</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34"/>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609</v>
      </c>
      <c r="Y338" s="265">
        <f>+X338/X347</f>
        <v>0.99836065573770494</v>
      </c>
      <c r="Z338" s="215">
        <v>118154</v>
      </c>
      <c r="AA338" s="265">
        <f>+Z338/Z347</f>
        <v>0.99750947665239897</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1</v>
      </c>
      <c r="Y339" s="267">
        <f>+X339/X347</f>
        <v>1.639344262295082E-3</v>
      </c>
      <c r="Z339" s="98">
        <v>295</v>
      </c>
      <c r="AA339" s="268">
        <f>+Z339/Z347</f>
        <v>2.4905233476010774E-3</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66"/>
      <c r="Y346" s="268"/>
      <c r="Z346" s="98"/>
      <c r="AA346" s="268"/>
      <c r="AB346" s="40"/>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610</v>
      </c>
      <c r="Y347" s="268">
        <f>SUM(Y338:Y345)</f>
        <v>1</v>
      </c>
      <c r="Z347" s="98">
        <f>SUM(Z338:Z345)</f>
        <v>118449</v>
      </c>
      <c r="AA347" s="268">
        <f>SUM(AA338:AA345)</f>
        <v>1</v>
      </c>
      <c r="AB347" s="40"/>
      <c r="AC347" s="43"/>
      <c r="AD347" s="22"/>
    </row>
    <row r="348" spans="1:30" s="23" customFormat="1" x14ac:dyDescent="0.3">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72">
        <f>X347/X350</f>
        <v>0.21403508771929824</v>
      </c>
      <c r="Y348" s="272"/>
      <c r="Z348" s="236">
        <f>Z347/Z350</f>
        <v>0.23710475534666228</v>
      </c>
      <c r="AA348" s="268"/>
      <c r="AB348" s="40"/>
      <c r="AC348" s="43"/>
      <c r="AD348" s="22"/>
    </row>
    <row r="349" spans="1:30" s="23" customFormat="1" x14ac:dyDescent="0.3">
      <c r="A349" s="252"/>
      <c r="B349" s="254"/>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97"/>
      <c r="Y349" s="198"/>
      <c r="Z349" s="98"/>
      <c r="AA349" s="198"/>
      <c r="AB349" s="40"/>
      <c r="AC349" s="43"/>
      <c r="AD349" s="22"/>
    </row>
    <row r="350" spans="1:30" s="23" customFormat="1" x14ac:dyDescent="0.3">
      <c r="A350" s="47"/>
      <c r="B350" s="44" t="s">
        <v>139</v>
      </c>
      <c r="C350" s="40"/>
      <c r="D350" s="204"/>
      <c r="E350" s="204"/>
      <c r="F350" s="204"/>
      <c r="G350" s="204"/>
      <c r="H350" s="204"/>
      <c r="I350" s="204"/>
      <c r="J350" s="204"/>
      <c r="K350" s="204"/>
      <c r="L350" s="204"/>
      <c r="M350" s="204"/>
      <c r="N350" s="204"/>
      <c r="O350" s="204"/>
      <c r="P350" s="204"/>
      <c r="Q350" s="204"/>
      <c r="R350" s="204"/>
      <c r="S350" s="204"/>
      <c r="T350" s="204"/>
      <c r="U350" s="204"/>
      <c r="V350" s="204"/>
      <c r="W350" s="204"/>
      <c r="X350" s="210">
        <f>X335+X313+X301</f>
        <v>2850</v>
      </c>
      <c r="Y350" s="198"/>
      <c r="Z350" s="211">
        <f>+Z335+Z313+Z301</f>
        <v>499564</v>
      </c>
      <c r="AA350" s="198"/>
      <c r="AB350" s="40"/>
      <c r="AC350" s="43"/>
      <c r="AD350" s="22"/>
    </row>
    <row r="351" spans="1:30" s="23" customFormat="1" x14ac:dyDescent="0.3">
      <c r="A351" s="47"/>
      <c r="B351" s="44" t="s">
        <v>304</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+AB65+AB64</f>
        <v>194</v>
      </c>
      <c r="AA351" s="198"/>
      <c r="AB351" s="40"/>
      <c r="AC351" s="43"/>
      <c r="AD351" s="22"/>
    </row>
    <row r="352" spans="1:30" s="23" customFormat="1" x14ac:dyDescent="0.3">
      <c r="A352" s="47"/>
      <c r="B352" s="44" t="s">
        <v>107</v>
      </c>
      <c r="C352" s="44"/>
      <c r="D352" s="212"/>
      <c r="E352" s="212"/>
      <c r="F352" s="212"/>
      <c r="G352" s="212"/>
      <c r="H352" s="212"/>
      <c r="I352" s="212"/>
      <c r="J352" s="212"/>
      <c r="K352" s="212"/>
      <c r="L352" s="212"/>
      <c r="M352" s="212"/>
      <c r="N352" s="212"/>
      <c r="O352" s="212"/>
      <c r="P352" s="212"/>
      <c r="Q352" s="212"/>
      <c r="R352" s="212"/>
      <c r="S352" s="212"/>
      <c r="T352" s="212"/>
      <c r="U352" s="212"/>
      <c r="V352" s="212"/>
      <c r="W352" s="212"/>
      <c r="X352" s="210"/>
      <c r="Y352" s="213"/>
      <c r="Z352" s="211">
        <f>+Z350+Z351</f>
        <v>499758</v>
      </c>
      <c r="AA352" s="198"/>
      <c r="AB352" s="40"/>
      <c r="AC352" s="43"/>
      <c r="AD352" s="22"/>
    </row>
    <row r="353" spans="1:30" s="23" customFormat="1" x14ac:dyDescent="0.3">
      <c r="A353" s="47"/>
      <c r="B353" s="44" t="s">
        <v>237</v>
      </c>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f>+AB67</f>
        <v>499758</v>
      </c>
      <c r="AA353" s="198"/>
      <c r="AB353" s="40"/>
      <c r="AC353" s="43"/>
      <c r="AD353" s="22"/>
    </row>
    <row r="354" spans="1:30" s="23" customFormat="1" x14ac:dyDescent="0.3">
      <c r="A354" s="47"/>
      <c r="B354" s="44"/>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11"/>
      <c r="AA354" s="198"/>
      <c r="AB354" s="40"/>
      <c r="AC354" s="43"/>
      <c r="AD354" s="22"/>
    </row>
    <row r="355" spans="1:30" s="23" customFormat="1" x14ac:dyDescent="0.3">
      <c r="A355" s="47"/>
      <c r="B355" s="44" t="s">
        <v>305</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36">
        <f>(D31*0.05+F31+H31+J31+L31+N31)/AB31</f>
        <v>0.49679814070759809</v>
      </c>
      <c r="AA355" s="198"/>
      <c r="AB355" s="40"/>
      <c r="AC355" s="43"/>
      <c r="AD355" s="22"/>
    </row>
    <row r="356" spans="1:30" s="23" customFormat="1" x14ac:dyDescent="0.3">
      <c r="A356" s="18"/>
      <c r="B356" s="20"/>
      <c r="C356" s="20"/>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5"/>
      <c r="AA356" s="214"/>
      <c r="AB356" s="20"/>
      <c r="AC356" s="21"/>
      <c r="AD356" s="22"/>
    </row>
    <row r="357" spans="1:30" s="23" customFormat="1" x14ac:dyDescent="0.3">
      <c r="A357" s="18"/>
      <c r="B357" s="19" t="s">
        <v>62</v>
      </c>
      <c r="C357" s="20"/>
      <c r="D357" s="216" t="s">
        <v>66</v>
      </c>
      <c r="E357" s="19"/>
      <c r="F357" s="19" t="s">
        <v>67</v>
      </c>
      <c r="G357" s="20"/>
      <c r="H357" s="19"/>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152</v>
      </c>
      <c r="C359" s="19"/>
      <c r="D359" s="217" t="s">
        <v>122</v>
      </c>
      <c r="E359" s="19"/>
      <c r="F359" s="19" t="s">
        <v>168</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t="s">
        <v>153</v>
      </c>
      <c r="C360" s="19"/>
      <c r="D360" s="217" t="s">
        <v>98</v>
      </c>
      <c r="E360" s="19"/>
      <c r="F360" s="19" t="s">
        <v>169</v>
      </c>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257" t="s">
        <v>333</v>
      </c>
      <c r="C362" s="19"/>
      <c r="D362" s="217"/>
      <c r="E362" s="19"/>
      <c r="F362" s="19"/>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x14ac:dyDescent="0.3">
      <c r="A363" s="218"/>
      <c r="B363" s="258"/>
      <c r="C363" s="219"/>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c r="AC363" s="221"/>
      <c r="AD363" s="5"/>
    </row>
    <row r="364" spans="1:30" ht="18" x14ac:dyDescent="0.35">
      <c r="A364" s="218"/>
      <c r="B364" s="259" t="s">
        <v>109</v>
      </c>
      <c r="C364" s="219"/>
      <c r="D364" s="220"/>
      <c r="E364" s="220"/>
      <c r="F364" s="220"/>
      <c r="G364" s="220"/>
      <c r="H364" s="220"/>
      <c r="I364" s="220"/>
      <c r="J364" s="220"/>
      <c r="K364" s="220"/>
      <c r="L364" s="220"/>
      <c r="M364" s="220"/>
      <c r="N364" s="220"/>
      <c r="O364" s="220"/>
      <c r="P364" s="260" t="s">
        <v>167</v>
      </c>
      <c r="Q364" s="220"/>
      <c r="R364" s="220"/>
      <c r="S364" s="220"/>
      <c r="T364" s="220"/>
      <c r="U364" s="220"/>
      <c r="V364" s="220"/>
      <c r="W364" s="220"/>
      <c r="X364" s="220"/>
      <c r="Y364" s="220"/>
      <c r="Z364" s="220"/>
      <c r="AA364" s="220"/>
      <c r="AB364" s="220"/>
      <c r="AC364" s="221"/>
      <c r="AD364" s="5"/>
    </row>
    <row r="365" spans="1:30" ht="18" x14ac:dyDescent="0.35">
      <c r="A365" s="218"/>
      <c r="B365" s="259"/>
      <c r="C365" s="219"/>
      <c r="D365" s="220"/>
      <c r="E365" s="220"/>
      <c r="F365" s="220"/>
      <c r="G365" s="220"/>
      <c r="H365" s="220"/>
      <c r="I365" s="220"/>
      <c r="J365" s="220"/>
      <c r="K365" s="220"/>
      <c r="L365" s="220"/>
      <c r="M365" s="220"/>
      <c r="N365" s="220"/>
      <c r="O365" s="220"/>
      <c r="P365" s="260"/>
      <c r="Q365" s="220"/>
      <c r="R365" s="220"/>
      <c r="S365" s="220"/>
      <c r="T365" s="220"/>
      <c r="U365" s="220"/>
      <c r="V365" s="220"/>
      <c r="W365" s="220"/>
      <c r="X365" s="220"/>
      <c r="Y365" s="220"/>
      <c r="Z365" s="220"/>
      <c r="AA365" s="220"/>
      <c r="AB365" s="220"/>
      <c r="AC365" s="221"/>
      <c r="AD365" s="5"/>
    </row>
    <row r="366" spans="1:30" ht="18.600000000000001" thickBot="1" x14ac:dyDescent="0.4">
      <c r="A366" s="218"/>
      <c r="B366" s="222" t="str">
        <f>B237</f>
        <v>PM26 INVESTOR REPORT QUARTER ENDING APRIL 2020</v>
      </c>
      <c r="C366" s="219"/>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c r="AC366" s="223"/>
      <c r="AD366" s="5"/>
    </row>
    <row r="367" spans="1:30" x14ac:dyDescent="0.3">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row>
    <row r="368" spans="1:30" x14ac:dyDescent="0.3">
      <c r="B368" s="6" t="s">
        <v>307</v>
      </c>
    </row>
    <row r="370" spans="2:2" x14ac:dyDescent="0.3">
      <c r="B370" s="279" t="s">
        <v>315</v>
      </c>
    </row>
    <row r="371" spans="2:2" x14ac:dyDescent="0.3">
      <c r="B371" s="270" t="s">
        <v>316</v>
      </c>
    </row>
    <row r="372" spans="2:2" x14ac:dyDescent="0.3">
      <c r="B372" s="270" t="s">
        <v>317</v>
      </c>
    </row>
    <row r="373" spans="2:2" x14ac:dyDescent="0.3">
      <c r="B373" s="270" t="s">
        <v>318</v>
      </c>
    </row>
    <row r="374" spans="2:2" x14ac:dyDescent="0.3">
      <c r="B374" s="270" t="s">
        <v>319</v>
      </c>
    </row>
    <row r="375" spans="2:2" x14ac:dyDescent="0.3">
      <c r="B375" s="270" t="s">
        <v>320</v>
      </c>
    </row>
    <row r="376" spans="2:2" x14ac:dyDescent="0.3">
      <c r="B376" s="270" t="s">
        <v>321</v>
      </c>
    </row>
    <row r="377" spans="2:2" x14ac:dyDescent="0.3">
      <c r="B377" s="270" t="s">
        <v>322</v>
      </c>
    </row>
    <row r="378" spans="2:2" x14ac:dyDescent="0.3">
      <c r="B378" s="270"/>
    </row>
    <row r="379" spans="2:2" x14ac:dyDescent="0.3">
      <c r="B379" s="279" t="s">
        <v>323</v>
      </c>
    </row>
    <row r="380" spans="2:2" x14ac:dyDescent="0.3">
      <c r="B380" s="270" t="s">
        <v>324</v>
      </c>
    </row>
    <row r="381" spans="2:2" x14ac:dyDescent="0.3">
      <c r="B381" s="270" t="s">
        <v>332</v>
      </c>
    </row>
  </sheetData>
  <hyperlinks>
    <hyperlink ref="K9" r:id="rId1" display="http://www.paragon-group.co.uk" xr:uid="{9653096F-AE09-4E5E-99FA-10377205F0EA}"/>
    <hyperlink ref="P364" r:id="rId2" xr:uid="{DB066EFA-9420-4F0B-8D41-3E40C5E82DDE}"/>
    <hyperlink ref="P277" r:id="rId3" xr:uid="{2F4B0982-4266-4DD6-9FF0-5BA0D73405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C66BC-11EF-4F88-BD4E-3D06F0F1F380}">
  <sheetPr>
    <tabColor rgb="FF2D2926"/>
  </sheetPr>
  <dimension ref="A1:JB388"/>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0.25369999999999998</v>
      </c>
      <c r="Z17" s="29" t="s">
        <v>258</v>
      </c>
      <c r="AA17" s="29">
        <v>0.74629999999999996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44062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264714.78691999998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7550.8251499999997</v>
      </c>
      <c r="Q30" s="54"/>
      <c r="R30" s="54">
        <v>6094</v>
      </c>
      <c r="S30" s="54"/>
      <c r="T30" s="54" t="s">
        <v>83</v>
      </c>
      <c r="U30" s="54"/>
      <c r="V30" s="54" t="s">
        <v>83</v>
      </c>
      <c r="W30" s="54"/>
      <c r="X30" s="54" t="s">
        <v>83</v>
      </c>
      <c r="Y30" s="54" t="s">
        <v>83</v>
      </c>
      <c r="Z30" s="54"/>
      <c r="AA30" s="49"/>
      <c r="AB30" s="50">
        <f>SUM(D30:N30)</f>
        <v>499757.78691999998</v>
      </c>
      <c r="AC30" s="51"/>
      <c r="AD30" s="22"/>
    </row>
    <row r="31" spans="1:33" s="23" customFormat="1" x14ac:dyDescent="0.3">
      <c r="A31" s="47"/>
      <c r="B31" s="44" t="s">
        <v>92</v>
      </c>
      <c r="C31" s="49"/>
      <c r="D31" s="57">
        <f>D29*D32</f>
        <v>243461.82653999998</v>
      </c>
      <c r="E31" s="57"/>
      <c r="F31" s="57">
        <f>F29</f>
        <v>151540</v>
      </c>
      <c r="G31" s="57"/>
      <c r="H31" s="57">
        <f>H29</f>
        <v>24741</v>
      </c>
      <c r="I31" s="57"/>
      <c r="J31" s="57">
        <f>J29</f>
        <v>18555</v>
      </c>
      <c r="K31" s="57"/>
      <c r="L31" s="57">
        <f>L29</f>
        <v>20102</v>
      </c>
      <c r="M31" s="57"/>
      <c r="N31" s="57">
        <f>N29</f>
        <v>20105</v>
      </c>
      <c r="O31" s="57"/>
      <c r="P31" s="57">
        <f>P29*P32</f>
        <v>7194.9354600000006</v>
      </c>
      <c r="Q31" s="57"/>
      <c r="R31" s="57">
        <v>4722</v>
      </c>
      <c r="S31" s="57"/>
      <c r="T31" s="57" t="s">
        <v>83</v>
      </c>
      <c r="U31" s="57"/>
      <c r="V31" s="57" t="s">
        <v>83</v>
      </c>
      <c r="W31" s="57"/>
      <c r="X31" s="57" t="s">
        <v>83</v>
      </c>
      <c r="Y31" s="57" t="s">
        <v>83</v>
      </c>
      <c r="Z31" s="57"/>
      <c r="AA31" s="49"/>
      <c r="AB31" s="56">
        <f>SUM(D31:N31)</f>
        <v>478504.82653999998</v>
      </c>
      <c r="AC31" s="51"/>
      <c r="AD31" s="22"/>
      <c r="AE31" s="235"/>
    </row>
    <row r="32" spans="1:33" s="65" customFormat="1" x14ac:dyDescent="0.3">
      <c r="A32" s="58"/>
      <c r="B32" s="166" t="s">
        <v>88</v>
      </c>
      <c r="C32" s="61"/>
      <c r="D32" s="60">
        <v>0.63485999999999998</v>
      </c>
      <c r="E32" s="60"/>
      <c r="F32" s="60">
        <v>1</v>
      </c>
      <c r="G32" s="60"/>
      <c r="H32" s="60">
        <v>1</v>
      </c>
      <c r="I32" s="60"/>
      <c r="J32" s="60">
        <v>1</v>
      </c>
      <c r="K32" s="60"/>
      <c r="L32" s="60">
        <v>1</v>
      </c>
      <c r="M32" s="60"/>
      <c r="N32" s="60">
        <v>1</v>
      </c>
      <c r="O32" s="60"/>
      <c r="P32" s="60">
        <v>0.70698000000000005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0.69028</v>
      </c>
      <c r="E33" s="225"/>
      <c r="F33" s="225">
        <v>1</v>
      </c>
      <c r="G33" s="225"/>
      <c r="H33" s="225">
        <v>1</v>
      </c>
      <c r="I33" s="225"/>
      <c r="J33" s="225">
        <v>1</v>
      </c>
      <c r="K33" s="225"/>
      <c r="L33" s="225">
        <v>1</v>
      </c>
      <c r="M33" s="225"/>
      <c r="N33" s="225">
        <v>1</v>
      </c>
      <c r="O33" s="225"/>
      <c r="P33" s="60">
        <v>0.74195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1.11328E-2</v>
      </c>
      <c r="E35" s="241"/>
      <c r="F35" s="241">
        <v>1.26328E-2</v>
      </c>
      <c r="G35" s="241"/>
      <c r="H35" s="241">
        <v>1.9632799999999999E-2</v>
      </c>
      <c r="I35" s="241"/>
      <c r="J35" s="241">
        <v>2.3132799999999999E-2</v>
      </c>
      <c r="K35" s="241"/>
      <c r="L35" s="241">
        <v>2.6632800000000002E-2</v>
      </c>
      <c r="M35" s="241"/>
      <c r="N35" s="241">
        <v>3.66328E-2</v>
      </c>
      <c r="O35" s="241"/>
      <c r="P35" s="241">
        <v>4.0632799999999997E-2</v>
      </c>
      <c r="Q35" s="241"/>
      <c r="R35" s="241">
        <v>4.0632799999999997E-2</v>
      </c>
      <c r="S35" s="68"/>
      <c r="T35" s="68" t="s">
        <v>83</v>
      </c>
      <c r="U35" s="68"/>
      <c r="V35" s="68" t="s">
        <v>83</v>
      </c>
      <c r="W35" s="68"/>
      <c r="X35" s="68" t="s">
        <v>83</v>
      </c>
      <c r="Y35" s="68" t="s">
        <v>83</v>
      </c>
      <c r="Z35" s="68"/>
      <c r="AA35" s="40"/>
      <c r="AB35" s="67">
        <f>SUMPRODUCT(D35:N35,D30:N30)/AB30</f>
        <v>1.4103292984509793E-2</v>
      </c>
      <c r="AC35" s="43"/>
      <c r="AD35" s="22"/>
    </row>
    <row r="36" spans="1:30" s="23" customFormat="1" x14ac:dyDescent="0.3">
      <c r="A36" s="47"/>
      <c r="B36" s="40" t="s">
        <v>10</v>
      </c>
      <c r="C36" s="69"/>
      <c r="D36" s="241">
        <v>1.3511499999999999E-2</v>
      </c>
      <c r="E36" s="241"/>
      <c r="F36" s="241">
        <v>1.5011500000000001E-2</v>
      </c>
      <c r="G36" s="241"/>
      <c r="H36" s="241">
        <v>2.20115E-2</v>
      </c>
      <c r="I36" s="241"/>
      <c r="J36" s="241">
        <v>2.5511499999999999E-2</v>
      </c>
      <c r="K36" s="241"/>
      <c r="L36" s="241">
        <v>2.9011499999999999E-2</v>
      </c>
      <c r="M36" s="241"/>
      <c r="N36" s="241">
        <v>3.9011499999999998E-2</v>
      </c>
      <c r="O36" s="241"/>
      <c r="P36" s="241">
        <v>4.3011500000000001E-2</v>
      </c>
      <c r="Q36" s="241"/>
      <c r="R36" s="241">
        <v>4.3011500000000001E-2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0.21139902245880893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44060</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88</v>
      </c>
      <c r="Y48" s="40"/>
      <c r="Z48" s="76">
        <v>43878</v>
      </c>
      <c r="AA48" s="77"/>
      <c r="AB48" s="76">
        <v>43965</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94</v>
      </c>
      <c r="Y49" s="40"/>
      <c r="Z49" s="76">
        <v>43966</v>
      </c>
      <c r="AA49" s="77"/>
      <c r="AB49" s="76">
        <v>44059</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44059</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335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499564</v>
      </c>
      <c r="S58" s="238"/>
      <c r="T58" s="237">
        <f>135+186</f>
        <v>321</v>
      </c>
      <c r="U58" s="238"/>
      <c r="V58" s="238">
        <v>20741</v>
      </c>
      <c r="W58" s="238"/>
      <c r="X58" s="238">
        <v>0</v>
      </c>
      <c r="Y58" s="238"/>
      <c r="Z58" s="238">
        <v>0</v>
      </c>
      <c r="AA58" s="238"/>
      <c r="AB58" s="237">
        <f>R58-T58-V58+X58-Z58</f>
        <v>478502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499564</v>
      </c>
      <c r="S61" s="238"/>
      <c r="T61" s="238">
        <f>T58+T59</f>
        <v>321</v>
      </c>
      <c r="U61" s="238"/>
      <c r="V61" s="238">
        <f>SUM(V58:V60)</f>
        <v>20741</v>
      </c>
      <c r="W61" s="238"/>
      <c r="X61" s="238">
        <f>SUM(X58:X60)</f>
        <v>0</v>
      </c>
      <c r="Y61" s="238"/>
      <c r="Z61" s="238">
        <f>SUM(Z58:Z60)</f>
        <v>0</v>
      </c>
      <c r="AA61" s="238"/>
      <c r="AB61" s="238">
        <f>SUM(AB58:AB60)</f>
        <v>478502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1</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192</v>
      </c>
      <c r="S65" s="238"/>
      <c r="T65" s="238"/>
      <c r="U65" s="238"/>
      <c r="V65" s="238"/>
      <c r="W65" s="238"/>
      <c r="X65" s="238">
        <v>-192</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499758</v>
      </c>
      <c r="S67" s="238"/>
      <c r="T67" s="238"/>
      <c r="U67" s="238"/>
      <c r="V67" s="238"/>
      <c r="W67" s="238"/>
      <c r="X67" s="238"/>
      <c r="Y67" s="238"/>
      <c r="Z67" s="238"/>
      <c r="AA67" s="238"/>
      <c r="AB67" s="238">
        <f>SUM(AB61:AB66)</f>
        <v>478505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44043</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192</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+T58+V58+Z58-5</f>
        <v>21057</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3522+1431-726-347</f>
        <v>3880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107+15</f>
        <v>122</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14</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356</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579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21251</v>
      </c>
      <c r="AA84" s="40"/>
      <c r="AB84" s="97">
        <f>SUM(AB71:AB83)</f>
        <v>4951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21251</v>
      </c>
      <c r="AA87" s="40"/>
      <c r="AB87" s="97">
        <f>AB84+AB85+AB86</f>
        <v>4951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-252-15-7</f>
        <v>-274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-617</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-759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-493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-125</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-111</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-138</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5</v>
      </c>
      <c r="AA101" s="112"/>
      <c r="AB101" s="98">
        <v>-5</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-16</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-190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-356</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-64</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-1372</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-21253</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-21253</v>
      </c>
      <c r="AA130" s="97"/>
      <c r="AB130" s="97">
        <f>SUM(AB88:AB128)</f>
        <v>-4951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20'!AB146</f>
        <v>6971.5499999999993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-356</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6615.5499999999993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20'!AB165</f>
        <v>192</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-192</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5</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5</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-5</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20'!AB198</f>
        <v>1755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273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579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1449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20'!AB206</f>
        <v>849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273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350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926</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20'!Y213</f>
        <v>0</v>
      </c>
      <c r="Z211" s="98">
        <f>+'April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411263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402190</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9073</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6.4999999999999997E-3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3.2412140575079871</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2.66</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22.448</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21.39</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24.153153153153152</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23.65</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18.623188405797102</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18.57</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12.8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13.19</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44043</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3.8710000000000001E-2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1.4103292984509793E-2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2.4606707015490208E-2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9.906794888726143E-3</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17.41</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4.2144397888578072E-2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0.20449999999999999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5</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20'!Z266+Z266</f>
        <v>5</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2706</v>
      </c>
      <c r="Y280" s="192">
        <f>X280/$X$289</f>
        <v>0.99889258028792915</v>
      </c>
      <c r="Z280" s="107">
        <f t="shared" ref="Z280:Z287" si="2">+Z292+Z304+Z326</f>
        <v>477985</v>
      </c>
      <c r="AA280" s="192">
        <f t="shared" ref="AA280:AA287" si="3">Z280/$Z$289</f>
        <v>0.99891954474589451</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2</v>
      </c>
      <c r="Y281" s="196">
        <f t="shared" ref="Y281:Y287" si="4">X281/$X$289</f>
        <v>7.3827980804724988E-4</v>
      </c>
      <c r="Z281" s="197">
        <f t="shared" si="2"/>
        <v>238</v>
      </c>
      <c r="AA281" s="198">
        <f t="shared" si="3"/>
        <v>4.9738559086482401E-4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3.6913990402362494E-4</v>
      </c>
      <c r="Z286" s="203">
        <f t="shared" si="2"/>
        <v>279</v>
      </c>
      <c r="AA286" s="198">
        <f t="shared" si="3"/>
        <v>5.8306966324069703E-4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2709</v>
      </c>
      <c r="Y289" s="198">
        <f>SUM(Y280:Y288)</f>
        <v>1</v>
      </c>
      <c r="Z289" s="98">
        <f>SUM(Z280:Z288)</f>
        <v>478502</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2706</v>
      </c>
      <c r="Y292" s="192">
        <f>X292/$X$301</f>
        <v>0.99889258028792915</v>
      </c>
      <c r="Z292" s="107">
        <v>477985</v>
      </c>
      <c r="AA292" s="192">
        <f>Z292/$Z$301</f>
        <v>0.99891954474589451</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7.3827980804724988E-4</v>
      </c>
      <c r="Z293" s="98">
        <v>238</v>
      </c>
      <c r="AA293" s="198">
        <f t="shared" ref="AA293:AA299" si="6">Z293/$Z$301</f>
        <v>4.9738559086482401E-4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3.6913990402362494E-4</v>
      </c>
      <c r="Z298" s="98">
        <v>279</v>
      </c>
      <c r="AA298" s="198">
        <f t="shared" si="6"/>
        <v>5.8306966324069703E-4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2709</v>
      </c>
      <c r="Y301" s="198">
        <f>SUM(Y292:Y300)</f>
        <v>1</v>
      </c>
      <c r="Z301" s="98">
        <f>SUM(Z292:Z300)</f>
        <v>478502</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168</v>
      </c>
      <c r="Y338" s="265">
        <f>+X338/X347</f>
        <v>1</v>
      </c>
      <c r="Z338" s="215">
        <v>35174</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168</v>
      </c>
      <c r="Y347" s="268">
        <f>SUM(Y338:Y345)</f>
        <v>1</v>
      </c>
      <c r="Z347" s="98">
        <f>SUM(Z338:Z345)</f>
        <v>35174</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6.2015503875968991E-2</v>
      </c>
      <c r="Z348" s="298"/>
      <c r="AA348" s="297">
        <f>Z347/Z352</f>
        <v>7.3508574676803856E-2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52</v>
      </c>
      <c r="Y349" s="294">
        <f>X349/X347</f>
        <v>0.30952380952380953</v>
      </c>
      <c r="Z349" s="295">
        <v>11303</v>
      </c>
      <c r="AA349" s="294">
        <f>Z349/Z347</f>
        <v>0.32134531187809179</v>
      </c>
      <c r="AB349" s="296">
        <v>0.35666463785757757</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116</v>
      </c>
      <c r="Y350" s="289">
        <f>X350/X347</f>
        <v>0.69047619047619047</v>
      </c>
      <c r="Z350" s="290">
        <v>23871</v>
      </c>
      <c r="AA350" s="291">
        <f>Z350/Z347</f>
        <v>0.67865468812190821</v>
      </c>
      <c r="AB350" s="292">
        <v>1.6265294771968852</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2709</v>
      </c>
      <c r="Y352" s="198"/>
      <c r="Z352" s="211">
        <f>+Z335+Z313+Z301</f>
        <v>478502</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3</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478505</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478505</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0.51664283747059403</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JULY 2020</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340</v>
      </c>
    </row>
    <row r="383" spans="1:29" s="270" customFormat="1" x14ac:dyDescent="0.3">
      <c r="B383" s="270" t="s">
        <v>341</v>
      </c>
    </row>
    <row r="384" spans="1:29" s="270" customFormat="1" x14ac:dyDescent="0.3">
      <c r="B384" s="270" t="s">
        <v>342</v>
      </c>
    </row>
    <row r="385" spans="2:2" x14ac:dyDescent="0.3">
      <c r="B385" s="270"/>
    </row>
    <row r="386" spans="2:2" x14ac:dyDescent="0.3">
      <c r="B386" s="279" t="s">
        <v>323</v>
      </c>
    </row>
    <row r="387" spans="2:2" x14ac:dyDescent="0.3">
      <c r="B387" s="270" t="s">
        <v>324</v>
      </c>
    </row>
    <row r="388" spans="2:2" x14ac:dyDescent="0.3">
      <c r="B388" s="270" t="s">
        <v>332</v>
      </c>
    </row>
  </sheetData>
  <hyperlinks>
    <hyperlink ref="K9" r:id="rId1" display="http://www.paragon-group.co.uk" xr:uid="{64542981-41DB-435D-98EE-68EA017F74A1}"/>
    <hyperlink ref="P366" r:id="rId2" xr:uid="{847642A2-C4E6-4BA7-814A-3679C4935DEA}"/>
    <hyperlink ref="P277" r:id="rId3" xr:uid="{3842E5FC-11A7-4D70-A1E2-238AC1B10B34}"/>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DD0B5-19CB-4CE9-BCE1-D14D52EE7E83}">
  <sheetPr>
    <tabColor rgb="FF89CB31"/>
  </sheetPr>
  <dimension ref="A1:JB38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0.25530000000000003</v>
      </c>
      <c r="Z17" s="29" t="s">
        <v>258</v>
      </c>
      <c r="AA17" s="29">
        <v>0.74470000000000003</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44158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243461.82653999998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7194.9354600000006</v>
      </c>
      <c r="Q30" s="54"/>
      <c r="R30" s="54">
        <v>4722</v>
      </c>
      <c r="S30" s="54"/>
      <c r="T30" s="54" t="s">
        <v>83</v>
      </c>
      <c r="U30" s="54"/>
      <c r="V30" s="54" t="s">
        <v>83</v>
      </c>
      <c r="W30" s="54"/>
      <c r="X30" s="54" t="s">
        <v>83</v>
      </c>
      <c r="Y30" s="54" t="s">
        <v>83</v>
      </c>
      <c r="Z30" s="54"/>
      <c r="AA30" s="49"/>
      <c r="AB30" s="50">
        <f>SUM(D30:N30)</f>
        <v>478504.82653999998</v>
      </c>
      <c r="AC30" s="51"/>
      <c r="AD30" s="22"/>
    </row>
    <row r="31" spans="1:33" s="23" customFormat="1" x14ac:dyDescent="0.3">
      <c r="A31" s="47"/>
      <c r="B31" s="44" t="s">
        <v>92</v>
      </c>
      <c r="C31" s="49"/>
      <c r="D31" s="57">
        <f>D29*D32</f>
        <v>225656.43226999999</v>
      </c>
      <c r="E31" s="57"/>
      <c r="F31" s="57">
        <f>F29</f>
        <v>151540</v>
      </c>
      <c r="G31" s="57"/>
      <c r="H31" s="57">
        <f>H29</f>
        <v>24741</v>
      </c>
      <c r="I31" s="57"/>
      <c r="J31" s="57">
        <f>J29</f>
        <v>18555</v>
      </c>
      <c r="K31" s="57"/>
      <c r="L31" s="57">
        <f>L29</f>
        <v>20102</v>
      </c>
      <c r="M31" s="57"/>
      <c r="N31" s="57">
        <f>N29</f>
        <v>20105</v>
      </c>
      <c r="O31" s="57"/>
      <c r="P31" s="57">
        <f>P29*P32</f>
        <v>6876.19182</v>
      </c>
      <c r="Q31" s="57"/>
      <c r="R31" s="57">
        <v>2703</v>
      </c>
      <c r="S31" s="57"/>
      <c r="T31" s="57" t="s">
        <v>83</v>
      </c>
      <c r="U31" s="57"/>
      <c r="V31" s="57" t="s">
        <v>83</v>
      </c>
      <c r="W31" s="57"/>
      <c r="X31" s="57" t="s">
        <v>83</v>
      </c>
      <c r="Y31" s="57" t="s">
        <v>83</v>
      </c>
      <c r="Z31" s="57"/>
      <c r="AA31" s="49"/>
      <c r="AB31" s="56">
        <f>SUM(D31:N31)</f>
        <v>460699.43226999999</v>
      </c>
      <c r="AC31" s="51"/>
      <c r="AD31" s="22"/>
      <c r="AE31" s="235"/>
    </row>
    <row r="32" spans="1:33" s="65" customFormat="1" x14ac:dyDescent="0.3">
      <c r="A32" s="58"/>
      <c r="B32" s="166" t="s">
        <v>88</v>
      </c>
      <c r="C32" s="61"/>
      <c r="D32" s="60">
        <v>0.58843000000000001</v>
      </c>
      <c r="E32" s="60"/>
      <c r="F32" s="60">
        <v>1</v>
      </c>
      <c r="G32" s="60"/>
      <c r="H32" s="60">
        <v>1</v>
      </c>
      <c r="I32" s="60"/>
      <c r="J32" s="60">
        <v>1</v>
      </c>
      <c r="K32" s="60"/>
      <c r="L32" s="60">
        <v>1</v>
      </c>
      <c r="M32" s="60"/>
      <c r="N32" s="60">
        <v>1</v>
      </c>
      <c r="O32" s="60"/>
      <c r="P32" s="60">
        <v>0.67566000000000004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0.63485999999999998</v>
      </c>
      <c r="E33" s="60"/>
      <c r="F33" s="60">
        <v>1</v>
      </c>
      <c r="G33" s="60"/>
      <c r="H33" s="60">
        <v>1</v>
      </c>
      <c r="I33" s="60"/>
      <c r="J33" s="60">
        <v>1</v>
      </c>
      <c r="K33" s="60"/>
      <c r="L33" s="60">
        <v>1</v>
      </c>
      <c r="M33" s="60"/>
      <c r="N33" s="60">
        <v>1</v>
      </c>
      <c r="O33" s="60"/>
      <c r="P33" s="60">
        <v>0.70698000000000005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1.10466E-2</v>
      </c>
      <c r="E35" s="241"/>
      <c r="F35" s="241">
        <v>1.25466E-2</v>
      </c>
      <c r="G35" s="241"/>
      <c r="H35" s="241">
        <v>1.9546600000000001E-2</v>
      </c>
      <c r="I35" s="241"/>
      <c r="J35" s="241">
        <v>2.30466E-2</v>
      </c>
      <c r="K35" s="241"/>
      <c r="L35" s="241">
        <v>2.65466E-2</v>
      </c>
      <c r="M35" s="241"/>
      <c r="N35" s="241">
        <v>3.6546599999999999E-2</v>
      </c>
      <c r="O35" s="241"/>
      <c r="P35" s="241">
        <v>4.0546600000000002E-2</v>
      </c>
      <c r="Q35" s="241"/>
      <c r="R35" s="241">
        <v>4.0546600000000002E-2</v>
      </c>
      <c r="S35" s="68"/>
      <c r="T35" s="68" t="s">
        <v>83</v>
      </c>
      <c r="U35" s="68"/>
      <c r="V35" s="68" t="s">
        <v>83</v>
      </c>
      <c r="W35" s="68"/>
      <c r="X35" s="68" t="s">
        <v>83</v>
      </c>
      <c r="Y35" s="68" t="s">
        <v>83</v>
      </c>
      <c r="Z35" s="68"/>
      <c r="AA35" s="40"/>
      <c r="AB35" s="67">
        <f>SUMPRODUCT(D35:N35,D30:N30)/AB30</f>
        <v>1.4149028476499187E-2</v>
      </c>
      <c r="AC35" s="43"/>
      <c r="AD35" s="22"/>
    </row>
    <row r="36" spans="1:30" s="23" customFormat="1" x14ac:dyDescent="0.3">
      <c r="A36" s="47"/>
      <c r="B36" s="40" t="s">
        <v>10</v>
      </c>
      <c r="C36" s="69"/>
      <c r="D36" s="241">
        <v>1.11328E-2</v>
      </c>
      <c r="E36" s="241"/>
      <c r="F36" s="241">
        <v>1.26328E-2</v>
      </c>
      <c r="G36" s="241"/>
      <c r="H36" s="241">
        <v>1.9632799999999999E-2</v>
      </c>
      <c r="I36" s="241"/>
      <c r="J36" s="241">
        <v>2.3132799999999999E-2</v>
      </c>
      <c r="K36" s="241"/>
      <c r="L36" s="241">
        <v>2.6632800000000002E-2</v>
      </c>
      <c r="M36" s="241"/>
      <c r="N36" s="241">
        <v>3.66328E-2</v>
      </c>
      <c r="O36" s="241"/>
      <c r="P36" s="241">
        <v>4.0632799999999997E-2</v>
      </c>
      <c r="Q36" s="241"/>
      <c r="R36" s="241">
        <v>4.0632799999999997E-2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0.22137802178422497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44151</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94</v>
      </c>
      <c r="Y48" s="40"/>
      <c r="Z48" s="76">
        <v>43966</v>
      </c>
      <c r="AA48" s="77"/>
      <c r="AB48" s="76">
        <v>44059</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44060</v>
      </c>
      <c r="AA49" s="77"/>
      <c r="AB49" s="76">
        <v>44150</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44150</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343</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478502</v>
      </c>
      <c r="S58" s="238"/>
      <c r="T58" s="237">
        <f>149+188</f>
        <v>337</v>
      </c>
      <c r="U58" s="238"/>
      <c r="V58" s="238">
        <f>17472-5</f>
        <v>17467</v>
      </c>
      <c r="W58" s="238"/>
      <c r="X58" s="238">
        <v>0</v>
      </c>
      <c r="Y58" s="238"/>
      <c r="Z58" s="238">
        <v>0</v>
      </c>
      <c r="AA58" s="238"/>
      <c r="AB58" s="237">
        <f>R58-T58-V58+X58-Z58</f>
        <v>460698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478502</v>
      </c>
      <c r="S61" s="238"/>
      <c r="T61" s="238">
        <f>T58+T59</f>
        <v>337</v>
      </c>
      <c r="U61" s="238"/>
      <c r="V61" s="238">
        <f>SUM(V58:V60)</f>
        <v>17467</v>
      </c>
      <c r="W61" s="238"/>
      <c r="X61" s="238">
        <f>SUM(X58:X60)</f>
        <v>0</v>
      </c>
      <c r="Y61" s="238"/>
      <c r="Z61" s="238">
        <f>SUM(Z58:Z60)</f>
        <v>0</v>
      </c>
      <c r="AA61" s="238"/>
      <c r="AB61" s="238">
        <f>SUM(AB58:AB60)</f>
        <v>460698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-2</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478505</v>
      </c>
      <c r="S67" s="238"/>
      <c r="T67" s="238"/>
      <c r="U67" s="238"/>
      <c r="V67" s="238"/>
      <c r="W67" s="238"/>
      <c r="X67" s="238"/>
      <c r="Y67" s="238"/>
      <c r="Z67" s="238"/>
      <c r="AA67" s="238"/>
      <c r="AB67" s="238">
        <f>SUM(AB61:AB66)</f>
        <v>460699</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44134</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+T58+V58+Z58-3</f>
        <v>17801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3318+1905-193-567</f>
        <v>4463</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165+32</f>
        <v>197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319</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759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17804</v>
      </c>
      <c r="AA84" s="40"/>
      <c r="AB84" s="97">
        <f>SUM(AB71:AB83)</f>
        <v>5738</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17804</v>
      </c>
      <c r="AA87" s="40"/>
      <c r="AB87" s="97">
        <f>AB84+AB85+AB86</f>
        <v>5738</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-242-11-7</f>
        <v>-260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-558</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-671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-474</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-121</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-107</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v>
      </c>
      <c r="AA101" s="112"/>
      <c r="AB101" s="98">
        <v>-2</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-319</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-48</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-2019</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-17805</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-17805</v>
      </c>
      <c r="AA130" s="97"/>
      <c r="AB130" s="97">
        <f>SUM(AB88:AB128)</f>
        <v>-5738</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20'!AB146</f>
        <v>6615.5499999999993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-319</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6296.5499999999993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20'!AB165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20'!AB198</f>
        <v>1449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739</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759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1429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+'July 20'!AB206</f>
        <v>926</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739</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937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+'July 20'!Y213</f>
        <v>0</v>
      </c>
      <c r="Z211" s="98">
        <f>+'July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389329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386775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2554</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6.3E-3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4.2951965065502185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2.85</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31.181818181818183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22.91</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34.13084112149533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25.3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26.654135338345863</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19.87</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18.644808743169399</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14.1</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44134</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3.8490000000000003E-2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1.4149028476499187E-2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2.4340971523500815E-2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1.1991515240175129E-2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17.21</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3.7207552690149526E-2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0.19320000000000001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'July 20'!Z267+Z266</f>
        <v>7</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2593</v>
      </c>
      <c r="Y280" s="192">
        <f>X280/$X$289</f>
        <v>0.99769141977683728</v>
      </c>
      <c r="Z280" s="107">
        <f t="shared" ref="Z280:Z287" si="2">+Z292+Z304+Z326</f>
        <v>458932</v>
      </c>
      <c r="AA280" s="192">
        <f t="shared" ref="AA280:AA287" si="3">Z280/$Z$289</f>
        <v>0.99616668620224091</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1.1542901115813775E-3</v>
      </c>
      <c r="Z281" s="197">
        <f t="shared" si="2"/>
        <v>1249</v>
      </c>
      <c r="AA281" s="198">
        <f t="shared" si="3"/>
        <v>2.7111035862973139E-3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2</v>
      </c>
      <c r="Y282" s="200">
        <f t="shared" si="4"/>
        <v>7.6952674105425169E-4</v>
      </c>
      <c r="Z282" s="131">
        <f t="shared" si="2"/>
        <v>238</v>
      </c>
      <c r="AA282" s="198">
        <f t="shared" si="3"/>
        <v>5.1660740875801505E-4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3.8476337052712584E-4</v>
      </c>
      <c r="Z286" s="203">
        <f t="shared" si="2"/>
        <v>279</v>
      </c>
      <c r="AA286" s="198">
        <f t="shared" si="3"/>
        <v>6.0560280270372348E-4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2599</v>
      </c>
      <c r="Y289" s="198">
        <f>SUM(Y280:Y288)</f>
        <v>1</v>
      </c>
      <c r="Z289" s="98">
        <f>SUM(Z280:Z288)</f>
        <v>460698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2593</v>
      </c>
      <c r="Y292" s="192">
        <f>X292/$X$301</f>
        <v>0.99769141977683728</v>
      </c>
      <c r="Z292" s="107">
        <v>458932</v>
      </c>
      <c r="AA292" s="192">
        <f>Z292/$Z$301</f>
        <v>0.99616668620224091</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1.1542901115813775E-3</v>
      </c>
      <c r="Z293" s="98">
        <v>1249</v>
      </c>
      <c r="AA293" s="198">
        <f t="shared" ref="AA293:AA299" si="6">Z293/$Z$301</f>
        <v>2.7111035862973139E-3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si="5"/>
        <v>7.6952674105425169E-4</v>
      </c>
      <c r="Z294" s="98">
        <v>238</v>
      </c>
      <c r="AA294" s="198">
        <f t="shared" si="6"/>
        <v>5.1660740875801505E-4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3.8476337052712584E-4</v>
      </c>
      <c r="Z298" s="98">
        <v>279</v>
      </c>
      <c r="AA298" s="198">
        <f t="shared" si="6"/>
        <v>6.0560280270372348E-4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2599</v>
      </c>
      <c r="Y301" s="198">
        <f>SUM(Y292:Y300)</f>
        <v>1</v>
      </c>
      <c r="Z301" s="98">
        <f>SUM(Z292:Z300)</f>
        <v>460698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31</v>
      </c>
      <c r="Y338" s="265">
        <f>+X338/X347</f>
        <v>1</v>
      </c>
      <c r="Z338" s="215">
        <v>7355</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31</v>
      </c>
      <c r="Y347" s="268">
        <f>SUM(Y338:Y345)</f>
        <v>1</v>
      </c>
      <c r="Z347" s="98">
        <f>SUM(Z338:Z345)</f>
        <v>7355</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1.1927664486340901E-2</v>
      </c>
      <c r="Z348" s="298"/>
      <c r="AA348" s="297">
        <f>Z347/Z352</f>
        <v>1.5964905426114288E-2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4</v>
      </c>
      <c r="Y349" s="294">
        <f>X349/X347</f>
        <v>0.12903225806451613</v>
      </c>
      <c r="Z349" s="295">
        <v>804</v>
      </c>
      <c r="AA349" s="294">
        <f>Z349/Z347</f>
        <v>0.10931339225016995</v>
      </c>
      <c r="AB349" s="296">
        <v>0.9838709677419355</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27</v>
      </c>
      <c r="Y350" s="289">
        <f>X350/X347</f>
        <v>0.87096774193548387</v>
      </c>
      <c r="Z350" s="290">
        <v>6551</v>
      </c>
      <c r="AA350" s="291">
        <f>Z350/Z347</f>
        <v>0.89068660774982999</v>
      </c>
      <c r="AB350" s="292">
        <v>0.87096774193548387</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2599</v>
      </c>
      <c r="Y352" s="198"/>
      <c r="Z352" s="211">
        <f>+Z335+Z313+Z301</f>
        <v>460698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1</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460699</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460699</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0.53467793611071124</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OCTOBER 2020</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358</v>
      </c>
    </row>
    <row r="384" spans="1:29" x14ac:dyDescent="0.3">
      <c r="B384" s="270"/>
    </row>
    <row r="385" spans="2:2" x14ac:dyDescent="0.3">
      <c r="B385" s="279" t="s">
        <v>323</v>
      </c>
    </row>
    <row r="386" spans="2:2" x14ac:dyDescent="0.3">
      <c r="B386" s="270" t="s">
        <v>324</v>
      </c>
    </row>
    <row r="387" spans="2:2" x14ac:dyDescent="0.3">
      <c r="B387" s="270" t="s">
        <v>332</v>
      </c>
    </row>
  </sheetData>
  <hyperlinks>
    <hyperlink ref="K9" r:id="rId1" display="http://www.paragon-group.co.uk" xr:uid="{E1523D9D-FCB5-4876-9D95-028A17EF138F}"/>
    <hyperlink ref="P366" r:id="rId2" xr:uid="{D607F9C7-7A9A-4420-9BD3-532ED768B0F6}"/>
    <hyperlink ref="P277" r:id="rId3" xr:uid="{2AD8F274-A68C-4BFD-99BF-3DDD4244AEA5}"/>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2A34-10ED-49B2-84BB-7BB6BB405408}">
  <sheetPr>
    <tabColor rgb="FF2D2926"/>
  </sheetPr>
  <dimension ref="A1:JB38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0.25309999999999999</v>
      </c>
      <c r="Z17" s="29" t="s">
        <v>258</v>
      </c>
      <c r="AA17" s="29">
        <v>0.74690000000000001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44249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225656.43226999999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6876.19182</v>
      </c>
      <c r="Q30" s="54"/>
      <c r="R30" s="54">
        <v>2703</v>
      </c>
      <c r="S30" s="54"/>
      <c r="T30" s="54" t="s">
        <v>83</v>
      </c>
      <c r="U30" s="54"/>
      <c r="V30" s="54" t="s">
        <v>83</v>
      </c>
      <c r="W30" s="54"/>
      <c r="X30" s="54" t="s">
        <v>83</v>
      </c>
      <c r="Y30" s="54" t="s">
        <v>83</v>
      </c>
      <c r="Z30" s="54"/>
      <c r="AA30" s="49"/>
      <c r="AB30" s="50">
        <f>SUM(D30:N30)</f>
        <v>460699.43226999999</v>
      </c>
      <c r="AC30" s="51"/>
      <c r="AD30" s="22"/>
    </row>
    <row r="31" spans="1:33" s="23" customFormat="1" x14ac:dyDescent="0.3">
      <c r="A31" s="47"/>
      <c r="B31" s="44" t="s">
        <v>92</v>
      </c>
      <c r="C31" s="49"/>
      <c r="D31" s="57">
        <f>D29*D32</f>
        <v>215355.91773000002</v>
      </c>
      <c r="E31" s="57"/>
      <c r="F31" s="57">
        <f>F29</f>
        <v>151540</v>
      </c>
      <c r="G31" s="57"/>
      <c r="H31" s="57">
        <f>H29</f>
        <v>24741</v>
      </c>
      <c r="I31" s="57"/>
      <c r="J31" s="57">
        <f>J29</f>
        <v>18555</v>
      </c>
      <c r="K31" s="57"/>
      <c r="L31" s="57">
        <f>L29</f>
        <v>20102</v>
      </c>
      <c r="M31" s="57"/>
      <c r="N31" s="57">
        <f>N29</f>
        <v>20105</v>
      </c>
      <c r="O31" s="57"/>
      <c r="P31" s="57">
        <f>P29*P32</f>
        <v>6609.1473399999995</v>
      </c>
      <c r="Q31" s="57"/>
      <c r="R31" s="57">
        <v>979</v>
      </c>
      <c r="S31" s="57"/>
      <c r="T31" s="57" t="s">
        <v>83</v>
      </c>
      <c r="U31" s="57"/>
      <c r="V31" s="57" t="s">
        <v>83</v>
      </c>
      <c r="W31" s="57"/>
      <c r="X31" s="57" t="s">
        <v>83</v>
      </c>
      <c r="Y31" s="57" t="s">
        <v>83</v>
      </c>
      <c r="Z31" s="57"/>
      <c r="AA31" s="49"/>
      <c r="AB31" s="56">
        <f>SUM(D31:N31)</f>
        <v>450398.91772999999</v>
      </c>
      <c r="AC31" s="51"/>
      <c r="AD31" s="22"/>
      <c r="AE31" s="235"/>
    </row>
    <row r="32" spans="1:33" s="65" customFormat="1" x14ac:dyDescent="0.3">
      <c r="A32" s="58"/>
      <c r="B32" s="166" t="s">
        <v>88</v>
      </c>
      <c r="C32" s="61"/>
      <c r="D32" s="60">
        <v>0.56157000000000001</v>
      </c>
      <c r="E32" s="60"/>
      <c r="F32" s="60">
        <v>1</v>
      </c>
      <c r="G32" s="60"/>
      <c r="H32" s="60">
        <v>1</v>
      </c>
      <c r="I32" s="60"/>
      <c r="J32" s="60">
        <v>1</v>
      </c>
      <c r="K32" s="60"/>
      <c r="L32" s="60">
        <v>1</v>
      </c>
      <c r="M32" s="60"/>
      <c r="N32" s="60">
        <v>1</v>
      </c>
      <c r="O32" s="60"/>
      <c r="P32" s="60">
        <v>0.64942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0.58843000000000001</v>
      </c>
      <c r="E33" s="60"/>
      <c r="F33" s="60">
        <v>1</v>
      </c>
      <c r="G33" s="60"/>
      <c r="H33" s="60">
        <v>1</v>
      </c>
      <c r="I33" s="60"/>
      <c r="J33" s="60">
        <v>1</v>
      </c>
      <c r="K33" s="60"/>
      <c r="L33" s="60">
        <v>1</v>
      </c>
      <c r="M33" s="60"/>
      <c r="N33" s="60">
        <v>1</v>
      </c>
      <c r="O33" s="60"/>
      <c r="P33" s="60">
        <v>0.67566000000000004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1.1001800000000001E-2</v>
      </c>
      <c r="E35" s="241"/>
      <c r="F35" s="241">
        <v>1.25018E-2</v>
      </c>
      <c r="G35" s="241"/>
      <c r="H35" s="241">
        <v>1.95018E-2</v>
      </c>
      <c r="I35" s="241"/>
      <c r="J35" s="241">
        <v>2.3001799999999999E-2</v>
      </c>
      <c r="K35" s="241"/>
      <c r="L35" s="241">
        <v>2.6501799999999999E-2</v>
      </c>
      <c r="M35" s="241"/>
      <c r="N35" s="241">
        <v>3.6501800000000001E-2</v>
      </c>
      <c r="O35" s="241"/>
      <c r="P35" s="241">
        <v>4.0501799999999998E-2</v>
      </c>
      <c r="Q35" s="241"/>
      <c r="R35" s="241">
        <v>4.0501799999999998E-2</v>
      </c>
      <c r="S35" s="68"/>
      <c r="T35" s="68" t="s">
        <v>83</v>
      </c>
      <c r="U35" s="68"/>
      <c r="V35" s="68" t="s">
        <v>83</v>
      </c>
      <c r="W35" s="68"/>
      <c r="X35" s="68" t="s">
        <v>83</v>
      </c>
      <c r="Y35" s="68" t="s">
        <v>83</v>
      </c>
      <c r="Z35" s="68"/>
      <c r="AA35" s="40"/>
      <c r="AB35" s="67">
        <f>SUMPRODUCT(D35:N35,D30:N30)/AB30</f>
        <v>1.4224133035413792E-2</v>
      </c>
      <c r="AC35" s="43"/>
      <c r="AD35" s="22"/>
    </row>
    <row r="36" spans="1:30" s="23" customFormat="1" x14ac:dyDescent="0.3">
      <c r="A36" s="47"/>
      <c r="B36" s="40" t="s">
        <v>10</v>
      </c>
      <c r="C36" s="69"/>
      <c r="D36" s="241">
        <v>1.10466E-2</v>
      </c>
      <c r="E36" s="241"/>
      <c r="F36" s="241">
        <v>1.25466E-2</v>
      </c>
      <c r="G36" s="241"/>
      <c r="H36" s="241">
        <v>1.9546600000000001E-2</v>
      </c>
      <c r="I36" s="241"/>
      <c r="J36" s="241">
        <v>2.30466E-2</v>
      </c>
      <c r="K36" s="241"/>
      <c r="L36" s="241">
        <v>2.65466E-2</v>
      </c>
      <c r="M36" s="241"/>
      <c r="N36" s="241">
        <v>3.6546599999999999E-2</v>
      </c>
      <c r="O36" s="241"/>
      <c r="P36" s="241">
        <v>4.0546600000000002E-2</v>
      </c>
      <c r="Q36" s="241"/>
      <c r="R36" s="241">
        <v>4.0546600000000002E-2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0.22759315643694394</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44242</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44060</v>
      </c>
      <c r="AA48" s="77"/>
      <c r="AB48" s="76">
        <v>44150</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44151</v>
      </c>
      <c r="AA49" s="77"/>
      <c r="AB49" s="76">
        <v>44241</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44241</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460698</v>
      </c>
      <c r="S58" s="238"/>
      <c r="T58" s="237">
        <f>196+158</f>
        <v>354</v>
      </c>
      <c r="U58" s="238"/>
      <c r="V58" s="238">
        <v>9946</v>
      </c>
      <c r="W58" s="238"/>
      <c r="X58" s="238">
        <v>0</v>
      </c>
      <c r="Y58" s="238"/>
      <c r="Z58" s="238">
        <v>0</v>
      </c>
      <c r="AA58" s="238"/>
      <c r="AB58" s="237">
        <f>R58-T58-V58+X58-Z58</f>
        <v>450398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460698</v>
      </c>
      <c r="S61" s="238"/>
      <c r="T61" s="238">
        <f>T58+T59</f>
        <v>354</v>
      </c>
      <c r="U61" s="238"/>
      <c r="V61" s="238">
        <f>SUM(V58:V60)</f>
        <v>9946</v>
      </c>
      <c r="W61" s="238"/>
      <c r="X61" s="238">
        <f>SUM(X58:X60)</f>
        <v>0</v>
      </c>
      <c r="Y61" s="238"/>
      <c r="Z61" s="238">
        <f>SUM(Z58:Z60)</f>
        <v>0</v>
      </c>
      <c r="AA61" s="238"/>
      <c r="AB61" s="238">
        <f>SUM(AB58:AB60)</f>
        <v>450398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1</v>
      </c>
      <c r="S64" s="238"/>
      <c r="T64" s="238">
        <v>0</v>
      </c>
      <c r="U64" s="238"/>
      <c r="V64" s="238">
        <v>0</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460699</v>
      </c>
      <c r="S67" s="238"/>
      <c r="T67" s="238"/>
      <c r="U67" s="238"/>
      <c r="V67" s="238"/>
      <c r="W67" s="238"/>
      <c r="X67" s="238"/>
      <c r="Y67" s="238"/>
      <c r="Z67" s="238"/>
      <c r="AA67" s="238"/>
      <c r="AB67" s="238">
        <f>SUM(AB61:AB66)</f>
        <v>450399</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44225</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1</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+T58+V58+Z58+4</f>
        <v>10304</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3464+1727-382-512</f>
        <v>4297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110+17</f>
        <v>127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267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958</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10305</v>
      </c>
      <c r="AA84" s="40"/>
      <c r="AB84" s="97">
        <f>SUM(AB71:AB83)</f>
        <v>5649</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10305</v>
      </c>
      <c r="AA87" s="40"/>
      <c r="AB87" s="97">
        <f>AB84+AB85+AB86</f>
        <v>5649</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-233-33-7</f>
        <v>-273</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-540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-618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-4</v>
      </c>
      <c r="AA101" s="112"/>
      <c r="AB101" s="98">
        <v>4</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-1100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-267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-27</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-1724</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-10300</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-10300</v>
      </c>
      <c r="AA130" s="97"/>
      <c r="AB130" s="97">
        <f>SUM(AB88:AB128)</f>
        <v>-5649</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20'!AB146</f>
        <v>6296.5499999999993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-267</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6029.5499999999993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20'!AB165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-4</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-4</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4</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20'!AB182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20'!AB198</f>
        <v>1429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886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958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1357</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20'!AB206</f>
        <v>937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886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1100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1151</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20'!Y213</f>
        <v>0</v>
      </c>
      <c r="Z211" s="98">
        <f>+'October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382021</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387279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-5258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6.1999999999999998E-3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4.4307974335472045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3.01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31.191666666666666</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24.01</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34.179245283018865</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26.5</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26.443609022556391</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20.78</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18.491803278688526</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14.72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44225</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3.8269999999999998E-2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1.4224133035413792E-2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2.4045866964586209E-2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1.2261802174521759E-2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16.989999999999998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2.2357330925398145E-2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0.17760000000000001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-4</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20'!Z267+Z266</f>
        <v>3</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2522</v>
      </c>
      <c r="Y280" s="192">
        <f>X280/$X$289</f>
        <v>0.99683794466403164</v>
      </c>
      <c r="Z280" s="107">
        <f t="shared" ref="Z280:Z287" si="2">+Z292+Z304+Z326</f>
        <v>448191</v>
      </c>
      <c r="AA280" s="192">
        <f t="shared" ref="AA280:AA287" si="3">Z280/$Z$289</f>
        <v>0.99509988943112537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2</v>
      </c>
      <c r="Y281" s="196">
        <f t="shared" ref="Y281:Y287" si="4">X281/$X$289</f>
        <v>7.9051383399209485E-4</v>
      </c>
      <c r="Z281" s="197">
        <f t="shared" si="2"/>
        <v>441</v>
      </c>
      <c r="AA281" s="198">
        <f t="shared" si="3"/>
        <v>9.7913401036416677E-4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1</v>
      </c>
      <c r="Y282" s="200">
        <f t="shared" si="4"/>
        <v>3.9525691699604743E-4</v>
      </c>
      <c r="Z282" s="131">
        <f t="shared" si="2"/>
        <v>406</v>
      </c>
      <c r="AA282" s="198">
        <f t="shared" si="3"/>
        <v>9.0142496192256629E-4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1.1857707509881424E-3</v>
      </c>
      <c r="Z283" s="131">
        <f t="shared" si="2"/>
        <v>681</v>
      </c>
      <c r="AA283" s="198">
        <f t="shared" si="3"/>
        <v>1.5119960568208562E-3</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3.9525691699604743E-4</v>
      </c>
      <c r="Z286" s="203">
        <f t="shared" si="2"/>
        <v>400</v>
      </c>
      <c r="AA286" s="198">
        <f t="shared" si="3"/>
        <v>8.8810341076114906E-4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3.9525691699604743E-4</v>
      </c>
      <c r="Z287" s="107">
        <f t="shared" si="2"/>
        <v>279</v>
      </c>
      <c r="AA287" s="198">
        <f t="shared" si="3"/>
        <v>6.1945212900590149E-4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2530</v>
      </c>
      <c r="Y289" s="198">
        <f>SUM(Y280:Y288)</f>
        <v>1</v>
      </c>
      <c r="Z289" s="98">
        <f>SUM(Z280:Z288)</f>
        <v>450398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2522</v>
      </c>
      <c r="Y292" s="192">
        <f>X292/$X$301</f>
        <v>0.99683794466403164</v>
      </c>
      <c r="Z292" s="107">
        <v>448191</v>
      </c>
      <c r="AA292" s="192">
        <f>Z292/$Z$301</f>
        <v>0.99509988943112537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7.9051383399209485E-4</v>
      </c>
      <c r="Z293" s="98">
        <v>441</v>
      </c>
      <c r="AA293" s="198">
        <f t="shared" ref="AA293:AA299" si="6">Z293/$Z$301</f>
        <v>9.7913401036416677E-4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3.9525691699604743E-4</v>
      </c>
      <c r="Z294" s="98">
        <v>406</v>
      </c>
      <c r="AA294" s="198">
        <f t="shared" si="6"/>
        <v>9.0142496192256629E-4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1.1857707509881424E-3</v>
      </c>
      <c r="Z295" s="98">
        <v>681</v>
      </c>
      <c r="AA295" s="198">
        <f t="shared" si="6"/>
        <v>1.5119960568208562E-3</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3.9525691699604743E-4</v>
      </c>
      <c r="Z298" s="98">
        <v>400</v>
      </c>
      <c r="AA298" s="198">
        <f t="shared" si="6"/>
        <v>8.8810341076114906E-4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3.9525691699604743E-4</v>
      </c>
      <c r="Z299" s="98">
        <v>279</v>
      </c>
      <c r="AA299" s="198">
        <f t="shared" si="6"/>
        <v>6.1945212900590149E-4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2530</v>
      </c>
      <c r="Y301" s="198">
        <f>SUM(Y292:Y300)</f>
        <v>1</v>
      </c>
      <c r="Z301" s="98">
        <f>SUM(Z292:Z300)</f>
        <v>450398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43</v>
      </c>
      <c r="Y338" s="265">
        <f>+X338/X347</f>
        <v>1</v>
      </c>
      <c r="Z338" s="215">
        <v>9677</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43</v>
      </c>
      <c r="Y347" s="268">
        <f>SUM(Y338:Y345)</f>
        <v>1</v>
      </c>
      <c r="Z347" s="98">
        <f>SUM(Z338:Z345)</f>
        <v>9677</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1.6996047430830039E-2</v>
      </c>
      <c r="Z348" s="298"/>
      <c r="AA348" s="297">
        <f>Z347/Z352</f>
        <v>2.1485441764839099E-2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7</v>
      </c>
      <c r="Y349" s="294">
        <f>X349/X347</f>
        <v>0.16279069767441862</v>
      </c>
      <c r="Z349" s="295">
        <v>1444</v>
      </c>
      <c r="AA349" s="294">
        <f>Z349/Z347</f>
        <v>0.14921979952464606</v>
      </c>
      <c r="AB349" s="296">
        <v>0.52995391705069117</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36</v>
      </c>
      <c r="Y350" s="289">
        <f>X350/X347</f>
        <v>0.83720930232558144</v>
      </c>
      <c r="Z350" s="290">
        <v>8233</v>
      </c>
      <c r="AA350" s="291">
        <f>Z350/Z347</f>
        <v>0.85078020047535396</v>
      </c>
      <c r="AB350" s="292">
        <v>0.85663082437275995</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2530</v>
      </c>
      <c r="Y352" s="198"/>
      <c r="Z352" s="211">
        <f>+Z335+Z313+Z301</f>
        <v>450398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1</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450399</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450399</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0.54576240352747885</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JANUARY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358</v>
      </c>
    </row>
    <row r="384" spans="1:29" x14ac:dyDescent="0.3">
      <c r="B384" s="270"/>
    </row>
    <row r="385" spans="2:2" x14ac:dyDescent="0.3">
      <c r="B385" s="279" t="s">
        <v>323</v>
      </c>
    </row>
    <row r="386" spans="2:2" x14ac:dyDescent="0.3">
      <c r="B386" s="270" t="s">
        <v>324</v>
      </c>
    </row>
    <row r="387" spans="2:2" x14ac:dyDescent="0.3">
      <c r="B387" s="270" t="s">
        <v>332</v>
      </c>
    </row>
  </sheetData>
  <hyperlinks>
    <hyperlink ref="K9" r:id="rId1" display="http://www.paragon-group.co.uk" xr:uid="{243CE7BB-D0EB-458B-89AA-79A9A1A741C8}"/>
    <hyperlink ref="P366" r:id="rId2" xr:uid="{66B28189-621F-43A0-8A9F-AC8A6519CD8C}"/>
    <hyperlink ref="P277" r:id="rId3" xr:uid="{B1512DED-D492-4C48-955B-6D32D46E1A85}"/>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996DE-DDEF-491B-B6CB-47F0223E45B2}">
  <sheetPr>
    <tabColor rgb="FF89CB31"/>
  </sheetPr>
  <dimension ref="A1:JB389"/>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0.249</v>
      </c>
      <c r="Z17" s="29" t="s">
        <v>258</v>
      </c>
      <c r="AA17" s="29">
        <v>0.751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44340</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215355.91773000002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6609.1473399999995</v>
      </c>
      <c r="Q30" s="54"/>
      <c r="R30" s="54">
        <v>979</v>
      </c>
      <c r="S30" s="54"/>
      <c r="T30" s="54" t="s">
        <v>83</v>
      </c>
      <c r="U30" s="54"/>
      <c r="V30" s="54" t="s">
        <v>83</v>
      </c>
      <c r="W30" s="54"/>
      <c r="X30" s="54" t="s">
        <v>83</v>
      </c>
      <c r="Y30" s="54" t="s">
        <v>83</v>
      </c>
      <c r="Z30" s="54"/>
      <c r="AA30" s="49"/>
      <c r="AB30" s="50">
        <f>SUM(D30:N30)</f>
        <v>450398.91772999999</v>
      </c>
      <c r="AC30" s="51"/>
      <c r="AD30" s="22"/>
    </row>
    <row r="31" spans="1:33" s="23" customFormat="1" x14ac:dyDescent="0.3">
      <c r="A31" s="47"/>
      <c r="B31" s="44" t="s">
        <v>92</v>
      </c>
      <c r="C31" s="49"/>
      <c r="D31" s="57">
        <f>D29*D32</f>
        <v>205254.81746999998</v>
      </c>
      <c r="E31" s="57"/>
      <c r="F31" s="57">
        <f>F29</f>
        <v>151540</v>
      </c>
      <c r="G31" s="57"/>
      <c r="H31" s="57">
        <f>H29</f>
        <v>24741</v>
      </c>
      <c r="I31" s="57"/>
      <c r="J31" s="57">
        <f>J29</f>
        <v>18555</v>
      </c>
      <c r="K31" s="57"/>
      <c r="L31" s="57">
        <f>L29</f>
        <v>20102</v>
      </c>
      <c r="M31" s="57"/>
      <c r="N31" s="57">
        <f>N29</f>
        <v>20105</v>
      </c>
      <c r="O31" s="57"/>
      <c r="P31" s="57">
        <f>P29*P32</f>
        <v>6454.45694</v>
      </c>
      <c r="Q31" s="57"/>
      <c r="R31" s="57">
        <v>0</v>
      </c>
      <c r="S31" s="57"/>
      <c r="T31" s="57" t="s">
        <v>83</v>
      </c>
      <c r="U31" s="57"/>
      <c r="V31" s="57" t="s">
        <v>83</v>
      </c>
      <c r="W31" s="57"/>
      <c r="X31" s="57" t="s">
        <v>83</v>
      </c>
      <c r="Y31" s="57" t="s">
        <v>83</v>
      </c>
      <c r="Z31" s="57"/>
      <c r="AA31" s="49"/>
      <c r="AB31" s="56">
        <f>SUM(D31:N31)</f>
        <v>440297.81747000001</v>
      </c>
      <c r="AC31" s="51"/>
      <c r="AD31" s="22"/>
      <c r="AE31" s="235"/>
    </row>
    <row r="32" spans="1:33" s="65" customFormat="1" x14ac:dyDescent="0.3">
      <c r="A32" s="58"/>
      <c r="B32" s="166" t="s">
        <v>88</v>
      </c>
      <c r="C32" s="61"/>
      <c r="D32" s="60">
        <v>0.53522999999999998</v>
      </c>
      <c r="E32" s="60"/>
      <c r="F32" s="60">
        <v>1</v>
      </c>
      <c r="G32" s="60"/>
      <c r="H32" s="60">
        <v>1</v>
      </c>
      <c r="I32" s="60"/>
      <c r="J32" s="60">
        <v>1</v>
      </c>
      <c r="K32" s="60"/>
      <c r="L32" s="60">
        <v>1</v>
      </c>
      <c r="M32" s="60"/>
      <c r="N32" s="60">
        <v>1</v>
      </c>
      <c r="O32" s="60"/>
      <c r="P32" s="60">
        <v>0.63422000000000001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0.56157000000000001</v>
      </c>
      <c r="E33" s="60"/>
      <c r="F33" s="60">
        <v>1</v>
      </c>
      <c r="G33" s="60"/>
      <c r="H33" s="60">
        <v>1</v>
      </c>
      <c r="I33" s="60"/>
      <c r="J33" s="60">
        <v>1</v>
      </c>
      <c r="K33" s="60"/>
      <c r="L33" s="60">
        <v>1</v>
      </c>
      <c r="M33" s="60"/>
      <c r="N33" s="60">
        <v>1</v>
      </c>
      <c r="O33" s="60"/>
      <c r="P33" s="60">
        <v>0.64942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1.09871E-2</v>
      </c>
      <c r="E35" s="241"/>
      <c r="F35" s="241">
        <v>1.2487099999999999E-2</v>
      </c>
      <c r="G35" s="241"/>
      <c r="H35" s="241">
        <v>1.94871E-2</v>
      </c>
      <c r="I35" s="241"/>
      <c r="J35" s="241">
        <v>2.29871E-2</v>
      </c>
      <c r="K35" s="241"/>
      <c r="L35" s="241">
        <v>2.64871E-2</v>
      </c>
      <c r="M35" s="241"/>
      <c r="N35" s="241">
        <v>3.6487100000000001E-2</v>
      </c>
      <c r="O35" s="241"/>
      <c r="P35" s="241">
        <v>4.0487099999999998E-2</v>
      </c>
      <c r="Q35" s="241"/>
      <c r="R35" s="241">
        <v>4.0487099999999998E-2</v>
      </c>
      <c r="S35" s="68"/>
      <c r="T35" s="68" t="s">
        <v>83</v>
      </c>
      <c r="U35" s="68"/>
      <c r="V35" s="68" t="s">
        <v>83</v>
      </c>
      <c r="W35" s="68"/>
      <c r="X35" s="68" t="s">
        <v>83</v>
      </c>
      <c r="Y35" s="68" t="s">
        <v>83</v>
      </c>
      <c r="Z35" s="68"/>
      <c r="AA35" s="40"/>
      <c r="AB35" s="67">
        <f>SUMPRODUCT(D35:N35,D30:N30)/AB30</f>
        <v>1.428312701418996E-2</v>
      </c>
      <c r="AC35" s="43"/>
      <c r="AD35" s="22"/>
    </row>
    <row r="36" spans="1:30" s="23" customFormat="1" x14ac:dyDescent="0.3">
      <c r="A36" s="47"/>
      <c r="B36" s="40" t="s">
        <v>10</v>
      </c>
      <c r="C36" s="69"/>
      <c r="D36" s="241">
        <v>1.1001800000000001E-2</v>
      </c>
      <c r="E36" s="241"/>
      <c r="F36" s="241">
        <v>1.25018E-2</v>
      </c>
      <c r="G36" s="241"/>
      <c r="H36" s="241">
        <v>1.95018E-2</v>
      </c>
      <c r="I36" s="241"/>
      <c r="J36" s="241">
        <v>2.3001799999999999E-2</v>
      </c>
      <c r="K36" s="241"/>
      <c r="L36" s="241">
        <v>2.6501799999999999E-2</v>
      </c>
      <c r="M36" s="241"/>
      <c r="N36" s="241">
        <v>3.6501800000000001E-2</v>
      </c>
      <c r="O36" s="241"/>
      <c r="P36" s="241">
        <v>4.0501799999999998E-2</v>
      </c>
      <c r="Q36" s="241"/>
      <c r="R36" s="241">
        <v>4.0501799999999998E-2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0.23403647113518147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44333</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44151</v>
      </c>
      <c r="AA48" s="77"/>
      <c r="AB48" s="76">
        <v>44241</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44242</v>
      </c>
      <c r="AA49" s="77"/>
      <c r="AB49" s="76">
        <v>44332</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44332</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450398</v>
      </c>
      <c r="S58" s="238"/>
      <c r="T58" s="237">
        <f>155+194</f>
        <v>349</v>
      </c>
      <c r="U58" s="238"/>
      <c r="V58" s="238">
        <v>9751</v>
      </c>
      <c r="W58" s="238"/>
      <c r="X58" s="238">
        <v>0</v>
      </c>
      <c r="Y58" s="238"/>
      <c r="Z58" s="238">
        <v>0</v>
      </c>
      <c r="AA58" s="238"/>
      <c r="AB58" s="237">
        <f>R58-T58-V58+X58-Z58</f>
        <v>440298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450398</v>
      </c>
      <c r="S61" s="238"/>
      <c r="T61" s="238">
        <f>T58+T59</f>
        <v>349</v>
      </c>
      <c r="U61" s="238"/>
      <c r="V61" s="238">
        <f>SUM(V58:V60)</f>
        <v>9751</v>
      </c>
      <c r="W61" s="238"/>
      <c r="X61" s="238">
        <f>SUM(X58:X60)</f>
        <v>0</v>
      </c>
      <c r="Y61" s="238"/>
      <c r="Z61" s="238">
        <f>SUM(Z58:Z60)</f>
        <v>0</v>
      </c>
      <c r="AA61" s="238"/>
      <c r="AB61" s="238">
        <f>SUM(AB58:AB60)</f>
        <v>440298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1</v>
      </c>
      <c r="S64" s="238"/>
      <c r="T64" s="238">
        <v>0</v>
      </c>
      <c r="U64" s="238"/>
      <c r="V64" s="238">
        <v>-1</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450399</v>
      </c>
      <c r="S67" s="238"/>
      <c r="T67" s="238"/>
      <c r="U67" s="238"/>
      <c r="V67" s="238"/>
      <c r="W67" s="238"/>
      <c r="X67" s="238"/>
      <c r="Y67" s="238"/>
      <c r="Z67" s="238"/>
      <c r="AA67" s="238"/>
      <c r="AB67" s="238">
        <f>SUM(AB61:AB66)</f>
        <v>440298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44316</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1</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+T58+V58+Z58-10</f>
        <v>10090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3365+1444-302-278</f>
        <v>4229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92+46</f>
        <v>138</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1259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10091</v>
      </c>
      <c r="AA84" s="40"/>
      <c r="AB84" s="97">
        <f>SUM(AB71:AB83)</f>
        <v>5781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10091</v>
      </c>
      <c r="AA87" s="40"/>
      <c r="AB87" s="97">
        <f>AB84+AB85+AB86</f>
        <v>5781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-220-7-7</f>
        <v>-234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-529</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-591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-471</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10</v>
      </c>
      <c r="AA101" s="112"/>
      <c r="AB101" s="98">
        <v>-10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-979</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-161-666</f>
        <v>-827</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-35</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-310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-10101</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-10101</v>
      </c>
      <c r="AA130" s="97"/>
      <c r="AB130" s="97">
        <f>SUM(AB88:AB128)</f>
        <v>-5781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21'!AB146</f>
        <v>6029.5499999999993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5874.5499999999993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21'!AB198</f>
        <v>1357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1037</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1259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1135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21'!AB206</f>
        <v>1151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1037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1114</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21'!Y213</f>
        <v>0</v>
      </c>
      <c r="Z211" s="98">
        <f>+'January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376678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378077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-1399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4.72316384180791</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3.17</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32.950000000000003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25.06</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36.169811320754718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27.66</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28.030075187969924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21.66</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19.644808743169399</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15.33</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44316</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3.8109999999999998E-2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1.428312701418996E-2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2.3826872985810037E-2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1.2835286046372216E-2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16.829999999999998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2.2424561333395501E-2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0.16600000000000001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10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21'!Z267+Z266</f>
        <v>13</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2455</v>
      </c>
      <c r="Y280" s="192">
        <f>X280/$X$289</f>
        <v>0.99553933495539337</v>
      </c>
      <c r="Z280" s="107">
        <f t="shared" ref="Z280:Z287" si="2">+Z292+Z304+Z326</f>
        <v>437741</v>
      </c>
      <c r="AA280" s="192">
        <f t="shared" ref="AA280:AA287" si="3">Z280/$Z$289</f>
        <v>0.99419256957787683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1.2165450121654502E-3</v>
      </c>
      <c r="Z281" s="197">
        <f t="shared" si="2"/>
        <v>545</v>
      </c>
      <c r="AA281" s="198">
        <f t="shared" si="3"/>
        <v>1.2377980367841779E-3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2</v>
      </c>
      <c r="Y282" s="200">
        <f t="shared" si="4"/>
        <v>8.110300081103001E-4</v>
      </c>
      <c r="Z282" s="131">
        <f t="shared" si="2"/>
        <v>248</v>
      </c>
      <c r="AA282" s="198">
        <f t="shared" si="3"/>
        <v>5.6325488646325893E-4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4</v>
      </c>
      <c r="Y283" s="200">
        <f t="shared" si="4"/>
        <v>1.6220600162206002E-3</v>
      </c>
      <c r="Z283" s="131">
        <f t="shared" si="2"/>
        <v>1042</v>
      </c>
      <c r="AA283" s="198">
        <f t="shared" si="3"/>
        <v>2.3665789987690157E-3</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4.0551500405515005E-4</v>
      </c>
      <c r="Z285" s="131">
        <f t="shared" si="2"/>
        <v>443</v>
      </c>
      <c r="AA285" s="198">
        <f t="shared" si="3"/>
        <v>1.0061367528355796E-3</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0</v>
      </c>
      <c r="Y286" s="202">
        <f t="shared" si="4"/>
        <v>0</v>
      </c>
      <c r="Z286" s="203">
        <f t="shared" si="2"/>
        <v>0</v>
      </c>
      <c r="AA286" s="198">
        <f t="shared" si="3"/>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4.0551500405515005E-4</v>
      </c>
      <c r="Z287" s="107">
        <f t="shared" si="2"/>
        <v>279</v>
      </c>
      <c r="AA287" s="198">
        <f t="shared" si="3"/>
        <v>6.3366174727116638E-4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2466</v>
      </c>
      <c r="Y289" s="198">
        <f>SUM(Y280:Y288)</f>
        <v>1</v>
      </c>
      <c r="Z289" s="98">
        <f>SUM(Z280:Z288)</f>
        <v>440298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2455</v>
      </c>
      <c r="Y292" s="192">
        <f>X292/$X$301</f>
        <v>0.99553933495539337</v>
      </c>
      <c r="Z292" s="107">
        <v>437741</v>
      </c>
      <c r="AA292" s="192">
        <f>Z292/$Z$301</f>
        <v>0.99419256957787683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1.2165450121654502E-3</v>
      </c>
      <c r="Z293" s="98">
        <v>545</v>
      </c>
      <c r="AA293" s="198">
        <f t="shared" ref="AA293:AA299" si="6">Z293/$Z$301</f>
        <v>1.2377980367841779E-3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si="5"/>
        <v>8.110300081103001E-4</v>
      </c>
      <c r="Z294" s="98">
        <v>248</v>
      </c>
      <c r="AA294" s="198">
        <f t="shared" si="6"/>
        <v>5.6325488646325893E-4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4</v>
      </c>
      <c r="Y295" s="198">
        <f t="shared" si="5"/>
        <v>1.6220600162206002E-3</v>
      </c>
      <c r="Z295" s="98">
        <v>1042</v>
      </c>
      <c r="AA295" s="198">
        <f t="shared" si="6"/>
        <v>2.3665789987690157E-3</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4.0551500405515005E-4</v>
      </c>
      <c r="Z297" s="98">
        <v>443</v>
      </c>
      <c r="AA297" s="198">
        <f t="shared" si="6"/>
        <v>1.0061367528355796E-3</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4.0551500405515005E-4</v>
      </c>
      <c r="Z299" s="98">
        <v>279</v>
      </c>
      <c r="AA299" s="198">
        <f t="shared" si="6"/>
        <v>6.3366174727116638E-4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2466</v>
      </c>
      <c r="Y301" s="198">
        <f>SUM(Y292:Y300)</f>
        <v>1</v>
      </c>
      <c r="Z301" s="98">
        <f>SUM(Z292:Z300)</f>
        <v>440298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8</v>
      </c>
      <c r="Y338" s="265">
        <f>+X338/X347</f>
        <v>1</v>
      </c>
      <c r="Z338" s="215">
        <v>1623</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8</v>
      </c>
      <c r="Y347" s="268">
        <f>SUM(Y338:Y345)</f>
        <v>1</v>
      </c>
      <c r="Z347" s="98">
        <f>SUM(Z338:Z345)</f>
        <v>1623</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3.2441200324412004E-3</v>
      </c>
      <c r="Z348" s="298"/>
      <c r="AA348" s="297">
        <f>Z347/Z352</f>
        <v>3.6861398416526987E-3</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1</v>
      </c>
      <c r="Y349" s="294">
        <f>X349/X347</f>
        <v>0.125</v>
      </c>
      <c r="Z349" s="295">
        <v>272</v>
      </c>
      <c r="AA349" s="294">
        <f>Z349/Z347</f>
        <v>0.16759088108441159</v>
      </c>
      <c r="AB349" s="296">
        <v>0</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7</v>
      </c>
      <c r="Y350" s="289">
        <f>X350/X347</f>
        <v>0.875</v>
      </c>
      <c r="Z350" s="290">
        <v>1351</v>
      </c>
      <c r="AA350" s="291">
        <f>Z350/Z347</f>
        <v>0.83240911891558844</v>
      </c>
      <c r="AB350" s="292">
        <v>0.42396313364055299</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2466</v>
      </c>
      <c r="Y352" s="198"/>
      <c r="Z352" s="211">
        <f>+Z335+Z313+Z301</f>
        <v>440298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0</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440298</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440298</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0.55713594558122936</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APRIL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347</v>
      </c>
    </row>
    <row r="384" spans="1:29" x14ac:dyDescent="0.3">
      <c r="B384" s="270"/>
    </row>
    <row r="385" spans="2:2" x14ac:dyDescent="0.3">
      <c r="B385" s="279" t="s">
        <v>323</v>
      </c>
    </row>
    <row r="386" spans="2:2" x14ac:dyDescent="0.3">
      <c r="B386" s="270" t="s">
        <v>324</v>
      </c>
    </row>
    <row r="387" spans="2:2" x14ac:dyDescent="0.3">
      <c r="B387" s="270" t="s">
        <v>332</v>
      </c>
    </row>
    <row r="388" spans="2:2" x14ac:dyDescent="0.3">
      <c r="B388" s="271"/>
    </row>
    <row r="389" spans="2:2" x14ac:dyDescent="0.3">
      <c r="B389" s="271"/>
    </row>
  </sheetData>
  <hyperlinks>
    <hyperlink ref="K9" r:id="rId1" display="http://www.paragon-group.co.uk" xr:uid="{A08B0908-D973-4825-B117-72663BF2A293}"/>
    <hyperlink ref="P366" r:id="rId2" xr:uid="{4A855F70-FE2F-49E5-8BBE-4595674600D8}"/>
    <hyperlink ref="P277" r:id="rId3" xr:uid="{304F24A0-99AA-4C0D-B97B-19605A704F0A}"/>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5179-A5E2-4519-9D15-EC37D4587503}">
  <sheetPr>
    <tabColor rgb="FF2D2926"/>
  </sheetPr>
  <dimension ref="A1:JB393"/>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0.24740000000000001</v>
      </c>
      <c r="Z17" s="29" t="s">
        <v>258</v>
      </c>
      <c r="AA17" s="29">
        <v>0.75260000000000005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44431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205254.81746999998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6454.45694</v>
      </c>
      <c r="Q30" s="54"/>
      <c r="R30" s="54">
        <v>979</v>
      </c>
      <c r="S30" s="54"/>
      <c r="T30" s="54" t="s">
        <v>83</v>
      </c>
      <c r="U30" s="54"/>
      <c r="V30" s="54" t="s">
        <v>83</v>
      </c>
      <c r="W30" s="54"/>
      <c r="X30" s="54" t="s">
        <v>83</v>
      </c>
      <c r="Y30" s="54" t="s">
        <v>83</v>
      </c>
      <c r="Z30" s="54"/>
      <c r="AA30" s="49"/>
      <c r="AB30" s="50">
        <f>SUM(D30:N30)</f>
        <v>440297.81747000001</v>
      </c>
      <c r="AC30" s="51"/>
      <c r="AD30" s="22"/>
    </row>
    <row r="31" spans="1:33" s="23" customFormat="1" x14ac:dyDescent="0.3">
      <c r="A31" s="47"/>
      <c r="B31" s="44" t="s">
        <v>92</v>
      </c>
      <c r="C31" s="49"/>
      <c r="D31" s="57">
        <f>D29*D32</f>
        <v>188588.38553</v>
      </c>
      <c r="E31" s="57"/>
      <c r="F31" s="57">
        <f>F29</f>
        <v>151540</v>
      </c>
      <c r="G31" s="57"/>
      <c r="H31" s="57">
        <f>H29</f>
        <v>24741</v>
      </c>
      <c r="I31" s="57"/>
      <c r="J31" s="57">
        <f>J29</f>
        <v>18555</v>
      </c>
      <c r="K31" s="57"/>
      <c r="L31" s="57">
        <f>L29</f>
        <v>20102</v>
      </c>
      <c r="M31" s="57"/>
      <c r="N31" s="57">
        <f>N29</f>
        <v>20105</v>
      </c>
      <c r="O31" s="57"/>
      <c r="P31" s="57">
        <f>P29*P32</f>
        <v>6302.9214100000008</v>
      </c>
      <c r="Q31" s="57"/>
      <c r="R31" s="57">
        <v>0</v>
      </c>
      <c r="S31" s="57"/>
      <c r="T31" s="57" t="s">
        <v>83</v>
      </c>
      <c r="U31" s="57"/>
      <c r="V31" s="57" t="s">
        <v>83</v>
      </c>
      <c r="W31" s="57"/>
      <c r="X31" s="57" t="s">
        <v>83</v>
      </c>
      <c r="Y31" s="57" t="s">
        <v>83</v>
      </c>
      <c r="Z31" s="57"/>
      <c r="AA31" s="49"/>
      <c r="AB31" s="56">
        <f>SUM(D31:N31)</f>
        <v>423631.38552999997</v>
      </c>
      <c r="AC31" s="51"/>
      <c r="AD31" s="22"/>
      <c r="AE31" s="235"/>
    </row>
    <row r="32" spans="1:33" s="65" customFormat="1" x14ac:dyDescent="0.3">
      <c r="A32" s="58"/>
      <c r="B32" s="166" t="s">
        <v>88</v>
      </c>
      <c r="C32" s="61"/>
      <c r="D32" s="60">
        <v>0.49176999999999998</v>
      </c>
      <c r="E32" s="60"/>
      <c r="F32" s="60">
        <v>1</v>
      </c>
      <c r="G32" s="60"/>
      <c r="H32" s="60">
        <v>1</v>
      </c>
      <c r="I32" s="60"/>
      <c r="J32" s="60">
        <v>1</v>
      </c>
      <c r="K32" s="60"/>
      <c r="L32" s="60">
        <v>1</v>
      </c>
      <c r="M32" s="60"/>
      <c r="N32" s="60">
        <v>1</v>
      </c>
      <c r="O32" s="60"/>
      <c r="P32" s="60">
        <v>0.61933000000000005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0.53522999999999998</v>
      </c>
      <c r="E33" s="60"/>
      <c r="F33" s="60">
        <v>1</v>
      </c>
      <c r="G33" s="60"/>
      <c r="H33" s="60">
        <v>1</v>
      </c>
      <c r="I33" s="60"/>
      <c r="J33" s="60">
        <v>1</v>
      </c>
      <c r="K33" s="60"/>
      <c r="L33" s="60">
        <v>1</v>
      </c>
      <c r="M33" s="60"/>
      <c r="N33" s="60">
        <v>1</v>
      </c>
      <c r="O33" s="60"/>
      <c r="P33" s="60">
        <v>0.63422000000000001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1.1000899999999999E-2</v>
      </c>
      <c r="E35" s="241"/>
      <c r="F35" s="241">
        <v>1.2500900000000001E-2</v>
      </c>
      <c r="G35" s="241"/>
      <c r="H35" s="241">
        <v>1.9500900000000002E-2</v>
      </c>
      <c r="I35" s="241"/>
      <c r="J35" s="241">
        <v>2.3000900000000001E-2</v>
      </c>
      <c r="K35" s="241"/>
      <c r="L35" s="241">
        <v>2.6500900000000001E-2</v>
      </c>
      <c r="M35" s="241"/>
      <c r="N35" s="241">
        <v>3.6500900000000003E-2</v>
      </c>
      <c r="O35" s="241"/>
      <c r="P35" s="241">
        <v>4.0500899999999999E-2</v>
      </c>
      <c r="Q35" s="241"/>
      <c r="R35" s="241">
        <v>4.0500899999999999E-2</v>
      </c>
      <c r="S35" s="68"/>
      <c r="T35" s="68" t="s">
        <v>83</v>
      </c>
      <c r="U35" s="68"/>
      <c r="V35" s="68" t="s">
        <v>83</v>
      </c>
      <c r="W35" s="68"/>
      <c r="X35" s="68" t="s">
        <v>83</v>
      </c>
      <c r="Y35" s="68" t="s">
        <v>83</v>
      </c>
      <c r="Z35" s="68"/>
      <c r="AA35" s="40"/>
      <c r="AB35" s="67">
        <f>SUMPRODUCT(D35:N35,D30:N30)/AB30</f>
        <v>1.4372542876928747E-2</v>
      </c>
      <c r="AC35" s="43"/>
      <c r="AD35" s="22"/>
    </row>
    <row r="36" spans="1:30" s="23" customFormat="1" x14ac:dyDescent="0.3">
      <c r="A36" s="47"/>
      <c r="B36" s="40" t="s">
        <v>10</v>
      </c>
      <c r="C36" s="69"/>
      <c r="D36" s="241">
        <v>1.09871E-2</v>
      </c>
      <c r="E36" s="241"/>
      <c r="F36" s="241">
        <v>1.2487099999999999E-2</v>
      </c>
      <c r="G36" s="241"/>
      <c r="H36" s="241">
        <v>1.94871E-2</v>
      </c>
      <c r="I36" s="241"/>
      <c r="J36" s="241">
        <v>2.29871E-2</v>
      </c>
      <c r="K36" s="241"/>
      <c r="L36" s="241">
        <v>2.64871E-2</v>
      </c>
      <c r="M36" s="241"/>
      <c r="N36" s="241">
        <v>3.6487100000000001E-2</v>
      </c>
      <c r="O36" s="241"/>
      <c r="P36" s="241">
        <v>4.0487099999999998E-2</v>
      </c>
      <c r="Q36" s="241"/>
      <c r="R36" s="241">
        <v>4.0487099999999998E-2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0.2455043552742083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44424</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44242</v>
      </c>
      <c r="AA48" s="77"/>
      <c r="AB48" s="76">
        <v>44332</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44333</v>
      </c>
      <c r="AA49" s="77"/>
      <c r="AB49" s="76">
        <v>44423</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44423</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351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440298</v>
      </c>
      <c r="S58" s="238"/>
      <c r="T58" s="237">
        <f>157+192</f>
        <v>349</v>
      </c>
      <c r="U58" s="238"/>
      <c r="V58" s="238">
        <v>16318</v>
      </c>
      <c r="W58" s="238"/>
      <c r="X58" s="238">
        <v>0</v>
      </c>
      <c r="Y58" s="238"/>
      <c r="Z58" s="238">
        <v>0</v>
      </c>
      <c r="AA58" s="238"/>
      <c r="AB58" s="237">
        <f>R58-T58-V58+X58-Z58</f>
        <v>423631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440298</v>
      </c>
      <c r="S61" s="238"/>
      <c r="T61" s="238">
        <f>T58+T59</f>
        <v>349</v>
      </c>
      <c r="U61" s="238"/>
      <c r="V61" s="238">
        <f>SUM(V58:V60)</f>
        <v>16318</v>
      </c>
      <c r="W61" s="238"/>
      <c r="X61" s="238">
        <f>SUM(X58:X60)</f>
        <v>0</v>
      </c>
      <c r="Y61" s="238"/>
      <c r="Z61" s="238">
        <f>SUM(Z58:Z60)</f>
        <v>0</v>
      </c>
      <c r="AA61" s="238"/>
      <c r="AB61" s="238">
        <f>SUM(AB58:AB60)</f>
        <v>423631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0</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440298</v>
      </c>
      <c r="S67" s="238"/>
      <c r="T67" s="238"/>
      <c r="U67" s="238"/>
      <c r="V67" s="238"/>
      <c r="W67" s="238"/>
      <c r="X67" s="238"/>
      <c r="Y67" s="238"/>
      <c r="Z67" s="238"/>
      <c r="AA67" s="238"/>
      <c r="AB67" s="238">
        <f>SUM(AB61:AB66)</f>
        <v>423631</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44407</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16666</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3693+1534-662-427</f>
        <v>4138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246+75</f>
        <v>321</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151</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1291</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16666</v>
      </c>
      <c r="AA84" s="40"/>
      <c r="AB84" s="97">
        <f>SUM(AB71:AB83)</f>
        <v>5901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16666</v>
      </c>
      <c r="AA87" s="40"/>
      <c r="AB87" s="97">
        <f>AB84+AB85+AB86</f>
        <v>5901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-223-10-7</f>
        <v>-240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-503</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-563</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-472</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-12-89</f>
        <v>-101</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-2237</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-16667</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-16667</v>
      </c>
      <c r="AA130" s="97"/>
      <c r="AB130" s="97">
        <f>SUM(AB88:AB128)</f>
        <v>-5901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21'!AB146</f>
        <v>5874.5499999999993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-151</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5723.5499999999993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21'!AB198</f>
        <v>1135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1081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1291</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925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21'!AB206</f>
        <v>1114</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1081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1033</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21'!Y213</f>
        <v>0</v>
      </c>
      <c r="Z211" s="98">
        <f>+'April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355779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363479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-7700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4.9816425120772942</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3.31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34.341666666666669</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26.03</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37.745283018867923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28.73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29.285714285714285</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22.49</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20.557377049180328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15.91</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44407</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3.8109999999999998E-2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1.4372542876928747E-2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2.3737457123071251E-2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1.3402286633143917E-2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16.64</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3.7853908035012651E-2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0.1633</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1</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2361</v>
      </c>
      <c r="Y280" s="192">
        <f>X280/$X$289</f>
        <v>0.9962025316455696</v>
      </c>
      <c r="Z280" s="107">
        <f t="shared" ref="Z280:Z287" si="2">+Z292+Z304+Z326</f>
        <v>421596</v>
      </c>
      <c r="AA280" s="192">
        <f t="shared" ref="AA280:AA287" si="3">Z280/$Z$289</f>
        <v>0.99519629111184027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1.2658227848101266E-3</v>
      </c>
      <c r="Z281" s="197">
        <f t="shared" si="2"/>
        <v>532</v>
      </c>
      <c r="AA281" s="198">
        <f t="shared" si="3"/>
        <v>1.2558098911552742E-3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4.219409282700422E-4</v>
      </c>
      <c r="Z283" s="131">
        <f t="shared" si="2"/>
        <v>154</v>
      </c>
      <c r="AA283" s="198">
        <f t="shared" si="3"/>
        <v>3.6352391586073727E-4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4.219409282700422E-4</v>
      </c>
      <c r="Z284" s="131">
        <f t="shared" si="2"/>
        <v>138</v>
      </c>
      <c r="AA284" s="198">
        <f t="shared" si="3"/>
        <v>3.2575519732975161E-4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4.219409282700422E-4</v>
      </c>
      <c r="Z285" s="131">
        <f t="shared" si="2"/>
        <v>83</v>
      </c>
      <c r="AA285" s="198">
        <f t="shared" si="3"/>
        <v>1.9592522737948829E-4</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2</v>
      </c>
      <c r="Y286" s="202">
        <f t="shared" si="4"/>
        <v>8.438818565400844E-4</v>
      </c>
      <c r="Z286" s="203">
        <f t="shared" si="2"/>
        <v>849</v>
      </c>
      <c r="AA286" s="198">
        <f t="shared" si="3"/>
        <v>2.0041026270504283E-3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4.219409282700422E-4</v>
      </c>
      <c r="Z287" s="107">
        <f t="shared" si="2"/>
        <v>279</v>
      </c>
      <c r="AA287" s="198">
        <f t="shared" si="3"/>
        <v>6.5859202938406305E-4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2370</v>
      </c>
      <c r="Y289" s="198">
        <f>SUM(Y280:Y288)</f>
        <v>1</v>
      </c>
      <c r="Z289" s="98">
        <f>SUM(Z280:Z288)</f>
        <v>423631</v>
      </c>
      <c r="AA289" s="198">
        <f>SUM(AA280:AA288)</f>
        <v>0.99999999999999989</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2361</v>
      </c>
      <c r="Y292" s="192">
        <f>X292/$X$301</f>
        <v>0.9962025316455696</v>
      </c>
      <c r="Z292" s="107">
        <v>421596</v>
      </c>
      <c r="AA292" s="192">
        <f>Z292/$Z$301</f>
        <v>0.99519629111184027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1.2658227848101266E-3</v>
      </c>
      <c r="Z293" s="98">
        <v>532</v>
      </c>
      <c r="AA293" s="198">
        <f t="shared" ref="AA293:AA299" si="6">Z293/$Z$301</f>
        <v>1.2558098911552742E-3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4.219409282700422E-4</v>
      </c>
      <c r="Z295" s="98">
        <v>154</v>
      </c>
      <c r="AA295" s="198">
        <f t="shared" si="6"/>
        <v>3.6352391586073727E-4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4.219409282700422E-4</v>
      </c>
      <c r="Z296" s="98">
        <v>138</v>
      </c>
      <c r="AA296" s="198">
        <f t="shared" si="6"/>
        <v>3.2575519732975161E-4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4.219409282700422E-4</v>
      </c>
      <c r="Z297" s="98">
        <v>83</v>
      </c>
      <c r="AA297" s="198">
        <f t="shared" si="6"/>
        <v>1.9592522737948829E-4</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8.438818565400844E-4</v>
      </c>
      <c r="Z298" s="98">
        <v>849</v>
      </c>
      <c r="AA298" s="198">
        <f t="shared" si="6"/>
        <v>2.0041026270504283E-3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4.219409282700422E-4</v>
      </c>
      <c r="Z299" s="98">
        <v>279</v>
      </c>
      <c r="AA299" s="198">
        <f t="shared" si="6"/>
        <v>6.5859202938406305E-4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2370</v>
      </c>
      <c r="Y301" s="198">
        <f>SUM(Y292:Y300)</f>
        <v>1</v>
      </c>
      <c r="Z301" s="98">
        <f>SUM(Z292:Z300)</f>
        <v>423631</v>
      </c>
      <c r="AA301" s="198">
        <f>SUM(AA292:AA300)</f>
        <v>0.99999999999999989</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0</v>
      </c>
      <c r="Y338" s="265">
        <v>0</v>
      </c>
      <c r="Z338" s="215">
        <v>0</v>
      </c>
      <c r="AA338" s="265">
        <v>0</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v>0</v>
      </c>
      <c r="Z339" s="98">
        <v>0</v>
      </c>
      <c r="AA339" s="268">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v>0</v>
      </c>
      <c r="Z340" s="98">
        <v>0</v>
      </c>
      <c r="AA340" s="268">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v>0</v>
      </c>
      <c r="Z341" s="98">
        <v>0</v>
      </c>
      <c r="AA341" s="268">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v>0</v>
      </c>
      <c r="Z342" s="98">
        <v>0</v>
      </c>
      <c r="AA342" s="268">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v>0</v>
      </c>
      <c r="Z343" s="98">
        <v>0</v>
      </c>
      <c r="AA343" s="268">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v>0</v>
      </c>
      <c r="Z344" s="98">
        <v>0</v>
      </c>
      <c r="AA344" s="268">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v>0</v>
      </c>
      <c r="Z345" s="98">
        <v>0</v>
      </c>
      <c r="AA345" s="268">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0</v>
      </c>
      <c r="Y347" s="268">
        <f>SUM(Y338:Y345)</f>
        <v>0</v>
      </c>
      <c r="Z347" s="98">
        <f>SUM(Z338:Z345)</f>
        <v>0</v>
      </c>
      <c r="AA347" s="268">
        <f>SUM(AA338:AA345)</f>
        <v>0</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0</v>
      </c>
      <c r="Z348" s="298"/>
      <c r="AA348" s="297">
        <f>Z347/Z352</f>
        <v>0</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0</v>
      </c>
      <c r="Y349" s="294">
        <v>0</v>
      </c>
      <c r="Z349" s="295">
        <v>0</v>
      </c>
      <c r="AA349" s="294">
        <v>0</v>
      </c>
      <c r="AB349" s="296">
        <v>0</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0</v>
      </c>
      <c r="Y350" s="289">
        <v>0</v>
      </c>
      <c r="Z350" s="290">
        <v>0</v>
      </c>
      <c r="AA350" s="291">
        <v>0</v>
      </c>
      <c r="AB350" s="292">
        <v>0</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2370</v>
      </c>
      <c r="Y352" s="198"/>
      <c r="Z352" s="211">
        <f>+Z335+Z313+Z301</f>
        <v>423631</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0</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423631</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423631</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0.57708759933035558</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JULY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355</v>
      </c>
    </row>
    <row r="384" spans="1:29" s="270" customFormat="1" x14ac:dyDescent="0.3"/>
    <row r="385" spans="2:2" s="270" customFormat="1" x14ac:dyDescent="0.3">
      <c r="B385" s="270" t="s">
        <v>357</v>
      </c>
    </row>
    <row r="386" spans="2:2" x14ac:dyDescent="0.3">
      <c r="B386" s="270"/>
    </row>
    <row r="387" spans="2:2" x14ac:dyDescent="0.3">
      <c r="B387" s="279" t="s">
        <v>323</v>
      </c>
    </row>
    <row r="388" spans="2:2" x14ac:dyDescent="0.3">
      <c r="B388" s="270" t="s">
        <v>324</v>
      </c>
    </row>
    <row r="389" spans="2:2" x14ac:dyDescent="0.3">
      <c r="B389" s="270" t="s">
        <v>332</v>
      </c>
    </row>
    <row r="390" spans="2:2" x14ac:dyDescent="0.3">
      <c r="B390" s="271"/>
    </row>
    <row r="391" spans="2:2" x14ac:dyDescent="0.3">
      <c r="B391" s="279" t="s">
        <v>354</v>
      </c>
    </row>
    <row r="392" spans="2:2" x14ac:dyDescent="0.3">
      <c r="B392" s="270" t="s">
        <v>352</v>
      </c>
    </row>
    <row r="393" spans="2:2" x14ac:dyDescent="0.3">
      <c r="B393" s="300" t="s">
        <v>353</v>
      </c>
    </row>
  </sheetData>
  <hyperlinks>
    <hyperlink ref="K9" r:id="rId1" display="http://www.paragon-group.co.uk" xr:uid="{BB821D85-0A03-449D-A9F3-7E7ECD64D2DE}"/>
    <hyperlink ref="P366" r:id="rId2" xr:uid="{F288165C-507D-4514-94ED-60A866D2E39C}"/>
    <hyperlink ref="P277" r:id="rId3" xr:uid="{59E78CCF-DE51-44C9-88BF-3DC4439AF75B}"/>
    <hyperlink ref="B393" r:id="rId4" display="https://investorreporting.paragonbankinggroup.co.uk/bondinvestor_viewer/resources/bondinvestor/pdf/investornews/2021/libor-mortgages-transition-july-19" xr:uid="{D475516F-4792-4FA6-B95C-FD3ABCF9B73D}"/>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2296F-2439-4C7E-B602-16E3EC69D4C2}">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0.2447</v>
      </c>
      <c r="Z17" s="29" t="s">
        <v>258</v>
      </c>
      <c r="AA17" s="29">
        <v>0.75529999999999997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44522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188588.38553</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6302.9214100000008</v>
      </c>
      <c r="Q30" s="54"/>
      <c r="R30" s="54">
        <v>0</v>
      </c>
      <c r="S30" s="54"/>
      <c r="T30" s="54" t="s">
        <v>83</v>
      </c>
      <c r="U30" s="54"/>
      <c r="V30" s="54" t="s">
        <v>83</v>
      </c>
      <c r="W30" s="54"/>
      <c r="X30" s="54" t="s">
        <v>83</v>
      </c>
      <c r="Y30" s="54" t="s">
        <v>83</v>
      </c>
      <c r="Z30" s="54"/>
      <c r="AA30" s="49"/>
      <c r="AB30" s="50">
        <f>SUM(D30:N30)</f>
        <v>423631.38552999997</v>
      </c>
      <c r="AC30" s="51"/>
      <c r="AD30" s="22"/>
    </row>
    <row r="31" spans="1:33" s="23" customFormat="1" x14ac:dyDescent="0.3">
      <c r="A31" s="47"/>
      <c r="B31" s="44" t="s">
        <v>92</v>
      </c>
      <c r="C31" s="49"/>
      <c r="D31" s="57">
        <f>D29*D32</f>
        <v>176558.33559999999</v>
      </c>
      <c r="E31" s="57"/>
      <c r="F31" s="57">
        <f>F29</f>
        <v>151540</v>
      </c>
      <c r="G31" s="57"/>
      <c r="H31" s="57">
        <f>H29</f>
        <v>24741</v>
      </c>
      <c r="I31" s="57"/>
      <c r="J31" s="57">
        <f>J29</f>
        <v>18555</v>
      </c>
      <c r="K31" s="57"/>
      <c r="L31" s="57">
        <f>L29</f>
        <v>20102</v>
      </c>
      <c r="M31" s="57"/>
      <c r="N31" s="57">
        <f>N29</f>
        <v>20105</v>
      </c>
      <c r="O31" s="57"/>
      <c r="P31" s="57">
        <f>P29*P32</f>
        <v>6052.9742900000001</v>
      </c>
      <c r="Q31" s="57"/>
      <c r="R31" s="57">
        <v>0</v>
      </c>
      <c r="S31" s="57"/>
      <c r="T31" s="57" t="s">
        <v>83</v>
      </c>
      <c r="U31" s="57"/>
      <c r="V31" s="57" t="s">
        <v>83</v>
      </c>
      <c r="W31" s="57"/>
      <c r="X31" s="57" t="s">
        <v>83</v>
      </c>
      <c r="Y31" s="57" t="s">
        <v>83</v>
      </c>
      <c r="Z31" s="57"/>
      <c r="AA31" s="49"/>
      <c r="AB31" s="56">
        <f>SUM(D31:N31)</f>
        <v>411601.33559999999</v>
      </c>
      <c r="AC31" s="51"/>
      <c r="AD31" s="22"/>
      <c r="AE31" s="235"/>
    </row>
    <row r="32" spans="1:33" s="65" customFormat="1" x14ac:dyDescent="0.3">
      <c r="A32" s="58"/>
      <c r="B32" s="166" t="s">
        <v>88</v>
      </c>
      <c r="C32" s="61"/>
      <c r="D32" s="60">
        <v>0.46039999999999998</v>
      </c>
      <c r="E32" s="60"/>
      <c r="F32" s="60">
        <v>1</v>
      </c>
      <c r="G32" s="60"/>
      <c r="H32" s="60">
        <v>1</v>
      </c>
      <c r="I32" s="60"/>
      <c r="J32" s="60">
        <v>1</v>
      </c>
      <c r="K32" s="60"/>
      <c r="L32" s="60">
        <v>1</v>
      </c>
      <c r="M32" s="60"/>
      <c r="N32" s="60">
        <v>1</v>
      </c>
      <c r="O32" s="60"/>
      <c r="P32" s="60">
        <v>0.59477000000000002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0.49176999999999998</v>
      </c>
      <c r="E33" s="60"/>
      <c r="F33" s="60">
        <v>1</v>
      </c>
      <c r="G33" s="60"/>
      <c r="H33" s="60">
        <v>1</v>
      </c>
      <c r="I33" s="60"/>
      <c r="J33" s="60">
        <v>1</v>
      </c>
      <c r="K33" s="60"/>
      <c r="L33" s="60">
        <v>1</v>
      </c>
      <c r="M33" s="60"/>
      <c r="N33" s="60">
        <v>1</v>
      </c>
      <c r="O33" s="60"/>
      <c r="P33" s="60">
        <v>0.61933000000000005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1.10002E-2</v>
      </c>
      <c r="E35" s="241"/>
      <c r="F35" s="241">
        <v>1.25002E-2</v>
      </c>
      <c r="G35" s="241"/>
      <c r="H35" s="241">
        <v>1.9500199999999999E-2</v>
      </c>
      <c r="I35" s="241"/>
      <c r="J35" s="241">
        <v>2.3000199999999998E-2</v>
      </c>
      <c r="K35" s="241"/>
      <c r="L35" s="241">
        <v>2.6500200000000002E-2</v>
      </c>
      <c r="M35" s="241"/>
      <c r="N35" s="241">
        <v>3.6500199999999997E-2</v>
      </c>
      <c r="O35" s="241"/>
      <c r="P35" s="241">
        <v>4.05002E-2</v>
      </c>
      <c r="Q35" s="241"/>
      <c r="R35" s="241">
        <v>4.05002E-2</v>
      </c>
      <c r="S35" s="68"/>
      <c r="T35" s="68" t="s">
        <v>83</v>
      </c>
      <c r="U35" s="68"/>
      <c r="V35" s="68" t="s">
        <v>83</v>
      </c>
      <c r="W35" s="68"/>
      <c r="X35" s="68" t="s">
        <v>83</v>
      </c>
      <c r="Y35" s="68" t="s">
        <v>83</v>
      </c>
      <c r="Z35" s="68"/>
      <c r="AA35" s="40"/>
      <c r="AB35" s="67">
        <f>SUMPRODUCT(D35:N35,D30:N30)/AB30</f>
        <v>1.4504489461798793E-2</v>
      </c>
      <c r="AC35" s="43"/>
      <c r="AD35" s="22"/>
    </row>
    <row r="36" spans="1:30" s="23" customFormat="1" x14ac:dyDescent="0.3">
      <c r="A36" s="47"/>
      <c r="B36" s="40" t="s">
        <v>10</v>
      </c>
      <c r="C36" s="69"/>
      <c r="D36" s="241">
        <v>1.1000899999999999E-2</v>
      </c>
      <c r="E36" s="241"/>
      <c r="F36" s="241">
        <v>1.2500900000000001E-2</v>
      </c>
      <c r="G36" s="241"/>
      <c r="H36" s="241">
        <v>1.9500900000000002E-2</v>
      </c>
      <c r="I36" s="241"/>
      <c r="J36" s="241">
        <v>2.3000900000000001E-2</v>
      </c>
      <c r="K36" s="241"/>
      <c r="L36" s="241">
        <v>2.6500900000000001E-2</v>
      </c>
      <c r="M36" s="241"/>
      <c r="N36" s="241">
        <v>3.6500900000000003E-2</v>
      </c>
      <c r="O36" s="241"/>
      <c r="P36" s="241">
        <v>4.0500899999999999E-2</v>
      </c>
      <c r="Q36" s="241"/>
      <c r="R36" s="241">
        <v>4.0500899999999999E-2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0.2545060152386826</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44515</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44333</v>
      </c>
      <c r="AA48" s="77"/>
      <c r="AB48" s="76">
        <v>44423</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44424</v>
      </c>
      <c r="AA49" s="77"/>
      <c r="AB49" s="76">
        <v>44514</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44514</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364</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423631</v>
      </c>
      <c r="S58" s="238"/>
      <c r="T58" s="237">
        <f>155+190</f>
        <v>345</v>
      </c>
      <c r="U58" s="238"/>
      <c r="V58" s="238">
        <v>11685</v>
      </c>
      <c r="W58" s="238"/>
      <c r="X58" s="238">
        <v>0</v>
      </c>
      <c r="Y58" s="238"/>
      <c r="Z58" s="238">
        <v>0</v>
      </c>
      <c r="AA58" s="238"/>
      <c r="AB58" s="237">
        <f>R58-T58-V58+X58-Z58</f>
        <v>411601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423631</v>
      </c>
      <c r="S61" s="238"/>
      <c r="T61" s="238">
        <f>T58+T59</f>
        <v>345</v>
      </c>
      <c r="U61" s="238"/>
      <c r="V61" s="238">
        <f>SUM(V58:V60)</f>
        <v>11685</v>
      </c>
      <c r="W61" s="238"/>
      <c r="X61" s="238">
        <f>SUM(X58:X60)</f>
        <v>0</v>
      </c>
      <c r="Y61" s="238"/>
      <c r="Z61" s="238">
        <f>SUM(Z58:Z60)</f>
        <v>0</v>
      </c>
      <c r="AA61" s="238"/>
      <c r="AB61" s="238">
        <f>SUM(AB58:AB60)</f>
        <v>411601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0</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423631</v>
      </c>
      <c r="S67" s="238"/>
      <c r="T67" s="238"/>
      <c r="U67" s="238"/>
      <c r="V67" s="238"/>
      <c r="W67" s="238"/>
      <c r="X67" s="238"/>
      <c r="Y67" s="238"/>
      <c r="Z67" s="238"/>
      <c r="AA67" s="238"/>
      <c r="AB67" s="238">
        <f>SUM(AB61:AB66)</f>
        <v>411601</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44498</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12030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3124+1240-194-184</f>
        <v>3986</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151+81</f>
        <v>232</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250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1153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12030</v>
      </c>
      <c r="AA84" s="40"/>
      <c r="AB84" s="97">
        <f>SUM(AB71:AB83)</f>
        <v>5621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12030</v>
      </c>
      <c r="AA87" s="40"/>
      <c r="AB87" s="97">
        <f>AB84+AB85+AB86</f>
        <v>5621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-214-9-7</f>
        <v>-230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-490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-518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-472</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-64</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-250</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-929</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-12030</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-12030</v>
      </c>
      <c r="AA130" s="97"/>
      <c r="AB130" s="97">
        <f>SUM(AB88:AB128)</f>
        <v>-5621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21'!AB146</f>
        <v>5723.5499999999993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-250</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5473.5499999999993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21'!AB198</f>
        <v>925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990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1153</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762</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+'July 21'!AB206</f>
        <v>1033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990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2043</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+'July 21'!Y213</f>
        <v>0</v>
      </c>
      <c r="Z211" s="98">
        <f>+'July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356725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359884</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-3159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4.9484848484848483</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3.43</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32.575000000000003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26.66</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35.745283018867923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29.41</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27.69172932330827</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19.398907103825138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16.260000000000002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44498</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3.8030000000000001E-2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1.4504489461798793E-2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2.3525510538201209E-2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1.3268622928916911E-2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16.38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2.8397355245484868E-2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0.15770000000000001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'July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2290</v>
      </c>
      <c r="Y280" s="192">
        <f>X280/$X$289</f>
        <v>0.99651871192341168</v>
      </c>
      <c r="Z280" s="107">
        <f t="shared" ref="Z280:Z287" si="2">+Z292+Z304+Z326</f>
        <v>409767</v>
      </c>
      <c r="AA280" s="192">
        <f t="shared" ref="AA280:AA287" si="3">Z280/$Z$289</f>
        <v>0.9955442285125643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1</v>
      </c>
      <c r="Y281" s="196">
        <f t="shared" ref="Y281:Y287" si="4">X281/$X$289</f>
        <v>4.351610095735422E-4</v>
      </c>
      <c r="Z281" s="197">
        <f t="shared" si="2"/>
        <v>110</v>
      </c>
      <c r="AA281" s="198">
        <f t="shared" si="3"/>
        <v>2.6724910775241073E-4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1</v>
      </c>
      <c r="Y282" s="200">
        <f t="shared" si="4"/>
        <v>4.351610095735422E-4</v>
      </c>
      <c r="Z282" s="131">
        <f t="shared" si="2"/>
        <v>100</v>
      </c>
      <c r="AA282" s="198">
        <f t="shared" si="3"/>
        <v>2.4295373432037338E-4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4.351610095735422E-4</v>
      </c>
      <c r="Z283" s="131">
        <f t="shared" si="2"/>
        <v>276</v>
      </c>
      <c r="AA283" s="198">
        <f t="shared" si="3"/>
        <v>6.7055230672423047E-4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4.351610095735422E-4</v>
      </c>
      <c r="Z284" s="131">
        <f t="shared" si="2"/>
        <v>83</v>
      </c>
      <c r="AA284" s="198">
        <f t="shared" si="3"/>
        <v>2.016515994859099E-4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3</v>
      </c>
      <c r="Y286" s="202">
        <f t="shared" si="4"/>
        <v>1.3054830287206266E-3</v>
      </c>
      <c r="Z286" s="203">
        <f t="shared" si="2"/>
        <v>986</v>
      </c>
      <c r="AA286" s="198">
        <f t="shared" si="3"/>
        <v>2.3955238203988813E-3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4.351610095735422E-4</v>
      </c>
      <c r="Z287" s="107">
        <f t="shared" si="2"/>
        <v>279</v>
      </c>
      <c r="AA287" s="198">
        <f t="shared" si="3"/>
        <v>6.7784091875384175E-4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2298</v>
      </c>
      <c r="Y289" s="198">
        <f>SUM(Y280:Y288)</f>
        <v>0.99999999999999989</v>
      </c>
      <c r="Z289" s="98">
        <f>SUM(Z280:Z288)</f>
        <v>411601</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2290</v>
      </c>
      <c r="Y292" s="192">
        <f>X292/$X$301</f>
        <v>0.99651871192341168</v>
      </c>
      <c r="Z292" s="107">
        <v>409767</v>
      </c>
      <c r="AA292" s="192">
        <f>Z292/$Z$301</f>
        <v>0.9955442285125643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ref="Y293:Y299" si="5">X293/$X$301</f>
        <v>4.351610095735422E-4</v>
      </c>
      <c r="Z293" s="98">
        <v>110</v>
      </c>
      <c r="AA293" s="198">
        <f t="shared" ref="AA293:AA299" si="6">Z293/$Z$301</f>
        <v>2.6724910775241073E-4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4.351610095735422E-4</v>
      </c>
      <c r="Z294" s="98">
        <v>100</v>
      </c>
      <c r="AA294" s="198">
        <f t="shared" si="6"/>
        <v>2.4295373432037338E-4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4.351610095735422E-4</v>
      </c>
      <c r="Z295" s="98">
        <v>276</v>
      </c>
      <c r="AA295" s="198">
        <f t="shared" si="6"/>
        <v>6.7055230672423047E-4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4.351610095735422E-4</v>
      </c>
      <c r="Z296" s="98">
        <v>83</v>
      </c>
      <c r="AA296" s="198">
        <f t="shared" si="6"/>
        <v>2.016515994859099E-4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3</v>
      </c>
      <c r="Y298" s="198">
        <f>X298/$X$301</f>
        <v>1.3054830287206266E-3</v>
      </c>
      <c r="Z298" s="98">
        <v>986</v>
      </c>
      <c r="AA298" s="198">
        <f t="shared" si="6"/>
        <v>2.3955238203988813E-3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4.351610095735422E-4</v>
      </c>
      <c r="Z299" s="98">
        <v>279</v>
      </c>
      <c r="AA299" s="198">
        <f t="shared" si="6"/>
        <v>6.7784091875384175E-4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2298</v>
      </c>
      <c r="Y301" s="198">
        <f>SUM(Y292:Y300)</f>
        <v>0.99999999999999989</v>
      </c>
      <c r="Z301" s="98">
        <f>SUM(Z292:Z300)</f>
        <v>411601</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2298</v>
      </c>
      <c r="Y337" s="198"/>
      <c r="Z337" s="211">
        <f>+Z335+Z313+Z301</f>
        <v>411601</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0</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411601</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411601</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0.59249301614754046</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OCTOBER 2021</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5" spans="2:2" x14ac:dyDescent="0.3">
      <c r="B355" s="279" t="s">
        <v>323</v>
      </c>
    </row>
    <row r="356" spans="2:2" x14ac:dyDescent="0.3">
      <c r="B356" s="270" t="s">
        <v>324</v>
      </c>
    </row>
    <row r="357" spans="2:2" x14ac:dyDescent="0.3">
      <c r="B357" s="270" t="s">
        <v>332</v>
      </c>
    </row>
    <row r="358" spans="2:2" x14ac:dyDescent="0.3">
      <c r="B358" s="271"/>
    </row>
    <row r="359" spans="2:2" x14ac:dyDescent="0.3">
      <c r="B359" s="279" t="s">
        <v>354</v>
      </c>
    </row>
    <row r="360" spans="2:2" x14ac:dyDescent="0.3">
      <c r="B360" s="270" t="s">
        <v>352</v>
      </c>
    </row>
    <row r="361" spans="2:2" x14ac:dyDescent="0.3">
      <c r="B361" s="300" t="s">
        <v>353</v>
      </c>
    </row>
  </sheetData>
  <hyperlinks>
    <hyperlink ref="K9" r:id="rId1" display="http://www.paragon-group.co.uk" xr:uid="{ACD485A2-B47F-4B8D-8301-CF20E90ED85A}"/>
    <hyperlink ref="P349" r:id="rId2" xr:uid="{4E1BD3F6-1031-42C3-82CA-12D73EB5B112}"/>
    <hyperlink ref="P277" r:id="rId3" xr:uid="{64045B01-B840-453A-A8BB-A3D1913E833A}"/>
    <hyperlink ref="B361" r:id="rId4" display="https://investorreporting.paragonbankinggroup.co.uk/bondinvestor_viewer/resources/bondinvestor/pdf/investornews/2021/libor-mortgages-transition-july-19" xr:uid="{936C94C6-0F37-4FDB-872F-5F6E7E886EAE}"/>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90</vt:i4>
      </vt:variant>
    </vt:vector>
  </HeadingPairs>
  <TitlesOfParts>
    <vt:vector size="108" baseType="lpstr">
      <vt:lpstr>October 19</vt:lpstr>
      <vt:lpstr>January 20</vt:lpstr>
      <vt:lpstr>April 20</vt:lpstr>
      <vt:lpstr>July 20</vt:lpstr>
      <vt:lpstr>October 20</vt:lpstr>
      <vt:lpstr>January 21</vt:lpstr>
      <vt:lpstr>April 21</vt:lpstr>
      <vt:lpstr>July 21</vt:lpstr>
      <vt:lpstr>October 21</vt:lpstr>
      <vt:lpstr>January 22</vt:lpstr>
      <vt:lpstr>April 22</vt:lpstr>
      <vt:lpstr>July 22</vt:lpstr>
      <vt:lpstr>October 22</vt:lpstr>
      <vt:lpstr>January 23</vt:lpstr>
      <vt:lpstr>April 23</vt:lpstr>
      <vt:lpstr>July 23</vt:lpstr>
      <vt:lpstr>October 23</vt:lpstr>
      <vt:lpstr>January 24</vt:lpstr>
      <vt:lpstr>'April 20'!_1PAGE_1</vt:lpstr>
      <vt:lpstr>'April 21'!_1PAGE_1</vt:lpstr>
      <vt:lpstr>'April 22'!_1PAGE_1</vt:lpstr>
      <vt:lpstr>'April 23'!_1PAGE_1</vt:lpstr>
      <vt:lpstr>'January 20'!_1PAGE_1</vt:lpstr>
      <vt:lpstr>'January 21'!_1PAGE_1</vt:lpstr>
      <vt:lpstr>'January 22'!_1PAGE_1</vt:lpstr>
      <vt:lpstr>'January 23'!_1PAGE_1</vt:lpstr>
      <vt:lpstr>'January 24'!_1PAGE_1</vt:lpstr>
      <vt:lpstr>'July 20'!_1PAGE_1</vt:lpstr>
      <vt:lpstr>'July 21'!_1PAGE_1</vt:lpstr>
      <vt:lpstr>'July 22'!_1PAGE_1</vt:lpstr>
      <vt:lpstr>'July 23'!_1PAGE_1</vt:lpstr>
      <vt:lpstr>'October 19'!_1PAGE_1</vt:lpstr>
      <vt:lpstr>'October 20'!_1PAGE_1</vt:lpstr>
      <vt:lpstr>'October 21'!_1PAGE_1</vt:lpstr>
      <vt:lpstr>'October 22'!_1PAGE_1</vt:lpstr>
      <vt:lpstr>'October 23'!_1PAGE_1</vt:lpstr>
      <vt:lpstr>'April 20'!_3PAGE_2</vt:lpstr>
      <vt:lpstr>'April 21'!_3PAGE_2</vt:lpstr>
      <vt:lpstr>'April 22'!_3PAGE_2</vt:lpstr>
      <vt:lpstr>'April 23'!_3PAGE_2</vt:lpstr>
      <vt:lpstr>'January 20'!_3PAGE_2</vt:lpstr>
      <vt:lpstr>'January 21'!_3PAGE_2</vt:lpstr>
      <vt:lpstr>'January 22'!_3PAGE_2</vt:lpstr>
      <vt:lpstr>'January 23'!_3PAGE_2</vt:lpstr>
      <vt:lpstr>'January 24'!_3PAGE_2</vt:lpstr>
      <vt:lpstr>'July 20'!_3PAGE_2</vt:lpstr>
      <vt:lpstr>'July 21'!_3PAGE_2</vt:lpstr>
      <vt:lpstr>'July 22'!_3PAGE_2</vt:lpstr>
      <vt:lpstr>'July 23'!_3PAGE_2</vt:lpstr>
      <vt:lpstr>'October 19'!_3PAGE_2</vt:lpstr>
      <vt:lpstr>'October 20'!_3PAGE_2</vt:lpstr>
      <vt:lpstr>'October 21'!_3PAGE_2</vt:lpstr>
      <vt:lpstr>'October 22'!_3PAGE_2</vt:lpstr>
      <vt:lpstr>'October 23'!_3PAGE_2</vt:lpstr>
      <vt:lpstr>'April 20'!_5PAGE_3</vt:lpstr>
      <vt:lpstr>'April 21'!_5PAGE_3</vt:lpstr>
      <vt:lpstr>'April 22'!_5PAGE_3</vt:lpstr>
      <vt:lpstr>'April 23'!_5PAGE_3</vt:lpstr>
      <vt:lpstr>'January 20'!_5PAGE_3</vt:lpstr>
      <vt:lpstr>'January 21'!_5PAGE_3</vt:lpstr>
      <vt:lpstr>'January 22'!_5PAGE_3</vt:lpstr>
      <vt:lpstr>'January 23'!_5PAGE_3</vt:lpstr>
      <vt:lpstr>'January 24'!_5PAGE_3</vt:lpstr>
      <vt:lpstr>'July 20'!_5PAGE_3</vt:lpstr>
      <vt:lpstr>'July 21'!_5PAGE_3</vt:lpstr>
      <vt:lpstr>'July 22'!_5PAGE_3</vt:lpstr>
      <vt:lpstr>'July 23'!_5PAGE_3</vt:lpstr>
      <vt:lpstr>'October 19'!_5PAGE_3</vt:lpstr>
      <vt:lpstr>'October 20'!_5PAGE_3</vt:lpstr>
      <vt:lpstr>'October 21'!_5PAGE_3</vt:lpstr>
      <vt:lpstr>'October 22'!_5PAGE_3</vt:lpstr>
      <vt:lpstr>'October 23'!_5PAGE_3</vt:lpstr>
      <vt:lpstr>'April 20'!_7PAGE_4</vt:lpstr>
      <vt:lpstr>'April 21'!_7PAGE_4</vt:lpstr>
      <vt:lpstr>'April 22'!_7PAGE_4</vt:lpstr>
      <vt:lpstr>'April 23'!_7PAGE_4</vt:lpstr>
      <vt:lpstr>'January 20'!_7PAGE_4</vt:lpstr>
      <vt:lpstr>'January 21'!_7PAGE_4</vt:lpstr>
      <vt:lpstr>'January 22'!_7PAGE_4</vt:lpstr>
      <vt:lpstr>'January 23'!_7PAGE_4</vt:lpstr>
      <vt:lpstr>'January 24'!_7PAGE_4</vt:lpstr>
      <vt:lpstr>'July 20'!_7PAGE_4</vt:lpstr>
      <vt:lpstr>'July 21'!_7PAGE_4</vt:lpstr>
      <vt:lpstr>'July 22'!_7PAGE_4</vt:lpstr>
      <vt:lpstr>'July 23'!_7PAGE_4</vt:lpstr>
      <vt:lpstr>'October 19'!_7PAGE_4</vt:lpstr>
      <vt:lpstr>'October 20'!_7PAGE_4</vt:lpstr>
      <vt:lpstr>'October 21'!_7PAGE_4</vt:lpstr>
      <vt:lpstr>'October 22'!_7PAGE_4</vt:lpstr>
      <vt:lpstr>'October 23'!_7PAGE_4</vt:lpstr>
      <vt:lpstr>'April 20'!Print_Area</vt:lpstr>
      <vt:lpstr>'April 21'!Print_Area</vt:lpstr>
      <vt:lpstr>'April 22'!Print_Area</vt:lpstr>
      <vt:lpstr>'April 23'!Print_Area</vt:lpstr>
      <vt:lpstr>'January 20'!Print_Area</vt:lpstr>
      <vt:lpstr>'January 21'!Print_Area</vt:lpstr>
      <vt:lpstr>'January 22'!Print_Area</vt:lpstr>
      <vt:lpstr>'January 23'!Print_Area</vt:lpstr>
      <vt:lpstr>'January 24'!Print_Area</vt:lpstr>
      <vt:lpstr>'July 20'!Print_Area</vt:lpstr>
      <vt:lpstr>'July 21'!Print_Area</vt:lpstr>
      <vt:lpstr>'July 22'!Print_Area</vt:lpstr>
      <vt:lpstr>'July 23'!Print_Area</vt:lpstr>
      <vt:lpstr>'October 19'!Print_Area</vt:lpstr>
      <vt:lpstr>'October 20'!Print_Area</vt:lpstr>
      <vt:lpstr>'October 21'!Print_Area</vt:lpstr>
      <vt:lpstr>'October 22'!Print_Area</vt:lpstr>
      <vt:lpstr>'October 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2019-11-26T09:11:43Z</cp:lastPrinted>
  <dcterms:created xsi:type="dcterms:W3CDTF">2003-11-18T07:58:35Z</dcterms:created>
  <dcterms:modified xsi:type="dcterms:W3CDTF">2024-02-19T09:02:09Z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